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4_Affordability\"/>
    </mc:Choice>
  </mc:AlternateContent>
  <xr:revisionPtr revIDLastSave="0" documentId="13_ncr:1_{D35E0D71-2993-4043-9F8D-81F635C227F1}" xr6:coauthVersionLast="43" xr6:coauthVersionMax="43" xr10:uidLastSave="{00000000-0000-0000-0000-000000000000}"/>
  <bookViews>
    <workbookView xWindow="330" yWindow="330" windowWidth="15405" windowHeight="14085" xr2:uid="{00000000-000D-0000-FFFF-FFFF00000000}"/>
  </bookViews>
  <sheets>
    <sheet name="Table 67" sheetId="7" r:id="rId1"/>
    <sheet name="Pell Ratio Table" sheetId="6" state="hidden" r:id="rId2"/>
    <sheet name="Total State Aid" sheetId="5" r:id="rId3"/>
    <sheet name="Grants Need-Based" sheetId="1" r:id="rId4"/>
    <sheet name="Grants Non Need-Based " sheetId="2" r:id="rId5"/>
    <sheet name="Other" sheetId="3" r:id="rId6"/>
    <sheet name="Distribution Check Figures" sheetId="4" r:id="rId7"/>
  </sheets>
  <externalReferences>
    <externalReference r:id="rId8"/>
  </externalReferences>
  <definedNames>
    <definedName name="_xlnm.Print_Area" localSheetId="0">'Table 67'!$A$1:$U$74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1" i="7" l="1"/>
  <c r="P40" i="7"/>
  <c r="Q33" i="7"/>
  <c r="Q22" i="7"/>
  <c r="I33" i="7" l="1"/>
  <c r="G63" i="7"/>
  <c r="G56" i="7"/>
  <c r="G43" i="7"/>
  <c r="E56" i="7"/>
  <c r="E17" i="7"/>
  <c r="G17" i="7"/>
  <c r="T69" i="7"/>
  <c r="T68" i="7"/>
  <c r="T66" i="7"/>
  <c r="T65" i="7"/>
  <c r="T64" i="7"/>
  <c r="T62" i="7"/>
  <c r="T60" i="7"/>
  <c r="T57" i="7"/>
  <c r="T56" i="7"/>
  <c r="T55" i="7"/>
  <c r="T54" i="7"/>
  <c r="T53" i="7"/>
  <c r="T52" i="7"/>
  <c r="T51" i="7"/>
  <c r="T50" i="7"/>
  <c r="T48" i="7"/>
  <c r="T47" i="7"/>
  <c r="T46" i="7"/>
  <c r="T42" i="7"/>
  <c r="T39" i="7"/>
  <c r="T38" i="7"/>
  <c r="T37" i="7"/>
  <c r="T36" i="7"/>
  <c r="T34" i="7"/>
  <c r="T31" i="7"/>
  <c r="T28" i="7"/>
  <c r="T27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S69" i="7"/>
  <c r="S68" i="7"/>
  <c r="S67" i="7"/>
  <c r="S66" i="7"/>
  <c r="S65" i="7"/>
  <c r="S64" i="7"/>
  <c r="S63" i="7"/>
  <c r="S62" i="7"/>
  <c r="S61" i="7"/>
  <c r="S60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1" i="7"/>
  <c r="S10" i="7"/>
  <c r="R69" i="7"/>
  <c r="R68" i="7"/>
  <c r="R67" i="7"/>
  <c r="R66" i="7"/>
  <c r="R65" i="7"/>
  <c r="R64" i="7"/>
  <c r="R63" i="7"/>
  <c r="R62" i="7"/>
  <c r="R61" i="7"/>
  <c r="R60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1" i="7"/>
  <c r="R10" i="7"/>
  <c r="Q69" i="7"/>
  <c r="Q68" i="7"/>
  <c r="Q67" i="7"/>
  <c r="Q66" i="7"/>
  <c r="Q65" i="7"/>
  <c r="Q64" i="7"/>
  <c r="Q63" i="7"/>
  <c r="Q62" i="7"/>
  <c r="Q61" i="7"/>
  <c r="Q60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4" i="7"/>
  <c r="Q43" i="7"/>
  <c r="Q42" i="7"/>
  <c r="Q41" i="7"/>
  <c r="Q40" i="7"/>
  <c r="Q39" i="7"/>
  <c r="Q38" i="7"/>
  <c r="Q37" i="7"/>
  <c r="Q36" i="7"/>
  <c r="Q35" i="7"/>
  <c r="Q34" i="7"/>
  <c r="Q32" i="7"/>
  <c r="Q31" i="7"/>
  <c r="Q28" i="7"/>
  <c r="Q27" i="7"/>
  <c r="Q26" i="7"/>
  <c r="Q25" i="7"/>
  <c r="Q24" i="7"/>
  <c r="Q23" i="7"/>
  <c r="Q21" i="7"/>
  <c r="Q20" i="7"/>
  <c r="Q19" i="7"/>
  <c r="Q18" i="7"/>
  <c r="Q17" i="7"/>
  <c r="Q16" i="7"/>
  <c r="Q15" i="7"/>
  <c r="Q14" i="7"/>
  <c r="Q13" i="7"/>
  <c r="P69" i="7"/>
  <c r="P68" i="7"/>
  <c r="P67" i="7"/>
  <c r="P66" i="7"/>
  <c r="P65" i="7"/>
  <c r="P64" i="7"/>
  <c r="P63" i="7"/>
  <c r="P62" i="7"/>
  <c r="P61" i="7"/>
  <c r="P60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4" i="7"/>
  <c r="P43" i="7"/>
  <c r="P42" i="7"/>
  <c r="P39" i="7"/>
  <c r="P38" i="7"/>
  <c r="P37" i="7"/>
  <c r="P36" i="7"/>
  <c r="P35" i="7"/>
  <c r="P34" i="7"/>
  <c r="P33" i="7"/>
  <c r="P32" i="7"/>
  <c r="P31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1" i="7"/>
  <c r="O69" i="7"/>
  <c r="O68" i="7"/>
  <c r="O67" i="7"/>
  <c r="O66" i="7"/>
  <c r="O65" i="7"/>
  <c r="O64" i="7"/>
  <c r="O63" i="7"/>
  <c r="O62" i="7"/>
  <c r="O61" i="7"/>
  <c r="O60" i="7"/>
  <c r="O57" i="7"/>
  <c r="O56" i="7"/>
  <c r="O55" i="7"/>
  <c r="O54" i="7"/>
  <c r="O53" i="7"/>
  <c r="O52" i="7"/>
  <c r="O51" i="7"/>
  <c r="O50" i="7"/>
  <c r="O49" i="7"/>
  <c r="O48" i="7"/>
  <c r="O47" i="7"/>
  <c r="O46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N69" i="7"/>
  <c r="N68" i="7"/>
  <c r="N67" i="7"/>
  <c r="N66" i="7"/>
  <c r="N65" i="7"/>
  <c r="N64" i="7"/>
  <c r="N63" i="7"/>
  <c r="N62" i="7"/>
  <c r="N61" i="7"/>
  <c r="N60" i="7"/>
  <c r="N57" i="7"/>
  <c r="N56" i="7"/>
  <c r="N55" i="7"/>
  <c r="N54" i="7"/>
  <c r="N53" i="7"/>
  <c r="N52" i="7"/>
  <c r="N51" i="7"/>
  <c r="N50" i="7"/>
  <c r="N49" i="7"/>
  <c r="N48" i="7"/>
  <c r="N47" i="7"/>
  <c r="N46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M69" i="7"/>
  <c r="M68" i="7"/>
  <c r="M66" i="7"/>
  <c r="M65" i="7"/>
  <c r="M64" i="7"/>
  <c r="M63" i="7"/>
  <c r="M62" i="7"/>
  <c r="M61" i="7"/>
  <c r="M60" i="7"/>
  <c r="M57" i="7"/>
  <c r="M56" i="7"/>
  <c r="M55" i="7"/>
  <c r="M54" i="7"/>
  <c r="M53" i="7"/>
  <c r="M52" i="7"/>
  <c r="M51" i="7"/>
  <c r="M50" i="7"/>
  <c r="M49" i="7"/>
  <c r="M48" i="7"/>
  <c r="M47" i="7"/>
  <c r="M46" i="7"/>
  <c r="M42" i="7"/>
  <c r="M40" i="7"/>
  <c r="M39" i="7"/>
  <c r="M38" i="7"/>
  <c r="M37" i="7"/>
  <c r="M36" i="7"/>
  <c r="M35" i="7"/>
  <c r="M34" i="7"/>
  <c r="M33" i="7"/>
  <c r="M32" i="7"/>
  <c r="M31" i="7"/>
  <c r="M28" i="7"/>
  <c r="M27" i="7"/>
  <c r="M26" i="7"/>
  <c r="M25" i="7"/>
  <c r="M24" i="7"/>
  <c r="M23" i="7"/>
  <c r="M21" i="7"/>
  <c r="M19" i="7"/>
  <c r="M18" i="7"/>
  <c r="M17" i="7"/>
  <c r="M16" i="7"/>
  <c r="M15" i="7"/>
  <c r="M14" i="7"/>
  <c r="M13" i="7"/>
  <c r="L69" i="7"/>
  <c r="L68" i="7"/>
  <c r="L66" i="7"/>
  <c r="L65" i="7"/>
  <c r="L64" i="7"/>
  <c r="L62" i="7"/>
  <c r="L60" i="7"/>
  <c r="L57" i="7"/>
  <c r="L56" i="7"/>
  <c r="L55" i="7"/>
  <c r="L54" i="7"/>
  <c r="L53" i="7"/>
  <c r="L52" i="7"/>
  <c r="L51" i="7"/>
  <c r="L50" i="7"/>
  <c r="L48" i="7"/>
  <c r="L47" i="7"/>
  <c r="L46" i="7"/>
  <c r="L43" i="7"/>
  <c r="L42" i="7"/>
  <c r="L40" i="7"/>
  <c r="L39" i="7"/>
  <c r="L38" i="7"/>
  <c r="L37" i="7"/>
  <c r="L36" i="7"/>
  <c r="L34" i="7"/>
  <c r="L33" i="7"/>
  <c r="L31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J69" i="7"/>
  <c r="J68" i="7"/>
  <c r="J67" i="7"/>
  <c r="J66" i="7"/>
  <c r="J65" i="7"/>
  <c r="J64" i="7"/>
  <c r="J63" i="7"/>
  <c r="J62" i="7"/>
  <c r="J61" i="7"/>
  <c r="J60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1" i="7"/>
  <c r="J10" i="7"/>
  <c r="I69" i="7"/>
  <c r="I68" i="7"/>
  <c r="I67" i="7"/>
  <c r="I66" i="7"/>
  <c r="I65" i="7"/>
  <c r="I64" i="7"/>
  <c r="I63" i="7"/>
  <c r="I62" i="7"/>
  <c r="I61" i="7"/>
  <c r="I60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4" i="7"/>
  <c r="I43" i="7"/>
  <c r="I42" i="7"/>
  <c r="I41" i="7"/>
  <c r="I40" i="7"/>
  <c r="I39" i="7"/>
  <c r="I38" i="7"/>
  <c r="I37" i="7"/>
  <c r="I36" i="7"/>
  <c r="I35" i="7"/>
  <c r="I34" i="7"/>
  <c r="I32" i="7"/>
  <c r="I31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1" i="7"/>
  <c r="H69" i="7"/>
  <c r="H68" i="7"/>
  <c r="H67" i="7"/>
  <c r="H66" i="7"/>
  <c r="H65" i="7"/>
  <c r="H64" i="7"/>
  <c r="H63" i="7"/>
  <c r="H62" i="7"/>
  <c r="H61" i="7"/>
  <c r="H60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1" i="7"/>
  <c r="G69" i="7"/>
  <c r="G68" i="7"/>
  <c r="G67" i="7"/>
  <c r="G66" i="7"/>
  <c r="G65" i="7"/>
  <c r="G64" i="7"/>
  <c r="G62" i="7"/>
  <c r="G61" i="7"/>
  <c r="G60" i="7"/>
  <c r="G58" i="7"/>
  <c r="G57" i="7"/>
  <c r="G55" i="7"/>
  <c r="G54" i="7"/>
  <c r="G53" i="7"/>
  <c r="G52" i="7"/>
  <c r="G51" i="7"/>
  <c r="G50" i="7"/>
  <c r="G49" i="7"/>
  <c r="G48" i="7"/>
  <c r="G47" i="7"/>
  <c r="G46" i="7"/>
  <c r="G44" i="7"/>
  <c r="G42" i="7"/>
  <c r="G41" i="7"/>
  <c r="G40" i="7"/>
  <c r="G39" i="7"/>
  <c r="G38" i="7"/>
  <c r="G37" i="7"/>
  <c r="G36" i="7"/>
  <c r="G35" i="7"/>
  <c r="G34" i="7"/>
  <c r="G33" i="7"/>
  <c r="G32" i="7"/>
  <c r="G31" i="7"/>
  <c r="G29" i="7"/>
  <c r="G28" i="7"/>
  <c r="G27" i="7"/>
  <c r="G26" i="7"/>
  <c r="G25" i="7"/>
  <c r="G24" i="7"/>
  <c r="G23" i="7"/>
  <c r="G22" i="7"/>
  <c r="G21" i="7"/>
  <c r="G20" i="7"/>
  <c r="G19" i="7"/>
  <c r="G18" i="7"/>
  <c r="G16" i="7"/>
  <c r="G15" i="7"/>
  <c r="G14" i="7"/>
  <c r="G13" i="7"/>
  <c r="G11" i="7"/>
  <c r="G10" i="7"/>
  <c r="F69" i="7"/>
  <c r="F68" i="7"/>
  <c r="F67" i="7"/>
  <c r="F66" i="7"/>
  <c r="F65" i="7"/>
  <c r="F64" i="7"/>
  <c r="F63" i="7"/>
  <c r="F62" i="7"/>
  <c r="F61" i="7"/>
  <c r="F60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1" i="7"/>
  <c r="F10" i="7"/>
  <c r="E69" i="7"/>
  <c r="E68" i="7"/>
  <c r="E67" i="7"/>
  <c r="E66" i="7"/>
  <c r="E65" i="7"/>
  <c r="E64" i="7"/>
  <c r="E62" i="7"/>
  <c r="E61" i="7"/>
  <c r="E60" i="7"/>
  <c r="E58" i="7"/>
  <c r="E57" i="7"/>
  <c r="E55" i="7"/>
  <c r="E54" i="7"/>
  <c r="E53" i="7"/>
  <c r="E52" i="7"/>
  <c r="E51" i="7"/>
  <c r="E50" i="7"/>
  <c r="E49" i="7"/>
  <c r="E48" i="7"/>
  <c r="E47" i="7"/>
  <c r="E46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28" i="7"/>
  <c r="E27" i="7"/>
  <c r="E26" i="7"/>
  <c r="E25" i="7"/>
  <c r="E24" i="7"/>
  <c r="E23" i="7"/>
  <c r="E22" i="7"/>
  <c r="E21" i="7"/>
  <c r="E20" i="7"/>
  <c r="E19" i="7"/>
  <c r="E18" i="7"/>
  <c r="E16" i="7"/>
  <c r="E15" i="7"/>
  <c r="E14" i="7"/>
  <c r="E13" i="7"/>
  <c r="E11" i="7"/>
  <c r="D69" i="7"/>
  <c r="D68" i="7"/>
  <c r="D67" i="7"/>
  <c r="D66" i="7"/>
  <c r="D65" i="7"/>
  <c r="D64" i="7"/>
  <c r="D63" i="7"/>
  <c r="D62" i="7"/>
  <c r="D61" i="7"/>
  <c r="D60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1" i="7"/>
  <c r="C69" i="7"/>
  <c r="C68" i="7"/>
  <c r="C66" i="7"/>
  <c r="C65" i="7"/>
  <c r="C64" i="7"/>
  <c r="C62" i="7"/>
  <c r="C60" i="7"/>
  <c r="C57" i="7"/>
  <c r="C56" i="7"/>
  <c r="C55" i="7"/>
  <c r="C54" i="7"/>
  <c r="C53" i="7"/>
  <c r="C52" i="7"/>
  <c r="C51" i="7"/>
  <c r="C50" i="7"/>
  <c r="C49" i="7"/>
  <c r="C48" i="7"/>
  <c r="C47" i="7"/>
  <c r="C46" i="7"/>
  <c r="C42" i="7"/>
  <c r="C39" i="7"/>
  <c r="C38" i="7"/>
  <c r="C37" i="7"/>
  <c r="C36" i="7"/>
  <c r="C34" i="7"/>
  <c r="C33" i="7"/>
  <c r="C32" i="7"/>
  <c r="C31" i="7"/>
  <c r="C28" i="7"/>
  <c r="C27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AO6" i="4"/>
  <c r="AO7" i="4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1" i="5"/>
  <c r="AI22" i="5"/>
  <c r="AI25" i="5"/>
  <c r="AI26" i="5"/>
  <c r="AI27" i="5"/>
  <c r="AI28" i="5"/>
  <c r="AI30" i="5"/>
  <c r="AI31" i="5"/>
  <c r="AI32" i="5"/>
  <c r="AI33" i="5"/>
  <c r="AI36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4" i="5"/>
  <c r="AI55" i="5"/>
  <c r="C61" i="7" s="1"/>
  <c r="AI56" i="5"/>
  <c r="AI57" i="5"/>
  <c r="C63" i="7" s="1"/>
  <c r="AI58" i="5"/>
  <c r="AI59" i="5"/>
  <c r="AI60" i="5"/>
  <c r="AI61" i="5"/>
  <c r="C67" i="7" s="1"/>
  <c r="AI62" i="5"/>
  <c r="AI63" i="5"/>
  <c r="DN7" i="1"/>
  <c r="DN5" i="1" s="1"/>
  <c r="DN8" i="1"/>
  <c r="DN9" i="1"/>
  <c r="DN10" i="1"/>
  <c r="DN11" i="1"/>
  <c r="DN12" i="1"/>
  <c r="DN13" i="1"/>
  <c r="DN14" i="1"/>
  <c r="DN15" i="1"/>
  <c r="DN16" i="1"/>
  <c r="DN17" i="1"/>
  <c r="DN18" i="1"/>
  <c r="DN19" i="1"/>
  <c r="DN20" i="1"/>
  <c r="DN21" i="1"/>
  <c r="DN22" i="1"/>
  <c r="DN25" i="1"/>
  <c r="DN23" i="1" s="1"/>
  <c r="DN26" i="1"/>
  <c r="DN27" i="1"/>
  <c r="DN28" i="1"/>
  <c r="DN29" i="1"/>
  <c r="DN30" i="1"/>
  <c r="DN31" i="1"/>
  <c r="DN32" i="1"/>
  <c r="DN33" i="1"/>
  <c r="DN34" i="1"/>
  <c r="DN35" i="1"/>
  <c r="DN36" i="1"/>
  <c r="DN37" i="1"/>
  <c r="DN40" i="1"/>
  <c r="DN41" i="1"/>
  <c r="DN38" i="1" s="1"/>
  <c r="DN42" i="1"/>
  <c r="DN43" i="1"/>
  <c r="DN44" i="1"/>
  <c r="DN45" i="1"/>
  <c r="DN46" i="1"/>
  <c r="DN47" i="1"/>
  <c r="DN48" i="1"/>
  <c r="DN49" i="1"/>
  <c r="DN50" i="1"/>
  <c r="DN51" i="1"/>
  <c r="DN54" i="1"/>
  <c r="DN52" i="1" s="1"/>
  <c r="DN55" i="1"/>
  <c r="DN56" i="1"/>
  <c r="DN57" i="1"/>
  <c r="DN58" i="1"/>
  <c r="DN59" i="1"/>
  <c r="DN60" i="1"/>
  <c r="DN61" i="1"/>
  <c r="DN62" i="1"/>
  <c r="DN63" i="1"/>
  <c r="DN7" i="2"/>
  <c r="DN5" i="2" s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AI20" i="5" s="1"/>
  <c r="C26" i="7" s="1"/>
  <c r="DN21" i="2"/>
  <c r="DN22" i="2"/>
  <c r="DN25" i="2"/>
  <c r="DN26" i="2"/>
  <c r="L32" i="7" s="1"/>
  <c r="DN27" i="2"/>
  <c r="DN28" i="2"/>
  <c r="DN29" i="2"/>
  <c r="AI29" i="5" s="1"/>
  <c r="C35" i="7" s="1"/>
  <c r="DN30" i="2"/>
  <c r="DN31" i="2"/>
  <c r="DN32" i="2"/>
  <c r="DN33" i="2"/>
  <c r="DN34" i="2"/>
  <c r="AI34" i="5" s="1"/>
  <c r="C40" i="7" s="1"/>
  <c r="DN35" i="2"/>
  <c r="L41" i="7" s="1"/>
  <c r="DN36" i="2"/>
  <c r="DN37" i="2"/>
  <c r="M43" i="7" s="1"/>
  <c r="DN40" i="2"/>
  <c r="DN41" i="2"/>
  <c r="DN42" i="2"/>
  <c r="DN43" i="2"/>
  <c r="L49" i="7" s="1"/>
  <c r="DN44" i="2"/>
  <c r="DN45" i="2"/>
  <c r="DN46" i="2"/>
  <c r="DN47" i="2"/>
  <c r="DN48" i="2"/>
  <c r="DN49" i="2"/>
  <c r="DN50" i="2"/>
  <c r="DN51" i="2"/>
  <c r="DN54" i="2"/>
  <c r="DN55" i="2"/>
  <c r="L61" i="7" s="1"/>
  <c r="DN56" i="2"/>
  <c r="DN57" i="2"/>
  <c r="L63" i="7" s="1"/>
  <c r="DN58" i="2"/>
  <c r="DN59" i="2"/>
  <c r="DN60" i="2"/>
  <c r="DN61" i="2"/>
  <c r="M67" i="7" s="1"/>
  <c r="DN62" i="2"/>
  <c r="DN63" i="2"/>
  <c r="L35" i="7" l="1"/>
  <c r="AI35" i="5"/>
  <c r="C41" i="7" s="1"/>
  <c r="M41" i="7"/>
  <c r="L67" i="7"/>
  <c r="DN52" i="2"/>
  <c r="AI52" i="5" s="1"/>
  <c r="C58" i="7" s="1"/>
  <c r="DN38" i="2"/>
  <c r="AI37" i="5"/>
  <c r="C43" i="7" s="1"/>
  <c r="DN23" i="2"/>
  <c r="AI5" i="5"/>
  <c r="C11" i="7" s="1"/>
  <c r="L11" i="7"/>
  <c r="D29" i="7"/>
  <c r="E29" i="7"/>
  <c r="DN4" i="1"/>
  <c r="L58" i="7" l="1"/>
  <c r="M58" i="7"/>
  <c r="M44" i="7"/>
  <c r="L44" i="7"/>
  <c r="AI38" i="5"/>
  <c r="C44" i="7" s="1"/>
  <c r="DN4" i="2"/>
  <c r="AI4" i="5" s="1"/>
  <c r="C10" i="7" s="1"/>
  <c r="L29" i="7"/>
  <c r="M29" i="7"/>
  <c r="AI23" i="5"/>
  <c r="C29" i="7" s="1"/>
  <c r="E10" i="7"/>
  <c r="D10" i="7"/>
  <c r="L10" i="7" l="1"/>
  <c r="AF61" i="4" l="1"/>
  <c r="AF59" i="4"/>
  <c r="L58" i="4"/>
  <c r="W57" i="4"/>
  <c r="W56" i="4"/>
  <c r="L55" i="4"/>
  <c r="W36" i="4"/>
  <c r="W35" i="4"/>
  <c r="AF34" i="4"/>
  <c r="T41" i="7" s="1"/>
  <c r="AF33" i="4"/>
  <c r="T40" i="7" s="1"/>
  <c r="AF32" i="4"/>
  <c r="AF30" i="4"/>
  <c r="L29" i="4"/>
  <c r="AF28" i="4"/>
  <c r="T35" i="7" s="1"/>
  <c r="AF27" i="4"/>
  <c r="AF26" i="4"/>
  <c r="T33" i="7" s="1"/>
  <c r="AF25" i="4"/>
  <c r="T32" i="7" s="1"/>
  <c r="L24" i="4"/>
  <c r="L21" i="4"/>
  <c r="W20" i="4"/>
  <c r="AF19" i="4"/>
  <c r="T26" i="7" s="1"/>
  <c r="W18" i="4"/>
  <c r="AF16" i="4"/>
  <c r="W15" i="4"/>
  <c r="AF13" i="4"/>
  <c r="W12" i="4"/>
  <c r="AF11" i="4"/>
  <c r="AF10" i="4"/>
  <c r="AF9" i="4"/>
  <c r="AF8" i="4"/>
  <c r="W7" i="4"/>
  <c r="AF4" i="4"/>
  <c r="T11" i="7" s="1"/>
  <c r="AF22" i="4"/>
  <c r="L32" i="4"/>
  <c r="W60" i="4"/>
  <c r="W62" i="4"/>
  <c r="AF17" i="4"/>
  <c r="AF51" i="4"/>
  <c r="T58" i="7" s="1"/>
  <c r="W53" i="4"/>
  <c r="AF54" i="4"/>
  <c r="T61" i="7" s="1"/>
  <c r="AF6" i="4"/>
  <c r="AF12" i="4"/>
  <c r="AF14" i="4"/>
  <c r="AF15" i="4"/>
  <c r="AF21" i="4"/>
  <c r="AF29" i="4"/>
  <c r="AF31" i="4"/>
  <c r="AF36" i="4"/>
  <c r="T43" i="7" s="1"/>
  <c r="AF45" i="4"/>
  <c r="AF55" i="4"/>
  <c r="AF56" i="4"/>
  <c r="T63" i="7" s="1"/>
  <c r="AF60" i="4"/>
  <c r="T67" i="7" s="1"/>
  <c r="AF62" i="4"/>
  <c r="W4" i="4"/>
  <c r="W6" i="4"/>
  <c r="W13" i="4"/>
  <c r="W14" i="4"/>
  <c r="W22" i="4"/>
  <c r="W31" i="4"/>
  <c r="W32" i="4"/>
  <c r="L4" i="4"/>
  <c r="L6" i="4"/>
  <c r="L12" i="4"/>
  <c r="L14" i="4"/>
  <c r="L22" i="4"/>
  <c r="L30" i="4"/>
  <c r="L31" i="4"/>
  <c r="X3" i="4"/>
  <c r="X4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3" i="4"/>
  <c r="X54" i="4"/>
  <c r="X55" i="4"/>
  <c r="X56" i="4"/>
  <c r="X57" i="4"/>
  <c r="X58" i="4"/>
  <c r="X59" i="4"/>
  <c r="X60" i="4"/>
  <c r="X61" i="4"/>
  <c r="X62" i="4"/>
  <c r="AI52" i="3"/>
  <c r="AI38" i="3"/>
  <c r="AI23" i="3"/>
  <c r="AI5" i="3"/>
  <c r="AF58" i="4" l="1"/>
  <c r="L20" i="4"/>
  <c r="W29" i="4"/>
  <c r="AO29" i="4" s="1"/>
  <c r="L57" i="4"/>
  <c r="L56" i="4"/>
  <c r="AF57" i="4"/>
  <c r="W24" i="4"/>
  <c r="W55" i="4"/>
  <c r="AO55" i="4" s="1"/>
  <c r="L13" i="4"/>
  <c r="AO13" i="4" s="1"/>
  <c r="W30" i="4"/>
  <c r="AO30" i="4" s="1"/>
  <c r="AF20" i="4"/>
  <c r="W58" i="4"/>
  <c r="AO58" i="4" s="1"/>
  <c r="L15" i="4"/>
  <c r="AO15" i="4" s="1"/>
  <c r="L7" i="4"/>
  <c r="W21" i="4"/>
  <c r="AO21" i="4" s="1"/>
  <c r="AO12" i="4"/>
  <c r="AO32" i="4"/>
  <c r="AO4" i="4"/>
  <c r="AO22" i="4"/>
  <c r="AO20" i="4"/>
  <c r="AF24" i="4"/>
  <c r="AF7" i="4"/>
  <c r="AO31" i="4"/>
  <c r="AO14" i="4"/>
  <c r="L62" i="4"/>
  <c r="L54" i="4"/>
  <c r="L36" i="4"/>
  <c r="L28" i="4"/>
  <c r="L19" i="4"/>
  <c r="L11" i="4"/>
  <c r="W54" i="4"/>
  <c r="W28" i="4"/>
  <c r="W19" i="4"/>
  <c r="W11" i="4"/>
  <c r="L53" i="4"/>
  <c r="L35" i="4"/>
  <c r="L18" i="4"/>
  <c r="W61" i="4"/>
  <c r="W27" i="4"/>
  <c r="W10" i="4"/>
  <c r="AF53" i="4"/>
  <c r="AF35" i="4"/>
  <c r="AF18" i="4"/>
  <c r="L60" i="4"/>
  <c r="L51" i="4"/>
  <c r="L34" i="4"/>
  <c r="L26" i="4"/>
  <c r="L17" i="4"/>
  <c r="L9" i="4"/>
  <c r="AO9" i="4" s="1"/>
  <c r="W51" i="4"/>
  <c r="W34" i="4"/>
  <c r="W26" i="4"/>
  <c r="W17" i="4"/>
  <c r="W9" i="4"/>
  <c r="L61" i="4"/>
  <c r="L27" i="4"/>
  <c r="L10" i="4"/>
  <c r="AO10" i="4" s="1"/>
  <c r="L59" i="4"/>
  <c r="L33" i="4"/>
  <c r="L25" i="4"/>
  <c r="L16" i="4"/>
  <c r="L8" i="4"/>
  <c r="W59" i="4"/>
  <c r="W33" i="4"/>
  <c r="W25" i="4"/>
  <c r="W16" i="4"/>
  <c r="W8" i="4"/>
  <c r="AI4" i="3"/>
  <c r="AO53" i="4" l="1"/>
  <c r="AO16" i="4"/>
  <c r="AO18" i="4"/>
  <c r="AO19" i="4"/>
  <c r="AO25" i="4"/>
  <c r="AO24" i="4"/>
  <c r="AO57" i="4"/>
  <c r="AO34" i="4"/>
  <c r="AO8" i="4"/>
  <c r="AO27" i="4"/>
  <c r="AO35" i="4"/>
  <c r="AO28" i="4"/>
  <c r="AO61" i="4"/>
  <c r="AO17" i="4"/>
  <c r="AO33" i="4"/>
  <c r="AO26" i="4"/>
  <c r="AO54" i="4"/>
  <c r="AO59" i="4"/>
  <c r="AO51" i="4"/>
  <c r="AO11" i="4"/>
  <c r="CF52" i="2"/>
  <c r="CD38" i="2"/>
  <c r="CE38" i="2"/>
  <c r="CF38" i="2"/>
  <c r="CF23" i="2"/>
  <c r="CF5" i="2"/>
  <c r="BQ52" i="2"/>
  <c r="BQ38" i="2"/>
  <c r="BQ23" i="2"/>
  <c r="BQ5" i="2"/>
  <c r="AI23" i="2"/>
  <c r="AI52" i="2"/>
  <c r="AI38" i="2"/>
  <c r="CF52" i="1"/>
  <c r="CF38" i="1"/>
  <c r="CF23" i="1"/>
  <c r="CF5" i="1"/>
  <c r="BQ52" i="1"/>
  <c r="BQ38" i="1"/>
  <c r="BQ23" i="1"/>
  <c r="BQ5" i="1"/>
  <c r="AI52" i="1"/>
  <c r="AI38" i="1"/>
  <c r="AI23" i="1"/>
  <c r="AH23" i="1"/>
  <c r="AI5" i="1"/>
  <c r="AI5" i="2"/>
  <c r="BR5" i="2"/>
  <c r="BR23" i="2"/>
  <c r="BR38" i="2"/>
  <c r="BR52" i="2"/>
  <c r="Q29" i="7" l="1"/>
  <c r="P29" i="7"/>
  <c r="O58" i="7"/>
  <c r="N58" i="7"/>
  <c r="N44" i="7"/>
  <c r="O44" i="7"/>
  <c r="N29" i="7"/>
  <c r="O29" i="7"/>
  <c r="O11" i="7"/>
  <c r="N11" i="7"/>
  <c r="AI4" i="2"/>
  <c r="I29" i="7"/>
  <c r="H29" i="7"/>
  <c r="W47" i="4"/>
  <c r="W46" i="4"/>
  <c r="L45" i="4"/>
  <c r="W45" i="4"/>
  <c r="W44" i="4"/>
  <c r="W43" i="4"/>
  <c r="W39" i="4"/>
  <c r="W50" i="4"/>
  <c r="W42" i="4"/>
  <c r="W49" i="4"/>
  <c r="W41" i="4"/>
  <c r="W48" i="4"/>
  <c r="CF4" i="2"/>
  <c r="BQ4" i="2"/>
  <c r="CF4" i="1"/>
  <c r="BQ4" i="1"/>
  <c r="AI4" i="1"/>
  <c r="BR4" i="2"/>
  <c r="P10" i="7" l="1"/>
  <c r="O10" i="7"/>
  <c r="N10" i="7"/>
  <c r="H10" i="7"/>
  <c r="I10" i="7"/>
  <c r="W37" i="4"/>
  <c r="AF37" i="4"/>
  <c r="T44" i="7" s="1"/>
  <c r="L37" i="4"/>
  <c r="AF42" i="4"/>
  <c r="T49" i="7" s="1"/>
  <c r="L42" i="4"/>
  <c r="AO42" i="4" s="1"/>
  <c r="AF44" i="4"/>
  <c r="L44" i="4"/>
  <c r="AF50" i="4"/>
  <c r="L50" i="4"/>
  <c r="AO45" i="4"/>
  <c r="L41" i="4"/>
  <c r="AF41" i="4"/>
  <c r="AF39" i="4"/>
  <c r="L39" i="4"/>
  <c r="AO39" i="4" s="1"/>
  <c r="AF49" i="4"/>
  <c r="L49" i="4"/>
  <c r="AO49" i="4" s="1"/>
  <c r="L48" i="4"/>
  <c r="AF48" i="4"/>
  <c r="AF46" i="4"/>
  <c r="L46" i="4"/>
  <c r="L40" i="4"/>
  <c r="AF40" i="4"/>
  <c r="W40" i="4"/>
  <c r="AF43" i="4"/>
  <c r="L43" i="4"/>
  <c r="AF47" i="4"/>
  <c r="L47" i="4"/>
  <c r="AO44" i="4" l="1"/>
  <c r="AO41" i="4"/>
  <c r="AO37" i="4"/>
  <c r="AO43" i="4"/>
  <c r="AO40" i="4"/>
  <c r="AO47" i="4"/>
  <c r="AO46" i="4"/>
  <c r="W3" i="4"/>
  <c r="AO48" i="4"/>
  <c r="AO50" i="4"/>
  <c r="L3" i="4" l="1"/>
  <c r="AF3" i="4"/>
  <c r="T10" i="7" s="1"/>
  <c r="AE62" i="4"/>
  <c r="AE60" i="4"/>
  <c r="AE56" i="4"/>
  <c r="AE45" i="4"/>
  <c r="AE36" i="4"/>
  <c r="AE12" i="4"/>
  <c r="AE6" i="4"/>
  <c r="AH52" i="3"/>
  <c r="AH38" i="3"/>
  <c r="AH23" i="3"/>
  <c r="AH5" i="3"/>
  <c r="AO3" i="4" l="1"/>
  <c r="AH4" i="3"/>
  <c r="CE52" i="2"/>
  <c r="CE23" i="2"/>
  <c r="CE5" i="2"/>
  <c r="AH52" i="2"/>
  <c r="AH38" i="2"/>
  <c r="AH23" i="2"/>
  <c r="AH5" i="2"/>
  <c r="BP52" i="2"/>
  <c r="BP38" i="2"/>
  <c r="BP23" i="2"/>
  <c r="BP5" i="2"/>
  <c r="DM63" i="2"/>
  <c r="DM62" i="2"/>
  <c r="DM61" i="2"/>
  <c r="DM60" i="2"/>
  <c r="DM59" i="2"/>
  <c r="DM58" i="2"/>
  <c r="DM57" i="2"/>
  <c r="DM56" i="2"/>
  <c r="DM55" i="2"/>
  <c r="DM54" i="2"/>
  <c r="DM51" i="2"/>
  <c r="DM50" i="2"/>
  <c r="DM49" i="2"/>
  <c r="DM48" i="2"/>
  <c r="DM47" i="2"/>
  <c r="DM46" i="2"/>
  <c r="DM45" i="2"/>
  <c r="DM44" i="2"/>
  <c r="DM43" i="2"/>
  <c r="DM42" i="2"/>
  <c r="DM41" i="2"/>
  <c r="DM40" i="2"/>
  <c r="DM37" i="2"/>
  <c r="DM36" i="2"/>
  <c r="DM35" i="2"/>
  <c r="DM34" i="2"/>
  <c r="DM33" i="2"/>
  <c r="DM32" i="2"/>
  <c r="DM31" i="2"/>
  <c r="DM30" i="2"/>
  <c r="DM29" i="2"/>
  <c r="DM28" i="2"/>
  <c r="DM27" i="2"/>
  <c r="DM26" i="2"/>
  <c r="DM25" i="2"/>
  <c r="DM22" i="2"/>
  <c r="DM21" i="2"/>
  <c r="DM20" i="2"/>
  <c r="DM19" i="2"/>
  <c r="DM18" i="2"/>
  <c r="DM17" i="2"/>
  <c r="DM16" i="2"/>
  <c r="DM15" i="2"/>
  <c r="DM14" i="2"/>
  <c r="DM13" i="2"/>
  <c r="DM12" i="2"/>
  <c r="DM11" i="2"/>
  <c r="DM10" i="2"/>
  <c r="DM9" i="2"/>
  <c r="DM8" i="2"/>
  <c r="DM7" i="2"/>
  <c r="DM63" i="1"/>
  <c r="DM62" i="1"/>
  <c r="DM61" i="1"/>
  <c r="DM60" i="1"/>
  <c r="DM59" i="1"/>
  <c r="DM58" i="1"/>
  <c r="DM57" i="1"/>
  <c r="DM56" i="1"/>
  <c r="DM55" i="1"/>
  <c r="DM54" i="1"/>
  <c r="DM51" i="1"/>
  <c r="DM50" i="1"/>
  <c r="DM49" i="1"/>
  <c r="DM48" i="1"/>
  <c r="DM47" i="1"/>
  <c r="DM46" i="1"/>
  <c r="DM45" i="1"/>
  <c r="DM44" i="1"/>
  <c r="DM43" i="1"/>
  <c r="DM42" i="1"/>
  <c r="DM41" i="1"/>
  <c r="DM40" i="1"/>
  <c r="DM37" i="1"/>
  <c r="DM36" i="1"/>
  <c r="DM35" i="1"/>
  <c r="DM34" i="1"/>
  <c r="DM33" i="1"/>
  <c r="DM32" i="1"/>
  <c r="DM31" i="1"/>
  <c r="DM30" i="1"/>
  <c r="AH30" i="5" s="1"/>
  <c r="DM29" i="1"/>
  <c r="DM28" i="1"/>
  <c r="DM27" i="1"/>
  <c r="DM26" i="1"/>
  <c r="DM25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M7" i="1"/>
  <c r="CE52" i="1"/>
  <c r="CE38" i="1"/>
  <c r="CE23" i="1"/>
  <c r="CE5" i="1"/>
  <c r="BP52" i="1"/>
  <c r="BP38" i="1"/>
  <c r="BP23" i="1"/>
  <c r="BP5" i="1"/>
  <c r="AH52" i="1"/>
  <c r="AH38" i="1"/>
  <c r="AH5" i="1"/>
  <c r="AH40" i="5" l="1"/>
  <c r="AH58" i="5"/>
  <c r="K57" i="4" s="1"/>
  <c r="BP4" i="2"/>
  <c r="CE4" i="2"/>
  <c r="AH16" i="5"/>
  <c r="K15" i="4" s="1"/>
  <c r="AH26" i="5"/>
  <c r="AE25" i="4" s="1"/>
  <c r="AH34" i="5"/>
  <c r="K33" i="4" s="1"/>
  <c r="AH54" i="5"/>
  <c r="K53" i="4" s="1"/>
  <c r="AH62" i="5"/>
  <c r="AH9" i="5"/>
  <c r="K8" i="4" s="1"/>
  <c r="AH17" i="5"/>
  <c r="AH27" i="5"/>
  <c r="AH35" i="5"/>
  <c r="AH45" i="5"/>
  <c r="K44" i="4" s="1"/>
  <c r="AH63" i="5"/>
  <c r="K62" i="4" s="1"/>
  <c r="AH44" i="5"/>
  <c r="AH12" i="5"/>
  <c r="K11" i="4" s="1"/>
  <c r="AH48" i="5"/>
  <c r="V47" i="4" s="1"/>
  <c r="AH10" i="5"/>
  <c r="AH18" i="5"/>
  <c r="K17" i="4" s="1"/>
  <c r="AH28" i="5"/>
  <c r="AE27" i="4" s="1"/>
  <c r="AH36" i="5"/>
  <c r="V35" i="4" s="1"/>
  <c r="AH46" i="5"/>
  <c r="V45" i="4" s="1"/>
  <c r="AH11" i="5"/>
  <c r="V10" i="4" s="1"/>
  <c r="AH19" i="5"/>
  <c r="AH47" i="5"/>
  <c r="AE46" i="4" s="1"/>
  <c r="K26" i="4"/>
  <c r="AE47" i="4"/>
  <c r="V16" i="4"/>
  <c r="AH13" i="5"/>
  <c r="AH21" i="5"/>
  <c r="AH41" i="5"/>
  <c r="V40" i="4" s="1"/>
  <c r="AH49" i="5"/>
  <c r="V48" i="4" s="1"/>
  <c r="AH59" i="5"/>
  <c r="V58" i="4" s="1"/>
  <c r="AH14" i="5"/>
  <c r="AH22" i="5"/>
  <c r="AH32" i="5"/>
  <c r="V31" i="4" s="1"/>
  <c r="AH42" i="5"/>
  <c r="V41" i="4" s="1"/>
  <c r="AH50" i="5"/>
  <c r="V49" i="4" s="1"/>
  <c r="AH60" i="5"/>
  <c r="V59" i="4" s="1"/>
  <c r="AH7" i="5"/>
  <c r="AH15" i="5"/>
  <c r="V14" i="4" s="1"/>
  <c r="AH25" i="5"/>
  <c r="V24" i="4" s="1"/>
  <c r="AH33" i="5"/>
  <c r="AH51" i="5"/>
  <c r="V50" i="4" s="1"/>
  <c r="AH61" i="5"/>
  <c r="V29" i="4"/>
  <c r="AE53" i="4"/>
  <c r="K29" i="4"/>
  <c r="AE29" i="4"/>
  <c r="AH31" i="5"/>
  <c r="AE10" i="4"/>
  <c r="AH56" i="5"/>
  <c r="V55" i="4" s="1"/>
  <c r="AH37" i="5"/>
  <c r="AH57" i="5"/>
  <c r="AH43" i="5"/>
  <c r="V42" i="4" s="1"/>
  <c r="AH20" i="5"/>
  <c r="DM52" i="1"/>
  <c r="AH55" i="5"/>
  <c r="CE4" i="1"/>
  <c r="DM23" i="1"/>
  <c r="AH29" i="5"/>
  <c r="V28" i="4" s="1"/>
  <c r="DM5" i="1"/>
  <c r="AH8" i="5"/>
  <c r="V7" i="4" s="1"/>
  <c r="AH4" i="2"/>
  <c r="DM38" i="2"/>
  <c r="DM5" i="2"/>
  <c r="DM52" i="2"/>
  <c r="DM23" i="2"/>
  <c r="DM38" i="1"/>
  <c r="BP4" i="1"/>
  <c r="AH4" i="1"/>
  <c r="AE39" i="4" l="1"/>
  <c r="K60" i="4"/>
  <c r="V53" i="4"/>
  <c r="AN53" i="4" s="1"/>
  <c r="K10" i="4"/>
  <c r="AN10" i="4" s="1"/>
  <c r="K27" i="4"/>
  <c r="V44" i="4"/>
  <c r="V27" i="4"/>
  <c r="AE34" i="4"/>
  <c r="V8" i="4"/>
  <c r="K34" i="4"/>
  <c r="V46" i="4"/>
  <c r="V39" i="4"/>
  <c r="V26" i="4"/>
  <c r="K39" i="4"/>
  <c r="K45" i="4"/>
  <c r="AN45" i="4" s="1"/>
  <c r="V34" i="4"/>
  <c r="AE11" i="4"/>
  <c r="K18" i="4"/>
  <c r="AE35" i="4"/>
  <c r="AE44" i="4"/>
  <c r="V33" i="4"/>
  <c r="AE33" i="4"/>
  <c r="V43" i="4"/>
  <c r="K35" i="4"/>
  <c r="V25" i="4"/>
  <c r="K61" i="4"/>
  <c r="V61" i="4"/>
  <c r="K46" i="4"/>
  <c r="AE43" i="4"/>
  <c r="AE17" i="4"/>
  <c r="V17" i="4"/>
  <c r="AN17" i="4" s="1"/>
  <c r="V62" i="4"/>
  <c r="AE8" i="4"/>
  <c r="K25" i="4"/>
  <c r="K43" i="4"/>
  <c r="V18" i="4"/>
  <c r="AE26" i="4"/>
  <c r="K47" i="4"/>
  <c r="AN47" i="4" s="1"/>
  <c r="V60" i="4"/>
  <c r="V57" i="4"/>
  <c r="AE61" i="4"/>
  <c r="K9" i="4"/>
  <c r="AE16" i="4"/>
  <c r="V9" i="4"/>
  <c r="V15" i="4"/>
  <c r="AE18" i="4"/>
  <c r="AE9" i="4"/>
  <c r="K16" i="4"/>
  <c r="AE57" i="4"/>
  <c r="AE15" i="4"/>
  <c r="V11" i="4"/>
  <c r="AE20" i="4"/>
  <c r="K20" i="4"/>
  <c r="K32" i="4"/>
  <c r="AE32" i="4"/>
  <c r="AE21" i="4"/>
  <c r="K21" i="4"/>
  <c r="K12" i="4"/>
  <c r="AN29" i="4"/>
  <c r="V12" i="4"/>
  <c r="K24" i="4"/>
  <c r="AE24" i="4"/>
  <c r="K13" i="4"/>
  <c r="AE13" i="4"/>
  <c r="V21" i="4"/>
  <c r="K14" i="4"/>
  <c r="AE14" i="4"/>
  <c r="K6" i="4"/>
  <c r="V32" i="4"/>
  <c r="V6" i="4"/>
  <c r="K59" i="4"/>
  <c r="AE59" i="4"/>
  <c r="K58" i="4"/>
  <c r="AE58" i="4"/>
  <c r="K50" i="4"/>
  <c r="AE50" i="4"/>
  <c r="AE31" i="4"/>
  <c r="K31" i="4"/>
  <c r="K7" i="4"/>
  <c r="AE7" i="4"/>
  <c r="AE55" i="4"/>
  <c r="K55" i="4"/>
  <c r="AE30" i="4"/>
  <c r="K30" i="4"/>
  <c r="V13" i="4"/>
  <c r="K49" i="4"/>
  <c r="AE49" i="4"/>
  <c r="AE48" i="4"/>
  <c r="K48" i="4"/>
  <c r="V30" i="4"/>
  <c r="K41" i="4"/>
  <c r="AE41" i="4"/>
  <c r="AE40" i="4"/>
  <c r="K40" i="4"/>
  <c r="V20" i="4"/>
  <c r="AE54" i="4"/>
  <c r="K54" i="4"/>
  <c r="AH52" i="5"/>
  <c r="V51" i="4" s="1"/>
  <c r="K19" i="4"/>
  <c r="AE19" i="4"/>
  <c r="V56" i="4"/>
  <c r="K56" i="4"/>
  <c r="K36" i="4"/>
  <c r="V54" i="4"/>
  <c r="V36" i="4"/>
  <c r="AH23" i="5"/>
  <c r="AE42" i="4"/>
  <c r="K42" i="4"/>
  <c r="AH5" i="5"/>
  <c r="V4" i="4" s="1"/>
  <c r="V19" i="4"/>
  <c r="AH38" i="5"/>
  <c r="V37" i="4" s="1"/>
  <c r="AE28" i="4"/>
  <c r="K28" i="4"/>
  <c r="DM4" i="2"/>
  <c r="DM4" i="1"/>
  <c r="AN40" i="4" l="1"/>
  <c r="AN25" i="4"/>
  <c r="AN27" i="4"/>
  <c r="AN11" i="4"/>
  <c r="AN46" i="4"/>
  <c r="AN15" i="4"/>
  <c r="AN16" i="4"/>
  <c r="AN35" i="4"/>
  <c r="AN43" i="4"/>
  <c r="AN34" i="4"/>
  <c r="AN39" i="4"/>
  <c r="AN42" i="4"/>
  <c r="AN20" i="4"/>
  <c r="AN21" i="4"/>
  <c r="AN44" i="4"/>
  <c r="AN57" i="4"/>
  <c r="AN61" i="4"/>
  <c r="AN18" i="4"/>
  <c r="AN9" i="4"/>
  <c r="AN33" i="4"/>
  <c r="AN6" i="4"/>
  <c r="AN26" i="4"/>
  <c r="AN28" i="4"/>
  <c r="AN8" i="4"/>
  <c r="AN55" i="4"/>
  <c r="AN48" i="4"/>
  <c r="AH4" i="5"/>
  <c r="K3" i="4" s="1"/>
  <c r="AN41" i="4"/>
  <c r="AN58" i="4"/>
  <c r="AN24" i="4"/>
  <c r="AN49" i="4"/>
  <c r="AN50" i="4"/>
  <c r="AN59" i="4"/>
  <c r="AN7" i="4"/>
  <c r="AN32" i="4"/>
  <c r="AN30" i="4"/>
  <c r="AN13" i="4"/>
  <c r="AN31" i="4"/>
  <c r="AN14" i="4"/>
  <c r="AN12" i="4"/>
  <c r="AE37" i="4"/>
  <c r="K37" i="4"/>
  <c r="K22" i="4"/>
  <c r="AE22" i="4"/>
  <c r="AE51" i="4"/>
  <c r="K51" i="4"/>
  <c r="AE4" i="4"/>
  <c r="K4" i="4"/>
  <c r="V22" i="4"/>
  <c r="AN19" i="4"/>
  <c r="AN54" i="4"/>
  <c r="BY38" i="1"/>
  <c r="BZ38" i="1"/>
  <c r="CB38" i="1"/>
  <c r="CC38" i="1"/>
  <c r="CD38" i="1"/>
  <c r="J45" i="7" s="1"/>
  <c r="CC23" i="1"/>
  <c r="CD23" i="1"/>
  <c r="J30" i="7" s="1"/>
  <c r="AN37" i="4" l="1"/>
  <c r="V3" i="4"/>
  <c r="AE3" i="4"/>
  <c r="AN3" i="4"/>
  <c r="AN4" i="4"/>
  <c r="AN22" i="4"/>
  <c r="AN51" i="4"/>
  <c r="AB60" i="4"/>
  <c r="AA60" i="4"/>
  <c r="AC60" i="4"/>
  <c r="CG22" i="2"/>
  <c r="CH22" i="2"/>
  <c r="CI22" i="2"/>
  <c r="CJ22" i="2"/>
  <c r="CK22" i="2"/>
  <c r="CG18" i="2"/>
  <c r="CH18" i="2"/>
  <c r="CI18" i="2"/>
  <c r="CJ18" i="2"/>
  <c r="CK18" i="2"/>
  <c r="CG19" i="2"/>
  <c r="CH19" i="2"/>
  <c r="CI19" i="2"/>
  <c r="CJ19" i="2"/>
  <c r="CK19" i="2"/>
  <c r="CG20" i="2"/>
  <c r="CH20" i="2"/>
  <c r="CI20" i="2"/>
  <c r="CG21" i="2"/>
  <c r="CH21" i="2"/>
  <c r="CI21" i="2"/>
  <c r="CJ20" i="2"/>
  <c r="CJ21" i="2"/>
  <c r="CK20" i="2"/>
  <c r="CK21" i="2"/>
  <c r="AA43" i="4"/>
  <c r="AA36" i="4"/>
  <c r="AB36" i="4"/>
  <c r="AC36" i="4"/>
  <c r="AD36" i="4"/>
  <c r="AA62" i="4"/>
  <c r="AB62" i="4"/>
  <c r="AC62" i="4"/>
  <c r="AD62" i="4"/>
  <c r="AD60" i="4"/>
  <c r="W64" i="6" l="1"/>
  <c r="V64" i="6"/>
  <c r="W63" i="6"/>
  <c r="V63" i="6"/>
  <c r="W62" i="6"/>
  <c r="V62" i="6"/>
  <c r="W61" i="6"/>
  <c r="V61" i="6"/>
  <c r="W60" i="6"/>
  <c r="V60" i="6"/>
  <c r="W59" i="6"/>
  <c r="V59" i="6"/>
  <c r="W58" i="6"/>
  <c r="V58" i="6"/>
  <c r="W57" i="6"/>
  <c r="V57" i="6"/>
  <c r="W56" i="6"/>
  <c r="V56" i="6"/>
  <c r="W55" i="6"/>
  <c r="V55" i="6"/>
  <c r="W53" i="6"/>
  <c r="V53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39" i="6"/>
  <c r="V39" i="6"/>
  <c r="W38" i="6"/>
  <c r="V38" i="6"/>
  <c r="W37" i="6"/>
  <c r="V37" i="6"/>
  <c r="W36" i="6"/>
  <c r="V36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4" i="6"/>
  <c r="V24" i="6"/>
  <c r="W23" i="6"/>
  <c r="V23" i="6"/>
  <c r="W22" i="6"/>
  <c r="V22" i="6"/>
  <c r="W21" i="6"/>
  <c r="V21" i="6"/>
  <c r="W20" i="6"/>
  <c r="V20" i="6"/>
  <c r="W19" i="6"/>
  <c r="V19" i="6"/>
  <c r="W18" i="6"/>
  <c r="V18" i="6"/>
  <c r="W17" i="6"/>
  <c r="V17" i="6"/>
  <c r="W16" i="6"/>
  <c r="V16" i="6"/>
  <c r="W15" i="6"/>
  <c r="V15" i="6"/>
  <c r="W14" i="6"/>
  <c r="V14" i="6"/>
  <c r="W13" i="6"/>
  <c r="V13" i="6"/>
  <c r="W12" i="6"/>
  <c r="V12" i="6"/>
  <c r="W11" i="6"/>
  <c r="V11" i="6"/>
  <c r="W10" i="6"/>
  <c r="V10" i="6"/>
  <c r="W9" i="6"/>
  <c r="V9" i="6"/>
  <c r="W8" i="6"/>
  <c r="V8" i="6"/>
  <c r="W6" i="6"/>
  <c r="V6" i="6"/>
  <c r="W5" i="6"/>
  <c r="V5" i="6"/>
  <c r="I64" i="6"/>
  <c r="H64" i="6"/>
  <c r="I63" i="6"/>
  <c r="H63" i="6"/>
  <c r="I62" i="6"/>
  <c r="H62" i="6"/>
  <c r="I61" i="6"/>
  <c r="H61" i="6"/>
  <c r="I60" i="6"/>
  <c r="H60" i="6"/>
  <c r="I59" i="6"/>
  <c r="H59" i="6"/>
  <c r="I58" i="6"/>
  <c r="H58" i="6"/>
  <c r="I57" i="6"/>
  <c r="H57" i="6"/>
  <c r="I56" i="6"/>
  <c r="H56" i="6"/>
  <c r="I55" i="6"/>
  <c r="H55" i="6"/>
  <c r="I53" i="6"/>
  <c r="H53" i="6"/>
  <c r="I52" i="6"/>
  <c r="H52" i="6"/>
  <c r="I51" i="6"/>
  <c r="H51" i="6"/>
  <c r="I50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I42" i="6"/>
  <c r="H42" i="6"/>
  <c r="I41" i="6"/>
  <c r="H41" i="6"/>
  <c r="I39" i="6"/>
  <c r="H39" i="6"/>
  <c r="I38" i="6"/>
  <c r="H38" i="6"/>
  <c r="I37" i="6"/>
  <c r="H37" i="6"/>
  <c r="I36" i="6"/>
  <c r="H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6" i="6"/>
  <c r="H6" i="6"/>
  <c r="I5" i="6"/>
  <c r="H5" i="6"/>
  <c r="AC12" i="4" l="1"/>
  <c r="AD12" i="4"/>
  <c r="AD6" i="4" l="1"/>
  <c r="AD45" i="4"/>
  <c r="AD56" i="4"/>
  <c r="E63" i="7"/>
  <c r="AG5" i="3"/>
  <c r="AG23" i="3"/>
  <c r="AG38" i="3"/>
  <c r="AG52" i="3"/>
  <c r="DL12" i="2"/>
  <c r="DL7" i="2"/>
  <c r="DL8" i="2"/>
  <c r="DL9" i="2"/>
  <c r="DL10" i="2"/>
  <c r="DL11" i="2"/>
  <c r="DL13" i="2"/>
  <c r="DL14" i="2"/>
  <c r="DL15" i="2"/>
  <c r="DL16" i="2"/>
  <c r="DL17" i="2"/>
  <c r="DL18" i="2"/>
  <c r="DL19" i="2"/>
  <c r="DL20" i="2"/>
  <c r="DL21" i="2"/>
  <c r="DL22" i="2"/>
  <c r="DL25" i="2"/>
  <c r="DL26" i="2"/>
  <c r="DL27" i="2"/>
  <c r="DL28" i="2"/>
  <c r="DL29" i="2"/>
  <c r="DL30" i="2"/>
  <c r="DL31" i="2"/>
  <c r="DL32" i="2"/>
  <c r="DL33" i="2"/>
  <c r="DL34" i="2"/>
  <c r="DL35" i="2"/>
  <c r="DL36" i="2"/>
  <c r="DL37" i="2"/>
  <c r="DL40" i="2"/>
  <c r="DL41" i="2"/>
  <c r="DL42" i="2"/>
  <c r="DL43" i="2"/>
  <c r="DL44" i="2"/>
  <c r="DL45" i="2"/>
  <c r="DL46" i="2"/>
  <c r="DL47" i="2"/>
  <c r="DL48" i="2"/>
  <c r="DL49" i="2"/>
  <c r="DL50" i="2"/>
  <c r="DL51" i="2"/>
  <c r="DL54" i="2"/>
  <c r="DL55" i="2"/>
  <c r="DL56" i="2"/>
  <c r="DL57" i="2"/>
  <c r="DL58" i="2"/>
  <c r="DL59" i="2"/>
  <c r="DL60" i="2"/>
  <c r="DL61" i="2"/>
  <c r="DL62" i="2"/>
  <c r="DL63" i="2"/>
  <c r="CD52" i="2"/>
  <c r="CD23" i="2"/>
  <c r="CD5" i="2"/>
  <c r="BO5" i="2"/>
  <c r="BO23" i="2"/>
  <c r="BO38" i="2"/>
  <c r="BO52" i="2"/>
  <c r="AG5" i="2"/>
  <c r="AG23" i="2"/>
  <c r="AG38" i="2"/>
  <c r="AG52" i="2"/>
  <c r="DL44" i="1"/>
  <c r="DL7" i="1"/>
  <c r="DL8" i="1"/>
  <c r="DL9" i="1"/>
  <c r="DL10" i="1"/>
  <c r="DL11" i="1"/>
  <c r="DL12" i="1"/>
  <c r="DL13" i="1"/>
  <c r="DL14" i="1"/>
  <c r="DL15" i="1"/>
  <c r="DL16" i="1"/>
  <c r="DL17" i="1"/>
  <c r="DL18" i="1"/>
  <c r="DL19" i="1"/>
  <c r="DL20" i="1"/>
  <c r="DL21" i="1"/>
  <c r="DL22" i="1"/>
  <c r="DL25" i="1"/>
  <c r="DL26" i="1"/>
  <c r="DL27" i="1"/>
  <c r="DL28" i="1"/>
  <c r="DL29" i="1"/>
  <c r="DL30" i="1"/>
  <c r="DL31" i="1"/>
  <c r="DL32" i="1"/>
  <c r="DL33" i="1"/>
  <c r="DL34" i="1"/>
  <c r="DL35" i="1"/>
  <c r="DL36" i="1"/>
  <c r="DL37" i="1"/>
  <c r="DL40" i="1"/>
  <c r="DL41" i="1"/>
  <c r="DL42" i="1"/>
  <c r="DL43" i="1"/>
  <c r="DL45" i="1"/>
  <c r="DL46" i="1"/>
  <c r="DL47" i="1"/>
  <c r="DL48" i="1"/>
  <c r="DL49" i="1"/>
  <c r="DL50" i="1"/>
  <c r="DL51" i="1"/>
  <c r="DL54" i="1"/>
  <c r="DL55" i="1"/>
  <c r="DL56" i="1"/>
  <c r="DL57" i="1"/>
  <c r="DL58" i="1"/>
  <c r="DL59" i="1"/>
  <c r="DL60" i="1"/>
  <c r="DL61" i="1"/>
  <c r="DL62" i="1"/>
  <c r="DL63" i="1"/>
  <c r="DK7" i="1"/>
  <c r="CD5" i="1"/>
  <c r="CD52" i="1"/>
  <c r="BO52" i="1"/>
  <c r="BO38" i="1"/>
  <c r="BO23" i="1"/>
  <c r="BO5" i="1"/>
  <c r="AG5" i="1"/>
  <c r="AG23" i="1"/>
  <c r="AG38" i="1"/>
  <c r="AF52" i="1"/>
  <c r="AG52" i="1"/>
  <c r="AG35" i="5" l="1"/>
  <c r="AG25" i="5"/>
  <c r="AD24" i="4" s="1"/>
  <c r="AG46" i="5"/>
  <c r="U45" i="4" s="1"/>
  <c r="AG45" i="5"/>
  <c r="AD44" i="4" s="1"/>
  <c r="AG37" i="5"/>
  <c r="U36" i="4" s="1"/>
  <c r="AG34" i="5"/>
  <c r="J33" i="4" s="1"/>
  <c r="AG29" i="5"/>
  <c r="AD28" i="4" s="1"/>
  <c r="AG40" i="5"/>
  <c r="AD39" i="4" s="1"/>
  <c r="AG28" i="5"/>
  <c r="AD27" i="4" s="1"/>
  <c r="AG43" i="5"/>
  <c r="U42" i="4" s="1"/>
  <c r="AG41" i="5"/>
  <c r="J40" i="4" s="1"/>
  <c r="AG42" i="5"/>
  <c r="U41" i="4" s="1"/>
  <c r="AG59" i="5"/>
  <c r="J58" i="4" s="1"/>
  <c r="AG49" i="5"/>
  <c r="J48" i="4" s="1"/>
  <c r="AG48" i="5"/>
  <c r="U47" i="4" s="1"/>
  <c r="U24" i="4"/>
  <c r="AG13" i="5"/>
  <c r="J12" i="4" s="1"/>
  <c r="AG20" i="5"/>
  <c r="AG14" i="5"/>
  <c r="AD13" i="4" s="1"/>
  <c r="AG8" i="5"/>
  <c r="J7" i="4" s="1"/>
  <c r="AG62" i="5"/>
  <c r="AG58" i="5"/>
  <c r="AG26" i="5"/>
  <c r="U25" i="4" s="1"/>
  <c r="BO4" i="2"/>
  <c r="DL52" i="2"/>
  <c r="AG47" i="5"/>
  <c r="DL23" i="2"/>
  <c r="AG51" i="5"/>
  <c r="AG33" i="5"/>
  <c r="J32" i="4" s="1"/>
  <c r="AG32" i="5"/>
  <c r="AG36" i="5"/>
  <c r="J27" i="4"/>
  <c r="CD4" i="1"/>
  <c r="AG16" i="5"/>
  <c r="AD15" i="4" s="1"/>
  <c r="AG17" i="5"/>
  <c r="AD16" i="4" s="1"/>
  <c r="AG63" i="5"/>
  <c r="AG61" i="5"/>
  <c r="J60" i="4" s="1"/>
  <c r="AG60" i="5"/>
  <c r="J59" i="4" s="1"/>
  <c r="AG56" i="5"/>
  <c r="J55" i="4" s="1"/>
  <c r="AG55" i="5"/>
  <c r="AG54" i="5"/>
  <c r="AG50" i="5"/>
  <c r="J45" i="4"/>
  <c r="AM45" i="4" s="1"/>
  <c r="U28" i="4"/>
  <c r="J24" i="4"/>
  <c r="AG31" i="5"/>
  <c r="J30" i="4" s="1"/>
  <c r="AG30" i="5"/>
  <c r="AG4" i="1"/>
  <c r="DL38" i="2"/>
  <c r="CD4" i="2"/>
  <c r="DL5" i="2"/>
  <c r="AG22" i="5"/>
  <c r="J21" i="4" s="1"/>
  <c r="AG21" i="5"/>
  <c r="J20" i="4" s="1"/>
  <c r="AG19" i="5"/>
  <c r="J18" i="4" s="1"/>
  <c r="AG18" i="5"/>
  <c r="AG11" i="5"/>
  <c r="AG9" i="5"/>
  <c r="J8" i="4" s="1"/>
  <c r="AG7" i="5"/>
  <c r="U34" i="4"/>
  <c r="AD34" i="4"/>
  <c r="AG15" i="5"/>
  <c r="AG10" i="5"/>
  <c r="AG12" i="5"/>
  <c r="DL5" i="1"/>
  <c r="DL52" i="1"/>
  <c r="DL38" i="1"/>
  <c r="AG44" i="5"/>
  <c r="J34" i="4"/>
  <c r="AG27" i="5"/>
  <c r="BO4" i="1"/>
  <c r="DL23" i="1"/>
  <c r="AG57" i="5"/>
  <c r="U56" i="4" s="1"/>
  <c r="AG4" i="3"/>
  <c r="AG4" i="2"/>
  <c r="U58" i="4" l="1"/>
  <c r="U44" i="4"/>
  <c r="U12" i="4"/>
  <c r="AM12" i="4" s="1"/>
  <c r="J44" i="4"/>
  <c r="AM44" i="4" s="1"/>
  <c r="AD48" i="4"/>
  <c r="J36" i="4"/>
  <c r="AD42" i="4"/>
  <c r="J28" i="4"/>
  <c r="AM28" i="4" s="1"/>
  <c r="U40" i="4"/>
  <c r="AD47" i="4"/>
  <c r="AD33" i="4"/>
  <c r="J16" i="4"/>
  <c r="J13" i="4"/>
  <c r="U33" i="4"/>
  <c r="J41" i="4"/>
  <c r="U16" i="4"/>
  <c r="AD41" i="4"/>
  <c r="J42" i="4"/>
  <c r="U27" i="4"/>
  <c r="AM27" i="4" s="1"/>
  <c r="U13" i="4"/>
  <c r="AD40" i="4"/>
  <c r="U48" i="4"/>
  <c r="U19" i="4"/>
  <c r="J39" i="4"/>
  <c r="U39" i="4"/>
  <c r="J47" i="4"/>
  <c r="J19" i="4"/>
  <c r="AM24" i="4"/>
  <c r="AD58" i="4"/>
  <c r="J57" i="4"/>
  <c r="AD57" i="4"/>
  <c r="U57" i="4"/>
  <c r="AD46" i="4"/>
  <c r="J46" i="4"/>
  <c r="U7" i="4"/>
  <c r="AD7" i="4"/>
  <c r="AD19" i="4"/>
  <c r="U61" i="4"/>
  <c r="J61" i="4"/>
  <c r="AD61" i="4"/>
  <c r="U46" i="4"/>
  <c r="U26" i="4"/>
  <c r="AD26" i="4"/>
  <c r="J25" i="4"/>
  <c r="AD25" i="4"/>
  <c r="AD10" i="4"/>
  <c r="J10" i="4"/>
  <c r="U60" i="4"/>
  <c r="U50" i="4"/>
  <c r="J50" i="4"/>
  <c r="AD50" i="4"/>
  <c r="U35" i="4"/>
  <c r="AD35" i="4"/>
  <c r="J31" i="4"/>
  <c r="AD31" i="4"/>
  <c r="U31" i="4"/>
  <c r="AD32" i="4"/>
  <c r="U32" i="4"/>
  <c r="J35" i="4"/>
  <c r="U15" i="4"/>
  <c r="J15" i="4"/>
  <c r="U54" i="4"/>
  <c r="AD54" i="4"/>
  <c r="J54" i="4"/>
  <c r="U62" i="4"/>
  <c r="J62" i="4"/>
  <c r="AD59" i="4"/>
  <c r="U59" i="4"/>
  <c r="U53" i="4"/>
  <c r="AD53" i="4"/>
  <c r="J53" i="4"/>
  <c r="U55" i="4"/>
  <c r="AD55" i="4"/>
  <c r="U49" i="4"/>
  <c r="AD49" i="4"/>
  <c r="J49" i="4"/>
  <c r="U29" i="4"/>
  <c r="AD29" i="4"/>
  <c r="AD30" i="4"/>
  <c r="U30" i="4"/>
  <c r="J29" i="4"/>
  <c r="AG52" i="5"/>
  <c r="DL4" i="2"/>
  <c r="AD21" i="4"/>
  <c r="U21" i="4"/>
  <c r="AD20" i="4"/>
  <c r="U20" i="4"/>
  <c r="AD18" i="4"/>
  <c r="U18" i="4"/>
  <c r="AD17" i="4"/>
  <c r="U17" i="4"/>
  <c r="U10" i="4"/>
  <c r="J17" i="4"/>
  <c r="U8" i="4"/>
  <c r="AD8" i="4"/>
  <c r="J6" i="4"/>
  <c r="U6" i="4"/>
  <c r="AM34" i="4"/>
  <c r="AD43" i="4"/>
  <c r="U43" i="4"/>
  <c r="AD14" i="4"/>
  <c r="U14" i="4"/>
  <c r="J14" i="4"/>
  <c r="AD9" i="4"/>
  <c r="U9" i="4"/>
  <c r="J9" i="4"/>
  <c r="AD11" i="4"/>
  <c r="U11" i="4"/>
  <c r="J11" i="4"/>
  <c r="AG5" i="5"/>
  <c r="AG38" i="5"/>
  <c r="DL4" i="1"/>
  <c r="J43" i="4"/>
  <c r="AG23" i="5"/>
  <c r="J26" i="4"/>
  <c r="J56" i="4"/>
  <c r="AM48" i="4" l="1"/>
  <c r="AM42" i="4"/>
  <c r="AM33" i="4"/>
  <c r="AM40" i="4"/>
  <c r="AM47" i="4"/>
  <c r="AM13" i="4"/>
  <c r="AM30" i="4"/>
  <c r="AM46" i="4"/>
  <c r="AM16" i="4"/>
  <c r="AM15" i="4"/>
  <c r="AM58" i="4"/>
  <c r="AM41" i="4"/>
  <c r="AM39" i="4"/>
  <c r="AM20" i="4"/>
  <c r="AM32" i="4"/>
  <c r="AM7" i="4"/>
  <c r="AM21" i="4"/>
  <c r="AM19" i="4"/>
  <c r="AM57" i="4"/>
  <c r="AM55" i="4"/>
  <c r="AM29" i="4"/>
  <c r="AM26" i="4"/>
  <c r="AM18" i="4"/>
  <c r="AM10" i="4"/>
  <c r="AM6" i="4"/>
  <c r="AM61" i="4"/>
  <c r="AM53" i="4"/>
  <c r="AM49" i="4"/>
  <c r="AM35" i="4"/>
  <c r="AM25" i="4"/>
  <c r="AM54" i="4"/>
  <c r="AM59" i="4"/>
  <c r="AM50" i="4"/>
  <c r="AM31" i="4"/>
  <c r="AM8" i="4"/>
  <c r="AD51" i="4"/>
  <c r="J51" i="4"/>
  <c r="U51" i="4"/>
  <c r="AM17" i="4"/>
  <c r="U22" i="4"/>
  <c r="AD22" i="4"/>
  <c r="U37" i="4"/>
  <c r="AD37" i="4"/>
  <c r="J37" i="4"/>
  <c r="AM43" i="4"/>
  <c r="AM14" i="4"/>
  <c r="AM11" i="4"/>
  <c r="AM9" i="4"/>
  <c r="J4" i="4"/>
  <c r="AD4" i="4"/>
  <c r="U4" i="4"/>
  <c r="AG4" i="5"/>
  <c r="J22" i="4"/>
  <c r="AC6" i="4"/>
  <c r="AC45" i="4"/>
  <c r="AC56" i="4"/>
  <c r="AF52" i="3"/>
  <c r="AF38" i="3"/>
  <c r="AF23" i="3"/>
  <c r="AF5" i="3"/>
  <c r="AM51" i="4" l="1"/>
  <c r="AM22" i="4"/>
  <c r="AM37" i="4"/>
  <c r="AM4" i="4"/>
  <c r="U3" i="4"/>
  <c r="AD3" i="4"/>
  <c r="J3" i="4"/>
  <c r="AF4" i="3"/>
  <c r="DJ7" i="2"/>
  <c r="DK7" i="2"/>
  <c r="DJ8" i="2"/>
  <c r="DK8" i="2"/>
  <c r="DJ9" i="2"/>
  <c r="DK9" i="2"/>
  <c r="DJ10" i="2"/>
  <c r="AE10" i="5" s="1"/>
  <c r="DK10" i="2"/>
  <c r="DJ11" i="2"/>
  <c r="DK11" i="2"/>
  <c r="DJ12" i="2"/>
  <c r="DK12" i="2"/>
  <c r="DJ13" i="2"/>
  <c r="DK13" i="2"/>
  <c r="DJ14" i="2"/>
  <c r="AE14" i="5" s="1"/>
  <c r="DK14" i="2"/>
  <c r="DJ15" i="2"/>
  <c r="DK15" i="2"/>
  <c r="DJ16" i="2"/>
  <c r="DK16" i="2"/>
  <c r="DJ17" i="2"/>
  <c r="DK17" i="2"/>
  <c r="DJ18" i="2"/>
  <c r="DK18" i="2"/>
  <c r="DJ19" i="2"/>
  <c r="DK19" i="2"/>
  <c r="DJ20" i="2"/>
  <c r="DK20" i="2"/>
  <c r="DJ21" i="2"/>
  <c r="DK21" i="2"/>
  <c r="DJ22" i="2"/>
  <c r="DK22" i="2"/>
  <c r="DJ25" i="2"/>
  <c r="DK25" i="2"/>
  <c r="DJ26" i="2"/>
  <c r="DK26" i="2"/>
  <c r="DJ27" i="2"/>
  <c r="DK27" i="2"/>
  <c r="DJ28" i="2"/>
  <c r="DK28" i="2"/>
  <c r="DJ29" i="2"/>
  <c r="DK29" i="2"/>
  <c r="DJ30" i="2"/>
  <c r="DK30" i="2"/>
  <c r="DJ31" i="2"/>
  <c r="DK31" i="2"/>
  <c r="DJ32" i="2"/>
  <c r="DK32" i="2"/>
  <c r="DJ33" i="2"/>
  <c r="DK33" i="2"/>
  <c r="DJ34" i="2"/>
  <c r="DK34" i="2"/>
  <c r="DJ35" i="2"/>
  <c r="DK35" i="2"/>
  <c r="DJ36" i="2"/>
  <c r="DK36" i="2"/>
  <c r="DJ37" i="2"/>
  <c r="DK37" i="2"/>
  <c r="DJ40" i="2"/>
  <c r="DK40" i="2"/>
  <c r="DJ41" i="2"/>
  <c r="DK41" i="2"/>
  <c r="DJ42" i="2"/>
  <c r="AE42" i="5" s="1"/>
  <c r="DK42" i="2"/>
  <c r="DJ43" i="2"/>
  <c r="DK43" i="2"/>
  <c r="DJ44" i="2"/>
  <c r="DK44" i="2"/>
  <c r="DJ45" i="2"/>
  <c r="DK45" i="2"/>
  <c r="DJ46" i="2"/>
  <c r="AE46" i="5" s="1"/>
  <c r="DK46" i="2"/>
  <c r="DJ47" i="2"/>
  <c r="DK47" i="2"/>
  <c r="DJ48" i="2"/>
  <c r="DK48" i="2"/>
  <c r="DJ49" i="2"/>
  <c r="DK49" i="2"/>
  <c r="DJ50" i="2"/>
  <c r="AE50" i="5" s="1"/>
  <c r="DK50" i="2"/>
  <c r="DJ51" i="2"/>
  <c r="DK51" i="2"/>
  <c r="DJ54" i="2"/>
  <c r="DK54" i="2"/>
  <c r="DJ55" i="2"/>
  <c r="DK55" i="2"/>
  <c r="DJ56" i="2"/>
  <c r="DK56" i="2"/>
  <c r="DJ57" i="2"/>
  <c r="DK57" i="2"/>
  <c r="DJ58" i="2"/>
  <c r="DK58" i="2"/>
  <c r="DJ59" i="2"/>
  <c r="DK59" i="2"/>
  <c r="DJ60" i="2"/>
  <c r="DK60" i="2"/>
  <c r="DJ61" i="2"/>
  <c r="DK61" i="2"/>
  <c r="DJ62" i="2"/>
  <c r="DK62" i="2"/>
  <c r="DJ63" i="2"/>
  <c r="DK63" i="2"/>
  <c r="DI41" i="2"/>
  <c r="DI42" i="2"/>
  <c r="DI43" i="2"/>
  <c r="DI44" i="2"/>
  <c r="DI45" i="2"/>
  <c r="DI46" i="2"/>
  <c r="DI47" i="2"/>
  <c r="DI48" i="2"/>
  <c r="DI49" i="2"/>
  <c r="DI50" i="2"/>
  <c r="DI51" i="2"/>
  <c r="CC52" i="2"/>
  <c r="CC38" i="2"/>
  <c r="CC23" i="2"/>
  <c r="CC5" i="2"/>
  <c r="BN52" i="2"/>
  <c r="BN23" i="2"/>
  <c r="BN38" i="2"/>
  <c r="BN5" i="2"/>
  <c r="AF52" i="2"/>
  <c r="AF38" i="2"/>
  <c r="AF23" i="2"/>
  <c r="AF5" i="2"/>
  <c r="DJ7" i="1"/>
  <c r="DJ8" i="1"/>
  <c r="DK8" i="1"/>
  <c r="DJ9" i="1"/>
  <c r="DK9" i="1"/>
  <c r="DJ10" i="1"/>
  <c r="DK10" i="1"/>
  <c r="DJ11" i="1"/>
  <c r="DK11" i="1"/>
  <c r="DJ12" i="1"/>
  <c r="DK12" i="1"/>
  <c r="DJ13" i="1"/>
  <c r="DK13" i="1"/>
  <c r="DJ14" i="1"/>
  <c r="DK14" i="1"/>
  <c r="DJ15" i="1"/>
  <c r="DK15" i="1"/>
  <c r="DJ16" i="1"/>
  <c r="DK16" i="1"/>
  <c r="DJ17" i="1"/>
  <c r="DK17" i="1"/>
  <c r="DJ18" i="1"/>
  <c r="DK18" i="1"/>
  <c r="DJ19" i="1"/>
  <c r="DK19" i="1"/>
  <c r="DJ20" i="1"/>
  <c r="DK20" i="1"/>
  <c r="DJ21" i="1"/>
  <c r="DK21" i="1"/>
  <c r="DJ22" i="1"/>
  <c r="DK22" i="1"/>
  <c r="DJ25" i="1"/>
  <c r="DK25" i="1"/>
  <c r="DJ26" i="1"/>
  <c r="DK26" i="1"/>
  <c r="DJ27" i="1"/>
  <c r="DK27" i="1"/>
  <c r="DJ28" i="1"/>
  <c r="DK28" i="1"/>
  <c r="DJ29" i="1"/>
  <c r="AE29" i="5" s="1"/>
  <c r="DK29" i="1"/>
  <c r="DJ30" i="1"/>
  <c r="AE30" i="5" s="1"/>
  <c r="DK30" i="1"/>
  <c r="DJ31" i="1"/>
  <c r="DK31" i="1"/>
  <c r="DJ32" i="1"/>
  <c r="DK32" i="1"/>
  <c r="DJ33" i="1"/>
  <c r="DK33" i="1"/>
  <c r="DJ34" i="1"/>
  <c r="DK34" i="1"/>
  <c r="DJ35" i="1"/>
  <c r="DK35" i="1"/>
  <c r="DJ36" i="1"/>
  <c r="DK36" i="1"/>
  <c r="DJ37" i="1"/>
  <c r="AE37" i="5" s="1"/>
  <c r="DK37" i="1"/>
  <c r="DJ40" i="1"/>
  <c r="DK40" i="1"/>
  <c r="DJ41" i="1"/>
  <c r="DK41" i="1"/>
  <c r="DJ42" i="1"/>
  <c r="DK42" i="1"/>
  <c r="DJ43" i="1"/>
  <c r="DK43" i="1"/>
  <c r="DJ44" i="1"/>
  <c r="DK44" i="1"/>
  <c r="DJ45" i="1"/>
  <c r="DK45" i="1"/>
  <c r="DJ46" i="1"/>
  <c r="DK46" i="1"/>
  <c r="DJ47" i="1"/>
  <c r="DK47" i="1"/>
  <c r="DJ48" i="1"/>
  <c r="DK48" i="1"/>
  <c r="DJ49" i="1"/>
  <c r="DK49" i="1"/>
  <c r="DJ50" i="1"/>
  <c r="DK50" i="1"/>
  <c r="DJ51" i="1"/>
  <c r="DK51" i="1"/>
  <c r="DJ54" i="1"/>
  <c r="DK54" i="1"/>
  <c r="DJ55" i="1"/>
  <c r="DK55" i="1"/>
  <c r="DJ56" i="1"/>
  <c r="DK56" i="1"/>
  <c r="DJ57" i="1"/>
  <c r="DK57" i="1"/>
  <c r="DJ58" i="1"/>
  <c r="AE58" i="5" s="1"/>
  <c r="DK58" i="1"/>
  <c r="DJ59" i="1"/>
  <c r="DK59" i="1"/>
  <c r="DJ60" i="1"/>
  <c r="DK60" i="1"/>
  <c r="DJ61" i="1"/>
  <c r="DK61" i="1"/>
  <c r="DJ62" i="1"/>
  <c r="DK62" i="1"/>
  <c r="DJ63" i="1"/>
  <c r="DK63" i="1"/>
  <c r="CC52" i="1"/>
  <c r="CB23" i="1"/>
  <c r="CC5" i="1"/>
  <c r="BN52" i="1"/>
  <c r="BN38" i="1"/>
  <c r="BN23" i="1"/>
  <c r="BN5" i="1"/>
  <c r="AF38" i="1"/>
  <c r="AF23" i="1"/>
  <c r="AF5" i="1"/>
  <c r="AE18" i="5" l="1"/>
  <c r="AE49" i="5"/>
  <c r="AE45" i="5"/>
  <c r="AE41" i="5"/>
  <c r="AE21" i="5"/>
  <c r="AE17" i="5"/>
  <c r="AE13" i="5"/>
  <c r="AE9" i="5"/>
  <c r="DJ38" i="1"/>
  <c r="AE20" i="5"/>
  <c r="AF4" i="1"/>
  <c r="AE16" i="5"/>
  <c r="AE51" i="5"/>
  <c r="AE43" i="5"/>
  <c r="AE15" i="5"/>
  <c r="AE7" i="5"/>
  <c r="AE44" i="5"/>
  <c r="AE8" i="5"/>
  <c r="AE59" i="5"/>
  <c r="AE35" i="5"/>
  <c r="AE63" i="5"/>
  <c r="AE62" i="5"/>
  <c r="AE56" i="5"/>
  <c r="AE54" i="5"/>
  <c r="AE33" i="5"/>
  <c r="AE36" i="5"/>
  <c r="AE28" i="5"/>
  <c r="AE31" i="5"/>
  <c r="AE32" i="5"/>
  <c r="AE27" i="5"/>
  <c r="AE26" i="5"/>
  <c r="AE55" i="5"/>
  <c r="AE61" i="5"/>
  <c r="S60" i="4" s="1"/>
  <c r="AE60" i="5"/>
  <c r="AE34" i="5"/>
  <c r="AE48" i="5"/>
  <c r="AE40" i="5"/>
  <c r="AE47" i="5"/>
  <c r="DK38" i="1"/>
  <c r="AE22" i="5"/>
  <c r="AE12" i="5"/>
  <c r="AB11" i="4" s="1"/>
  <c r="DK5" i="1"/>
  <c r="AE19" i="5"/>
  <c r="DJ5" i="1"/>
  <c r="AE11" i="5"/>
  <c r="AM3" i="4"/>
  <c r="AF22" i="5"/>
  <c r="AF12" i="5"/>
  <c r="T11" i="4" s="1"/>
  <c r="DJ23" i="2"/>
  <c r="DK52" i="2"/>
  <c r="AF18" i="5"/>
  <c r="T17" i="4" s="1"/>
  <c r="AF14" i="5"/>
  <c r="AF8" i="5"/>
  <c r="T7" i="4" s="1"/>
  <c r="DJ52" i="2"/>
  <c r="AF20" i="5"/>
  <c r="T19" i="4" s="1"/>
  <c r="AF16" i="5"/>
  <c r="AF10" i="5"/>
  <c r="T9" i="4" s="1"/>
  <c r="AF21" i="5"/>
  <c r="AF17" i="5"/>
  <c r="AF15" i="5"/>
  <c r="AF13" i="5"/>
  <c r="AF11" i="5"/>
  <c r="AF9" i="5"/>
  <c r="AF7" i="5"/>
  <c r="AF47" i="5"/>
  <c r="AF51" i="5"/>
  <c r="T50" i="4" s="1"/>
  <c r="AF45" i="5"/>
  <c r="AF49" i="5"/>
  <c r="T48" i="4" s="1"/>
  <c r="AF43" i="5"/>
  <c r="AF4" i="2"/>
  <c r="BN4" i="2"/>
  <c r="AF50" i="5"/>
  <c r="T49" i="4" s="1"/>
  <c r="AF48" i="5"/>
  <c r="T47" i="4" s="1"/>
  <c r="AF46" i="5"/>
  <c r="AF44" i="5"/>
  <c r="AF42" i="5"/>
  <c r="AF40" i="5"/>
  <c r="T39" i="4" s="1"/>
  <c r="AF62" i="5"/>
  <c r="I61" i="4" s="1"/>
  <c r="AF60" i="5"/>
  <c r="AF58" i="5"/>
  <c r="AF56" i="5"/>
  <c r="I55" i="4" s="1"/>
  <c r="AF54" i="5"/>
  <c r="I53" i="4" s="1"/>
  <c r="AF36" i="5"/>
  <c r="AF34" i="5"/>
  <c r="I33" i="4" s="1"/>
  <c r="AF32" i="5"/>
  <c r="I31" i="4" s="1"/>
  <c r="AF30" i="5"/>
  <c r="AF28" i="5"/>
  <c r="DK23" i="1"/>
  <c r="AF26" i="5"/>
  <c r="DJ52" i="1"/>
  <c r="AE57" i="5"/>
  <c r="DJ23" i="1"/>
  <c r="AE25" i="5"/>
  <c r="AF63" i="5"/>
  <c r="AF61" i="5"/>
  <c r="AF59" i="5"/>
  <c r="I58" i="4" s="1"/>
  <c r="AF55" i="5"/>
  <c r="AF37" i="5"/>
  <c r="AF35" i="5"/>
  <c r="AF33" i="5"/>
  <c r="AF31" i="5"/>
  <c r="I30" i="4" s="1"/>
  <c r="AF29" i="5"/>
  <c r="I28" i="4" s="1"/>
  <c r="AF25" i="5"/>
  <c r="I24" i="4" s="1"/>
  <c r="DK5" i="2"/>
  <c r="AF19" i="5"/>
  <c r="DJ5" i="2"/>
  <c r="AF41" i="5"/>
  <c r="T40" i="4" s="1"/>
  <c r="DJ38" i="2"/>
  <c r="DK38" i="2"/>
  <c r="DK23" i="2"/>
  <c r="AF27" i="5"/>
  <c r="T26" i="4" s="1"/>
  <c r="DK52" i="1"/>
  <c r="AF57" i="5"/>
  <c r="CC4" i="2"/>
  <c r="CC4" i="1"/>
  <c r="BN4" i="1"/>
  <c r="DJ4" i="1" l="1"/>
  <c r="AC10" i="4"/>
  <c r="T10" i="4"/>
  <c r="I10" i="4"/>
  <c r="T20" i="4"/>
  <c r="AC20" i="4"/>
  <c r="I20" i="4"/>
  <c r="T15" i="4"/>
  <c r="I15" i="4"/>
  <c r="AC15" i="4"/>
  <c r="AC13" i="4"/>
  <c r="I13" i="4"/>
  <c r="I8" i="4"/>
  <c r="T8" i="4"/>
  <c r="AC8" i="4"/>
  <c r="AC16" i="4"/>
  <c r="I16" i="4"/>
  <c r="AC9" i="4"/>
  <c r="I9" i="4"/>
  <c r="AC7" i="4"/>
  <c r="I7" i="4"/>
  <c r="AC21" i="4"/>
  <c r="I21" i="4"/>
  <c r="T13" i="4"/>
  <c r="I6" i="4"/>
  <c r="I14" i="4"/>
  <c r="AC14" i="4"/>
  <c r="T14" i="4"/>
  <c r="AC11" i="4"/>
  <c r="I11" i="4"/>
  <c r="T16" i="4"/>
  <c r="T12" i="4"/>
  <c r="I12" i="4"/>
  <c r="I19" i="4"/>
  <c r="AC19" i="4"/>
  <c r="I17" i="4"/>
  <c r="AC17" i="4"/>
  <c r="T21" i="4"/>
  <c r="T6" i="4"/>
  <c r="DK4" i="2"/>
  <c r="I45" i="4"/>
  <c r="T45" i="4"/>
  <c r="I50" i="4"/>
  <c r="AC50" i="4"/>
  <c r="T43" i="4"/>
  <c r="AC43" i="4"/>
  <c r="I43" i="4"/>
  <c r="T46" i="4"/>
  <c r="I46" i="4"/>
  <c r="AC46" i="4"/>
  <c r="I49" i="4"/>
  <c r="AC49" i="4"/>
  <c r="AC48" i="4"/>
  <c r="I48" i="4"/>
  <c r="I44" i="4"/>
  <c r="AC44" i="4"/>
  <c r="I41" i="4"/>
  <c r="AC41" i="4"/>
  <c r="DJ4" i="2"/>
  <c r="AC39" i="4"/>
  <c r="I39" i="4"/>
  <c r="AC47" i="4"/>
  <c r="I47" i="4"/>
  <c r="T42" i="4"/>
  <c r="I42" i="4"/>
  <c r="AC42" i="4"/>
  <c r="T44" i="4"/>
  <c r="T41" i="4"/>
  <c r="T28" i="4"/>
  <c r="AC28" i="4"/>
  <c r="T36" i="4"/>
  <c r="T32" i="4"/>
  <c r="AC32" i="4"/>
  <c r="I32" i="4"/>
  <c r="AC58" i="4"/>
  <c r="T58" i="4"/>
  <c r="AC29" i="4"/>
  <c r="T29" i="4"/>
  <c r="AC33" i="4"/>
  <c r="T33" i="4"/>
  <c r="I59" i="4"/>
  <c r="AC59" i="4"/>
  <c r="T59" i="4"/>
  <c r="T24" i="4"/>
  <c r="AC24" i="4"/>
  <c r="AC30" i="4"/>
  <c r="T30" i="4"/>
  <c r="I54" i="4"/>
  <c r="AC54" i="4"/>
  <c r="T54" i="4"/>
  <c r="AC25" i="4"/>
  <c r="T25" i="4"/>
  <c r="I25" i="4"/>
  <c r="T27" i="4"/>
  <c r="AC27" i="4"/>
  <c r="I27" i="4"/>
  <c r="I29" i="4"/>
  <c r="T57" i="4"/>
  <c r="I57" i="4"/>
  <c r="AC57" i="4"/>
  <c r="T55" i="4"/>
  <c r="AC55" i="4"/>
  <c r="I34" i="4"/>
  <c r="AC34" i="4"/>
  <c r="T34" i="4"/>
  <c r="T60" i="4"/>
  <c r="I60" i="4"/>
  <c r="T35" i="4"/>
  <c r="AC35" i="4"/>
  <c r="AC53" i="4"/>
  <c r="T53" i="4"/>
  <c r="T62" i="4"/>
  <c r="I62" i="4"/>
  <c r="AC31" i="4"/>
  <c r="T31" i="4"/>
  <c r="I35" i="4"/>
  <c r="AC61" i="4"/>
  <c r="T61" i="4"/>
  <c r="I36" i="4"/>
  <c r="I18" i="4"/>
  <c r="AC18" i="4"/>
  <c r="T18" i="4"/>
  <c r="AF5" i="5"/>
  <c r="AC4" i="4" s="1"/>
  <c r="AF38" i="5"/>
  <c r="T37" i="4" s="1"/>
  <c r="AC40" i="4"/>
  <c r="I40" i="4"/>
  <c r="I26" i="4"/>
  <c r="AC26" i="4"/>
  <c r="AF23" i="5"/>
  <c r="T22" i="4" s="1"/>
  <c r="AF52" i="5"/>
  <c r="I51" i="4" s="1"/>
  <c r="DK4" i="1"/>
  <c r="T56" i="4"/>
  <c r="I56" i="4"/>
  <c r="AL17" i="4" l="1"/>
  <c r="AL11" i="4"/>
  <c r="AL16" i="4"/>
  <c r="AL7" i="4"/>
  <c r="AL20" i="4"/>
  <c r="AL13" i="4"/>
  <c r="AL12" i="4"/>
  <c r="AL9" i="4"/>
  <c r="AL8" i="4"/>
  <c r="AL15" i="4"/>
  <c r="AL10" i="4"/>
  <c r="AL14" i="4"/>
  <c r="AL21" i="4"/>
  <c r="AL19" i="4"/>
  <c r="AL6" i="4"/>
  <c r="AL24" i="4"/>
  <c r="AL48" i="4"/>
  <c r="AL49" i="4"/>
  <c r="AL50" i="4"/>
  <c r="AL55" i="4"/>
  <c r="AL33" i="4"/>
  <c r="AL58" i="4"/>
  <c r="AL47" i="4"/>
  <c r="AL41" i="4"/>
  <c r="AL46" i="4"/>
  <c r="AL43" i="4"/>
  <c r="AL39" i="4"/>
  <c r="AL42" i="4"/>
  <c r="AL44" i="4"/>
  <c r="AL45" i="4"/>
  <c r="AL31" i="4"/>
  <c r="AL53" i="4"/>
  <c r="AL27" i="4"/>
  <c r="AL54" i="4"/>
  <c r="AL30" i="4"/>
  <c r="AL28" i="4"/>
  <c r="AL61" i="4"/>
  <c r="AL34" i="4"/>
  <c r="AL35" i="4"/>
  <c r="AL57" i="4"/>
  <c r="AL25" i="4"/>
  <c r="AL29" i="4"/>
  <c r="AL32" i="4"/>
  <c r="AL40" i="4"/>
  <c r="AL18" i="4"/>
  <c r="T4" i="4"/>
  <c r="I4" i="4"/>
  <c r="I37" i="4"/>
  <c r="AC37" i="4"/>
  <c r="AL26" i="4"/>
  <c r="I22" i="4"/>
  <c r="AC22" i="4"/>
  <c r="T29" i="7" s="1"/>
  <c r="AF4" i="5"/>
  <c r="AC3" i="4" s="1"/>
  <c r="AC51" i="4"/>
  <c r="T51" i="4"/>
  <c r="AL51" i="4" l="1"/>
  <c r="AL4" i="4"/>
  <c r="AL37" i="4"/>
  <c r="AL22" i="4"/>
  <c r="T3" i="4"/>
  <c r="I3" i="4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5" i="6"/>
  <c r="AA56" i="6"/>
  <c r="AA57" i="6"/>
  <c r="AA58" i="6"/>
  <c r="AA59" i="6"/>
  <c r="AA60" i="6"/>
  <c r="AA61" i="6"/>
  <c r="AA62" i="6"/>
  <c r="AA63" i="6"/>
  <c r="AA64" i="6"/>
  <c r="AA8" i="6"/>
  <c r="AL3" i="4" l="1"/>
  <c r="Z56" i="6"/>
  <c r="Z57" i="6"/>
  <c r="Z58" i="6"/>
  <c r="AB58" i="6" s="1"/>
  <c r="AC58" i="6" s="1"/>
  <c r="Z59" i="6"/>
  <c r="AB59" i="6" s="1"/>
  <c r="AC59" i="6" s="1"/>
  <c r="Z60" i="6"/>
  <c r="AB60" i="6" s="1"/>
  <c r="AC60" i="6" s="1"/>
  <c r="Z61" i="6"/>
  <c r="Z62" i="6"/>
  <c r="AB62" i="6" s="1"/>
  <c r="AC62" i="6" s="1"/>
  <c r="Z64" i="6"/>
  <c r="AB64" i="6" s="1"/>
  <c r="AC64" i="6" s="1"/>
  <c r="Z55" i="6"/>
  <c r="AB55" i="6" s="1"/>
  <c r="AC55" i="6" s="1"/>
  <c r="Z42" i="6"/>
  <c r="P42" i="6" s="1"/>
  <c r="Z43" i="6"/>
  <c r="Z44" i="6"/>
  <c r="Z45" i="6"/>
  <c r="P45" i="6" s="1"/>
  <c r="Z46" i="6"/>
  <c r="AB46" i="6" s="1"/>
  <c r="AC46" i="6" s="1"/>
  <c r="Z47" i="6"/>
  <c r="AB47" i="6" s="1"/>
  <c r="AC47" i="6" s="1"/>
  <c r="Z48" i="6"/>
  <c r="Z49" i="6"/>
  <c r="Z50" i="6"/>
  <c r="AB50" i="6" s="1"/>
  <c r="AC50" i="6" s="1"/>
  <c r="Z51" i="6"/>
  <c r="Z52" i="6"/>
  <c r="Z41" i="6"/>
  <c r="Z27" i="6"/>
  <c r="Z28" i="6"/>
  <c r="Z29" i="6"/>
  <c r="AB29" i="6" s="1"/>
  <c r="AC29" i="6" s="1"/>
  <c r="Z30" i="6"/>
  <c r="AB30" i="6" s="1"/>
  <c r="AC30" i="6" s="1"/>
  <c r="Z31" i="6"/>
  <c r="P31" i="6" s="1"/>
  <c r="Z33" i="6"/>
  <c r="AB33" i="6" s="1"/>
  <c r="AC33" i="6" s="1"/>
  <c r="Z34" i="6"/>
  <c r="P34" i="6" s="1"/>
  <c r="Z35" i="6"/>
  <c r="Z36" i="6"/>
  <c r="Z37" i="6"/>
  <c r="AB37" i="6" s="1"/>
  <c r="AC37" i="6" s="1"/>
  <c r="Z38" i="6"/>
  <c r="AB38" i="6" s="1"/>
  <c r="AC38" i="6" s="1"/>
  <c r="Z26" i="6"/>
  <c r="Z9" i="6"/>
  <c r="Z10" i="6"/>
  <c r="Z11" i="6"/>
  <c r="Z12" i="6"/>
  <c r="AB12" i="6" s="1"/>
  <c r="AC12" i="6" s="1"/>
  <c r="Z13" i="6"/>
  <c r="AB13" i="6" s="1"/>
  <c r="AC13" i="6" s="1"/>
  <c r="Z14" i="6"/>
  <c r="Z15" i="6"/>
  <c r="Z16" i="6"/>
  <c r="P16" i="6" s="1"/>
  <c r="Z17" i="6"/>
  <c r="P17" i="6" s="1"/>
  <c r="Z18" i="6"/>
  <c r="Z19" i="6"/>
  <c r="Z20" i="6"/>
  <c r="AB20" i="6" s="1"/>
  <c r="AC20" i="6" s="1"/>
  <c r="Z21" i="6"/>
  <c r="AB21" i="6" s="1"/>
  <c r="AC21" i="6" s="1"/>
  <c r="Z22" i="6"/>
  <c r="P22" i="6" s="1"/>
  <c r="Z23" i="6"/>
  <c r="Z8" i="6"/>
  <c r="P8" i="6" s="1"/>
  <c r="X64" i="6"/>
  <c r="Y64" i="6" s="1"/>
  <c r="R64" i="6"/>
  <c r="R62" i="6"/>
  <c r="X61" i="6"/>
  <c r="Y61" i="6" s="1"/>
  <c r="R60" i="6"/>
  <c r="R59" i="6"/>
  <c r="R58" i="6"/>
  <c r="X57" i="6"/>
  <c r="Y57" i="6" s="1"/>
  <c r="P57" i="6"/>
  <c r="R56" i="6"/>
  <c r="R55" i="6"/>
  <c r="P55" i="6"/>
  <c r="X53" i="6"/>
  <c r="Y53" i="6" s="1"/>
  <c r="R52" i="6"/>
  <c r="R51" i="6"/>
  <c r="X50" i="6"/>
  <c r="Y50" i="6" s="1"/>
  <c r="R50" i="6"/>
  <c r="X49" i="6"/>
  <c r="Y49" i="6" s="1"/>
  <c r="R49" i="6"/>
  <c r="X48" i="6"/>
  <c r="Y48" i="6" s="1"/>
  <c r="R47" i="6"/>
  <c r="X46" i="6"/>
  <c r="Y46" i="6" s="1"/>
  <c r="R46" i="6"/>
  <c r="R45" i="6"/>
  <c r="R44" i="6"/>
  <c r="X44" i="6"/>
  <c r="Y44" i="6" s="1"/>
  <c r="X42" i="6"/>
  <c r="Y42" i="6" s="1"/>
  <c r="R42" i="6"/>
  <c r="X41" i="6"/>
  <c r="Y41" i="6" s="1"/>
  <c r="R41" i="6"/>
  <c r="X39" i="6"/>
  <c r="Y39" i="6" s="1"/>
  <c r="R38" i="6"/>
  <c r="X37" i="6"/>
  <c r="Y37" i="6" s="1"/>
  <c r="X36" i="6"/>
  <c r="Y36" i="6" s="1"/>
  <c r="R36" i="6"/>
  <c r="X34" i="6"/>
  <c r="Y34" i="6" s="1"/>
  <c r="R34" i="6"/>
  <c r="X33" i="6"/>
  <c r="Y33" i="6" s="1"/>
  <c r="R33" i="6"/>
  <c r="X32" i="6"/>
  <c r="Y32" i="6" s="1"/>
  <c r="R32" i="6"/>
  <c r="X31" i="6"/>
  <c r="Y31" i="6" s="1"/>
  <c r="R30" i="6"/>
  <c r="R29" i="6"/>
  <c r="X28" i="6"/>
  <c r="Y28" i="6" s="1"/>
  <c r="R28" i="6"/>
  <c r="X27" i="6"/>
  <c r="Y27" i="6" s="1"/>
  <c r="R26" i="6"/>
  <c r="X26" i="6"/>
  <c r="Y26" i="6" s="1"/>
  <c r="X24" i="6"/>
  <c r="Y24" i="6" s="1"/>
  <c r="X23" i="6"/>
  <c r="Y23" i="6" s="1"/>
  <c r="R23" i="6"/>
  <c r="X22" i="6"/>
  <c r="Y22" i="6" s="1"/>
  <c r="R21" i="6"/>
  <c r="R19" i="6"/>
  <c r="X17" i="6"/>
  <c r="Y17" i="6" s="1"/>
  <c r="R17" i="6"/>
  <c r="X16" i="6"/>
  <c r="Y16" i="6" s="1"/>
  <c r="R16" i="6"/>
  <c r="X15" i="6"/>
  <c r="Y15" i="6" s="1"/>
  <c r="R15" i="6"/>
  <c r="X14" i="6"/>
  <c r="Y14" i="6" s="1"/>
  <c r="R13" i="6"/>
  <c r="R12" i="6"/>
  <c r="X11" i="6"/>
  <c r="Y11" i="6" s="1"/>
  <c r="R11" i="6"/>
  <c r="X10" i="6"/>
  <c r="Y10" i="6" s="1"/>
  <c r="R9" i="6"/>
  <c r="X8" i="6"/>
  <c r="Y8" i="6" s="1"/>
  <c r="R8" i="6"/>
  <c r="X5" i="6"/>
  <c r="Y5" i="6" s="1"/>
  <c r="P59" i="6" l="1"/>
  <c r="T59" i="6" s="1"/>
  <c r="R57" i="6"/>
  <c r="T57" i="6" s="1"/>
  <c r="X9" i="6"/>
  <c r="Y9" i="6" s="1"/>
  <c r="P14" i="6"/>
  <c r="X19" i="6"/>
  <c r="Y19" i="6" s="1"/>
  <c r="X38" i="6"/>
  <c r="Y38" i="6" s="1"/>
  <c r="P48" i="6"/>
  <c r="X51" i="6"/>
  <c r="Y51" i="6" s="1"/>
  <c r="X62" i="6"/>
  <c r="Y62" i="6" s="1"/>
  <c r="P51" i="6"/>
  <c r="P43" i="6"/>
  <c r="P26" i="6"/>
  <c r="P19" i="6"/>
  <c r="P11" i="6"/>
  <c r="X43" i="6"/>
  <c r="Y43" i="6" s="1"/>
  <c r="R18" i="6"/>
  <c r="P15" i="6"/>
  <c r="P49" i="6"/>
  <c r="X60" i="6"/>
  <c r="Y60" i="6" s="1"/>
  <c r="P36" i="6"/>
  <c r="X20" i="6"/>
  <c r="Y20" i="6" s="1"/>
  <c r="R35" i="6"/>
  <c r="X59" i="6"/>
  <c r="Y59" i="6" s="1"/>
  <c r="R22" i="6"/>
  <c r="P28" i="6"/>
  <c r="T28" i="6" s="1"/>
  <c r="X56" i="6"/>
  <c r="Y56" i="6" s="1"/>
  <c r="X12" i="6"/>
  <c r="Y12" i="6" s="1"/>
  <c r="R37" i="6"/>
  <c r="X6" i="6"/>
  <c r="Y6" i="6" s="1"/>
  <c r="R10" i="6"/>
  <c r="R14" i="6"/>
  <c r="R20" i="6"/>
  <c r="P23" i="6"/>
  <c r="T23" i="6" s="1"/>
  <c r="R27" i="6"/>
  <c r="X29" i="6"/>
  <c r="Y29" i="6" s="1"/>
  <c r="R31" i="6"/>
  <c r="T31" i="6" s="1"/>
  <c r="X35" i="6"/>
  <c r="Y35" i="6" s="1"/>
  <c r="P41" i="6"/>
  <c r="R43" i="6"/>
  <c r="X45" i="6"/>
  <c r="Y45" i="6" s="1"/>
  <c r="R48" i="6"/>
  <c r="P9" i="6"/>
  <c r="P52" i="6"/>
  <c r="T52" i="6" s="1"/>
  <c r="P18" i="6"/>
  <c r="T55" i="6"/>
  <c r="AB22" i="6"/>
  <c r="AC22" i="6" s="1"/>
  <c r="AB23" i="6"/>
  <c r="AC23" i="6" s="1"/>
  <c r="AB31" i="6"/>
  <c r="AC31" i="6" s="1"/>
  <c r="AB48" i="6"/>
  <c r="AC48" i="6" s="1"/>
  <c r="AB49" i="6"/>
  <c r="AC49" i="6" s="1"/>
  <c r="AB56" i="6"/>
  <c r="AC56" i="6" s="1"/>
  <c r="P56" i="6"/>
  <c r="X52" i="6"/>
  <c r="Y52" i="6" s="1"/>
  <c r="AB8" i="6"/>
  <c r="AC8" i="6" s="1"/>
  <c r="AB16" i="6"/>
  <c r="AC16" i="6" s="1"/>
  <c r="P33" i="6"/>
  <c r="AB57" i="6"/>
  <c r="AC57" i="6" s="1"/>
  <c r="AB9" i="6"/>
  <c r="AC9" i="6" s="1"/>
  <c r="X30" i="6"/>
  <c r="Y30" i="6" s="1"/>
  <c r="AB51" i="6"/>
  <c r="AC51" i="6" s="1"/>
  <c r="T8" i="6"/>
  <c r="P10" i="6"/>
  <c r="AB18" i="6"/>
  <c r="AC18" i="6" s="1"/>
  <c r="P27" i="6"/>
  <c r="AB27" i="6"/>
  <c r="AC27" i="6" s="1"/>
  <c r="AB28" i="6"/>
  <c r="AC28" i="6" s="1"/>
  <c r="P35" i="6"/>
  <c r="AB35" i="6"/>
  <c r="AC35" i="6" s="1"/>
  <c r="AB36" i="6"/>
  <c r="AC36" i="6" s="1"/>
  <c r="T42" i="6"/>
  <c r="P44" i="6"/>
  <c r="AB44" i="6"/>
  <c r="AC44" i="6" s="1"/>
  <c r="AB45" i="6"/>
  <c r="AC45" i="6" s="1"/>
  <c r="AB52" i="6"/>
  <c r="AC52" i="6" s="1"/>
  <c r="AB15" i="6"/>
  <c r="AC15" i="6" s="1"/>
  <c r="X18" i="6"/>
  <c r="Y18" i="6" s="1"/>
  <c r="AB42" i="6"/>
  <c r="AC42" i="6" s="1"/>
  <c r="P50" i="6"/>
  <c r="X13" i="6"/>
  <c r="Y13" i="6" s="1"/>
  <c r="AB17" i="6"/>
  <c r="AC17" i="6" s="1"/>
  <c r="X21" i="6"/>
  <c r="Y21" i="6" s="1"/>
  <c r="AB26" i="6"/>
  <c r="AC26" i="6" s="1"/>
  <c r="AB34" i="6"/>
  <c r="AC34" i="6" s="1"/>
  <c r="X47" i="6"/>
  <c r="Y47" i="6" s="1"/>
  <c r="AB10" i="6"/>
  <c r="AC10" i="6" s="1"/>
  <c r="AB11" i="6"/>
  <c r="AC11" i="6" s="1"/>
  <c r="T16" i="6"/>
  <c r="P13" i="6"/>
  <c r="T17" i="6"/>
  <c r="P21" i="6"/>
  <c r="P30" i="6"/>
  <c r="T34" i="6"/>
  <c r="P38" i="6"/>
  <c r="P47" i="6"/>
  <c r="X58" i="6"/>
  <c r="Y58" i="6" s="1"/>
  <c r="P58" i="6"/>
  <c r="R63" i="6"/>
  <c r="X63" i="6"/>
  <c r="Y63" i="6" s="1"/>
  <c r="AB14" i="6"/>
  <c r="AC14" i="6" s="1"/>
  <c r="AB41" i="6"/>
  <c r="AC41" i="6" s="1"/>
  <c r="X55" i="6"/>
  <c r="Y55" i="6" s="1"/>
  <c r="AB43" i="6"/>
  <c r="AC43" i="6" s="1"/>
  <c r="AB61" i="6"/>
  <c r="AC61" i="6" s="1"/>
  <c r="R61" i="6"/>
  <c r="AB19" i="6"/>
  <c r="AC19" i="6" s="1"/>
  <c r="T9" i="6"/>
  <c r="P12" i="6"/>
  <c r="P20" i="6"/>
  <c r="P29" i="6"/>
  <c r="P37" i="6"/>
  <c r="T45" i="6"/>
  <c r="P46" i="6"/>
  <c r="P61" i="6"/>
  <c r="P60" i="6"/>
  <c r="P64" i="6"/>
  <c r="P62" i="6"/>
  <c r="AB45" i="4"/>
  <c r="AB6" i="4"/>
  <c r="AB56" i="4"/>
  <c r="H24" i="4"/>
  <c r="H31" i="4"/>
  <c r="AE5" i="3"/>
  <c r="AE5" i="5" s="1"/>
  <c r="AE23" i="3"/>
  <c r="AE23" i="5" s="1"/>
  <c r="AE38" i="3"/>
  <c r="AE38" i="5" s="1"/>
  <c r="AE52" i="3"/>
  <c r="AE52" i="5" s="1"/>
  <c r="H49" i="4"/>
  <c r="CB52" i="2"/>
  <c r="CB38" i="2"/>
  <c r="CB23" i="2"/>
  <c r="CB5" i="2"/>
  <c r="BM52" i="2"/>
  <c r="BM38" i="2"/>
  <c r="BM23" i="2"/>
  <c r="BM5" i="2"/>
  <c r="AE5" i="2"/>
  <c r="AE23" i="2"/>
  <c r="AE38" i="2"/>
  <c r="AE52" i="2"/>
  <c r="BM52" i="1"/>
  <c r="BM38" i="1"/>
  <c r="BM23" i="1"/>
  <c r="BM5" i="1"/>
  <c r="AE5" i="1"/>
  <c r="AE23" i="1"/>
  <c r="AE38" i="1"/>
  <c r="AE52" i="1"/>
  <c r="H42" i="4" l="1"/>
  <c r="S10" i="4"/>
  <c r="S12" i="4"/>
  <c r="AB12" i="4"/>
  <c r="H12" i="4"/>
  <c r="S48" i="4"/>
  <c r="AB48" i="4"/>
  <c r="H48" i="4"/>
  <c r="S62" i="4"/>
  <c r="H34" i="4"/>
  <c r="H33" i="4"/>
  <c r="H11" i="4"/>
  <c r="AE4" i="3"/>
  <c r="AE4" i="5" s="1"/>
  <c r="AB24" i="4"/>
  <c r="H10" i="4"/>
  <c r="AB10" i="4"/>
  <c r="AB28" i="4"/>
  <c r="S28" i="4"/>
  <c r="H26" i="4"/>
  <c r="H19" i="4"/>
  <c r="H56" i="4"/>
  <c r="S30" i="4"/>
  <c r="AB49" i="4"/>
  <c r="AB31" i="4"/>
  <c r="S29" i="4"/>
  <c r="H57" i="4"/>
  <c r="S57" i="4"/>
  <c r="H21" i="4"/>
  <c r="S55" i="4"/>
  <c r="H59" i="4"/>
  <c r="AB59" i="4"/>
  <c r="H53" i="4"/>
  <c r="AB57" i="4"/>
  <c r="H55" i="4"/>
  <c r="H61" i="4"/>
  <c r="S59" i="4"/>
  <c r="AB55" i="4"/>
  <c r="S45" i="4"/>
  <c r="S42" i="4"/>
  <c r="H50" i="4"/>
  <c r="S50" i="4"/>
  <c r="AB50" i="4"/>
  <c r="H46" i="4"/>
  <c r="H45" i="4"/>
  <c r="H40" i="4"/>
  <c r="AB35" i="4"/>
  <c r="S35" i="4"/>
  <c r="S32" i="4"/>
  <c r="H27" i="4"/>
  <c r="AB32" i="4"/>
  <c r="H32" i="4"/>
  <c r="H25" i="4"/>
  <c r="H35" i="4"/>
  <c r="S13" i="4"/>
  <c r="AB13" i="4"/>
  <c r="AB21" i="4"/>
  <c r="S21" i="4"/>
  <c r="H15" i="4"/>
  <c r="H13" i="4"/>
  <c r="AB17" i="4"/>
  <c r="S14" i="4"/>
  <c r="AB14" i="4"/>
  <c r="H14" i="4"/>
  <c r="AA6" i="6"/>
  <c r="AA39" i="6"/>
  <c r="AA24" i="6"/>
  <c r="AA53" i="6"/>
  <c r="H36" i="4"/>
  <c r="H60" i="4"/>
  <c r="T51" i="6"/>
  <c r="T22" i="6"/>
  <c r="T26" i="6"/>
  <c r="T36" i="6"/>
  <c r="T37" i="6"/>
  <c r="T11" i="6"/>
  <c r="T15" i="6"/>
  <c r="T19" i="6"/>
  <c r="T14" i="6"/>
  <c r="T49" i="6"/>
  <c r="T58" i="6"/>
  <c r="T21" i="6"/>
  <c r="T48" i="6"/>
  <c r="T20" i="6"/>
  <c r="T41" i="6"/>
  <c r="T43" i="6"/>
  <c r="T44" i="6"/>
  <c r="T47" i="6"/>
  <c r="T33" i="6"/>
  <c r="T12" i="6"/>
  <c r="T10" i="6"/>
  <c r="T18" i="6"/>
  <c r="T64" i="6"/>
  <c r="T60" i="6"/>
  <c r="T62" i="6"/>
  <c r="T38" i="6"/>
  <c r="T13" i="6"/>
  <c r="T50" i="6"/>
  <c r="T30" i="6"/>
  <c r="T35" i="6"/>
  <c r="T29" i="6"/>
  <c r="T61" i="6"/>
  <c r="T46" i="6"/>
  <c r="T56" i="6"/>
  <c r="T27" i="6"/>
  <c r="S17" i="4"/>
  <c r="H17" i="4"/>
  <c r="H28" i="4"/>
  <c r="S34" i="4"/>
  <c r="S26" i="4"/>
  <c r="AB34" i="4"/>
  <c r="AB26" i="4"/>
  <c r="AB33" i="4"/>
  <c r="S49" i="4"/>
  <c r="S24" i="4"/>
  <c r="S33" i="4"/>
  <c r="S31" i="4"/>
  <c r="H62" i="4"/>
  <c r="CB4" i="2"/>
  <c r="R59" i="7" s="1"/>
  <c r="BM4" i="2"/>
  <c r="AE4" i="2"/>
  <c r="AE4" i="1"/>
  <c r="BM4" i="1"/>
  <c r="AK31" i="4" l="1"/>
  <c r="AK24" i="4"/>
  <c r="AK28" i="4"/>
  <c r="AK45" i="4"/>
  <c r="AK50" i="4"/>
  <c r="AK48" i="4"/>
  <c r="AK55" i="4"/>
  <c r="AK57" i="4"/>
  <c r="AK49" i="4"/>
  <c r="AK12" i="4"/>
  <c r="AK35" i="4"/>
  <c r="AK14" i="4"/>
  <c r="AK13" i="4"/>
  <c r="AK32" i="4"/>
  <c r="AK26" i="4"/>
  <c r="AK10" i="4"/>
  <c r="AK33" i="4"/>
  <c r="AK21" i="4"/>
  <c r="AK17" i="4"/>
  <c r="AK59" i="4"/>
  <c r="AK34" i="4"/>
  <c r="AB42" i="4"/>
  <c r="AK42" i="4" s="1"/>
  <c r="S44" i="4"/>
  <c r="AB44" i="4"/>
  <c r="H44" i="4"/>
  <c r="AB20" i="4"/>
  <c r="H20" i="4"/>
  <c r="S20" i="4"/>
  <c r="AB47" i="4"/>
  <c r="AB19" i="4"/>
  <c r="S47" i="4"/>
  <c r="S19" i="4"/>
  <c r="H47" i="4"/>
  <c r="S56" i="4"/>
  <c r="S11" i="4"/>
  <c r="AB7" i="4"/>
  <c r="H29" i="4"/>
  <c r="AB29" i="4"/>
  <c r="H54" i="4"/>
  <c r="AB54" i="4"/>
  <c r="S54" i="4"/>
  <c r="R12" i="7"/>
  <c r="AB18" i="4"/>
  <c r="H7" i="4"/>
  <c r="H30" i="4"/>
  <c r="AB30" i="4"/>
  <c r="S18" i="4"/>
  <c r="H18" i="4"/>
  <c r="S7" i="4"/>
  <c r="R30" i="7"/>
  <c r="S53" i="4"/>
  <c r="AB53" i="4"/>
  <c r="S61" i="4"/>
  <c r="AB61" i="4"/>
  <c r="S39" i="4"/>
  <c r="AB39" i="4"/>
  <c r="AB46" i="4"/>
  <c r="S46" i="4"/>
  <c r="H39" i="4"/>
  <c r="AB41" i="4"/>
  <c r="H41" i="4"/>
  <c r="S41" i="4"/>
  <c r="S40" i="4"/>
  <c r="AB40" i="4"/>
  <c r="S25" i="4"/>
  <c r="AB25" i="4"/>
  <c r="S27" i="4"/>
  <c r="AB27" i="4"/>
  <c r="S16" i="4"/>
  <c r="AB16" i="4"/>
  <c r="AB15" i="4"/>
  <c r="S15" i="4"/>
  <c r="AB9" i="4"/>
  <c r="S9" i="4"/>
  <c r="H9" i="4"/>
  <c r="S6" i="4"/>
  <c r="H6" i="4"/>
  <c r="AB8" i="4"/>
  <c r="S8" i="4"/>
  <c r="H8" i="4"/>
  <c r="H16" i="4"/>
  <c r="S58" i="4"/>
  <c r="AB58" i="4"/>
  <c r="H58" i="4"/>
  <c r="H43" i="4"/>
  <c r="S43" i="4"/>
  <c r="AB43" i="4"/>
  <c r="R6" i="6"/>
  <c r="AA5" i="6"/>
  <c r="R24" i="6"/>
  <c r="S36" i="4"/>
  <c r="R53" i="6"/>
  <c r="R39" i="6"/>
  <c r="AB51" i="4"/>
  <c r="S51" i="4"/>
  <c r="H51" i="4"/>
  <c r="AL7" i="1"/>
  <c r="AS7" i="1"/>
  <c r="AT7" i="1"/>
  <c r="AU7" i="1"/>
  <c r="AU9" i="1"/>
  <c r="AS10" i="1"/>
  <c r="AT10" i="1"/>
  <c r="AU10" i="1" s="1"/>
  <c r="AT14" i="1"/>
  <c r="AU14" i="1"/>
  <c r="AT16" i="1"/>
  <c r="AU16" i="1"/>
  <c r="AT17" i="1"/>
  <c r="AU17" i="1"/>
  <c r="AT20" i="1"/>
  <c r="AU20" i="1"/>
  <c r="AU21" i="1"/>
  <c r="AW21" i="1"/>
  <c r="AX21" i="1" s="1"/>
  <c r="CB52" i="1"/>
  <c r="CB5" i="1"/>
  <c r="AK15" i="4" l="1"/>
  <c r="AK46" i="4"/>
  <c r="AK6" i="4"/>
  <c r="AK27" i="4"/>
  <c r="AK19" i="4"/>
  <c r="AK53" i="4"/>
  <c r="AK18" i="4"/>
  <c r="AK43" i="4"/>
  <c r="AK16" i="4"/>
  <c r="AK25" i="4"/>
  <c r="AK41" i="4"/>
  <c r="AK61" i="4"/>
  <c r="AK11" i="4"/>
  <c r="AK20" i="4"/>
  <c r="AK51" i="4"/>
  <c r="AK58" i="4"/>
  <c r="AK8" i="4"/>
  <c r="AK54" i="4"/>
  <c r="AK30" i="4"/>
  <c r="AK29" i="4"/>
  <c r="AK9" i="4"/>
  <c r="AK40" i="4"/>
  <c r="AK39" i="4"/>
  <c r="AK7" i="4"/>
  <c r="AK47" i="4"/>
  <c r="AK44" i="4"/>
  <c r="AV10" i="1"/>
  <c r="AB37" i="4"/>
  <c r="H37" i="4"/>
  <c r="S37" i="4"/>
  <c r="H3" i="4"/>
  <c r="AB4" i="4"/>
  <c r="S4" i="4"/>
  <c r="H4" i="4"/>
  <c r="R5" i="6"/>
  <c r="H22" i="4"/>
  <c r="AB22" i="4"/>
  <c r="S22" i="4"/>
  <c r="S53" i="6"/>
  <c r="S9" i="6"/>
  <c r="S8" i="6"/>
  <c r="S16" i="6"/>
  <c r="S42" i="6"/>
  <c r="S19" i="6"/>
  <c r="S18" i="6"/>
  <c r="S35" i="6"/>
  <c r="S52" i="6"/>
  <c r="S38" i="6"/>
  <c r="S50" i="6"/>
  <c r="S56" i="6"/>
  <c r="S64" i="6"/>
  <c r="S20" i="6"/>
  <c r="S55" i="6"/>
  <c r="S51" i="6"/>
  <c r="S26" i="6"/>
  <c r="S61" i="6"/>
  <c r="S30" i="6"/>
  <c r="S27" i="6"/>
  <c r="S17" i="6"/>
  <c r="S13" i="6"/>
  <c r="S48" i="6"/>
  <c r="S23" i="6"/>
  <c r="S34" i="6"/>
  <c r="S11" i="6"/>
  <c r="S63" i="6"/>
  <c r="S57" i="6"/>
  <c r="S45" i="6"/>
  <c r="S49" i="6"/>
  <c r="S43" i="6"/>
  <c r="S62" i="6"/>
  <c r="S60" i="6"/>
  <c r="S22" i="6"/>
  <c r="S46" i="6"/>
  <c r="S24" i="6"/>
  <c r="S21" i="6"/>
  <c r="S15" i="6"/>
  <c r="S59" i="6"/>
  <c r="S32" i="6"/>
  <c r="S31" i="6"/>
  <c r="S36" i="6"/>
  <c r="S47" i="6"/>
  <c r="S29" i="6"/>
  <c r="S58" i="6"/>
  <c r="S10" i="6"/>
  <c r="S28" i="6"/>
  <c r="S12" i="6"/>
  <c r="S41" i="6"/>
  <c r="S14" i="6"/>
  <c r="S37" i="6"/>
  <c r="S33" i="6"/>
  <c r="S44" i="6"/>
  <c r="S39" i="6"/>
  <c r="CB4" i="1"/>
  <c r="M64" i="6"/>
  <c r="M63" i="6"/>
  <c r="M62" i="6"/>
  <c r="M61" i="6"/>
  <c r="M60" i="6"/>
  <c r="M59" i="6"/>
  <c r="M58" i="6"/>
  <c r="M57" i="6"/>
  <c r="M56" i="6"/>
  <c r="M55" i="6"/>
  <c r="M52" i="6"/>
  <c r="M51" i="6"/>
  <c r="M50" i="6"/>
  <c r="M49" i="6"/>
  <c r="M48" i="6"/>
  <c r="M47" i="6"/>
  <c r="M46" i="6"/>
  <c r="M45" i="6"/>
  <c r="M44" i="6"/>
  <c r="M43" i="6"/>
  <c r="M42" i="6"/>
  <c r="M41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L64" i="6"/>
  <c r="L62" i="6"/>
  <c r="L61" i="6"/>
  <c r="L60" i="6"/>
  <c r="L59" i="6"/>
  <c r="L58" i="6"/>
  <c r="L56" i="6"/>
  <c r="L55" i="6"/>
  <c r="L52" i="6"/>
  <c r="L51" i="6"/>
  <c r="L50" i="6"/>
  <c r="L49" i="6"/>
  <c r="L48" i="6"/>
  <c r="L47" i="6"/>
  <c r="L46" i="6"/>
  <c r="L45" i="6"/>
  <c r="L44" i="6"/>
  <c r="L42" i="6"/>
  <c r="L41" i="6"/>
  <c r="L38" i="6"/>
  <c r="L37" i="6"/>
  <c r="L36" i="6"/>
  <c r="L35" i="6"/>
  <c r="L34" i="6"/>
  <c r="L33" i="6"/>
  <c r="L31" i="6"/>
  <c r="L30" i="6"/>
  <c r="L29" i="6"/>
  <c r="L28" i="6"/>
  <c r="L27" i="6"/>
  <c r="L26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AK22" i="4" l="1"/>
  <c r="AK4" i="4"/>
  <c r="AK37" i="4"/>
  <c r="S3" i="4"/>
  <c r="AB3" i="4"/>
  <c r="AA56" i="4"/>
  <c r="Z60" i="4"/>
  <c r="AK3" i="4" l="1"/>
  <c r="Z62" i="4"/>
  <c r="Z36" i="4"/>
  <c r="Y36" i="4"/>
  <c r="R63" i="3"/>
  <c r="M63" i="3"/>
  <c r="R62" i="3"/>
  <c r="Q62" i="3"/>
  <c r="P62" i="3"/>
  <c r="N62" i="3"/>
  <c r="M62" i="3"/>
  <c r="R61" i="3"/>
  <c r="Q61" i="3"/>
  <c r="P61" i="3"/>
  <c r="O61" i="3"/>
  <c r="N61" i="3"/>
  <c r="M61" i="3"/>
  <c r="R60" i="3"/>
  <c r="S60" i="3" s="1"/>
  <c r="S52" i="3" s="1"/>
  <c r="Q60" i="3"/>
  <c r="P60" i="3"/>
  <c r="O60" i="3"/>
  <c r="N60" i="3"/>
  <c r="M60" i="3"/>
  <c r="R59" i="3"/>
  <c r="Q59" i="3"/>
  <c r="P59" i="3"/>
  <c r="O59" i="3"/>
  <c r="N59" i="3"/>
  <c r="M59" i="3"/>
  <c r="R58" i="3"/>
  <c r="Q58" i="3"/>
  <c r="P58" i="3"/>
  <c r="O58" i="3"/>
  <c r="N58" i="3"/>
  <c r="M58" i="3"/>
  <c r="R57" i="3"/>
  <c r="Q57" i="3"/>
  <c r="M57" i="3"/>
  <c r="R56" i="3"/>
  <c r="Q56" i="3"/>
  <c r="M56" i="3"/>
  <c r="R55" i="3"/>
  <c r="Q55" i="3"/>
  <c r="P55" i="3"/>
  <c r="O55" i="3"/>
  <c r="N55" i="3"/>
  <c r="R54" i="3"/>
  <c r="Q54" i="3"/>
  <c r="M54" i="3"/>
  <c r="AD52" i="3"/>
  <c r="AC52" i="3"/>
  <c r="AB52" i="3"/>
  <c r="AA52" i="3"/>
  <c r="Z52" i="3"/>
  <c r="Y52" i="3"/>
  <c r="X52" i="3"/>
  <c r="W52" i="3"/>
  <c r="V52" i="3"/>
  <c r="U52" i="3"/>
  <c r="T52" i="3"/>
  <c r="L52" i="3"/>
  <c r="K52" i="3"/>
  <c r="J52" i="3"/>
  <c r="I52" i="3"/>
  <c r="H52" i="3"/>
  <c r="G52" i="3"/>
  <c r="F52" i="3"/>
  <c r="E52" i="3"/>
  <c r="D52" i="3"/>
  <c r="C52" i="3"/>
  <c r="B52" i="3"/>
  <c r="R51" i="3"/>
  <c r="Q51" i="3"/>
  <c r="M51" i="3"/>
  <c r="R50" i="3"/>
  <c r="Q50" i="3"/>
  <c r="M50" i="3"/>
  <c r="R49" i="3"/>
  <c r="Q49" i="3"/>
  <c r="N49" i="3"/>
  <c r="M49" i="3"/>
  <c r="T47" i="3"/>
  <c r="T38" i="3" s="1"/>
  <c r="R47" i="3"/>
  <c r="Q47" i="3"/>
  <c r="R46" i="3"/>
  <c r="Q46" i="3"/>
  <c r="P46" i="3"/>
  <c r="O46" i="3"/>
  <c r="N46" i="3"/>
  <c r="M46" i="3"/>
  <c r="R45" i="3"/>
  <c r="Q45" i="3"/>
  <c r="M45" i="3"/>
  <c r="R44" i="3"/>
  <c r="Q44" i="3"/>
  <c r="P44" i="3"/>
  <c r="O44" i="3"/>
  <c r="N44" i="3"/>
  <c r="M44" i="3"/>
  <c r="R43" i="3"/>
  <c r="Q43" i="3"/>
  <c r="R42" i="3"/>
  <c r="Q42" i="3"/>
  <c r="P42" i="3"/>
  <c r="O42" i="3"/>
  <c r="N42" i="3"/>
  <c r="M42" i="3"/>
  <c r="R41" i="3"/>
  <c r="Q41" i="3"/>
  <c r="M41" i="3"/>
  <c r="R40" i="3"/>
  <c r="Q40" i="3"/>
  <c r="P40" i="3"/>
  <c r="O40" i="3"/>
  <c r="N40" i="3"/>
  <c r="M40" i="3"/>
  <c r="AD38" i="3"/>
  <c r="AC38" i="3"/>
  <c r="AB38" i="3"/>
  <c r="AA38" i="3"/>
  <c r="Z38" i="3"/>
  <c r="Y38" i="3"/>
  <c r="X38" i="3"/>
  <c r="W38" i="3"/>
  <c r="V38" i="3"/>
  <c r="U38" i="3"/>
  <c r="S38" i="3"/>
  <c r="L38" i="3"/>
  <c r="K38" i="3"/>
  <c r="J38" i="3"/>
  <c r="I38" i="3"/>
  <c r="H38" i="3"/>
  <c r="G38" i="3"/>
  <c r="F38" i="3"/>
  <c r="E38" i="3"/>
  <c r="D38" i="3"/>
  <c r="C38" i="3"/>
  <c r="B38" i="3"/>
  <c r="R36" i="3"/>
  <c r="Q36" i="3"/>
  <c r="M36" i="3"/>
  <c r="R35" i="3"/>
  <c r="Q35" i="3"/>
  <c r="P35" i="3"/>
  <c r="O35" i="3"/>
  <c r="N35" i="3"/>
  <c r="R34" i="3"/>
  <c r="Q34" i="3"/>
  <c r="P34" i="3"/>
  <c r="O34" i="3"/>
  <c r="N34" i="3"/>
  <c r="M34" i="3"/>
  <c r="R33" i="3"/>
  <c r="Q33" i="3"/>
  <c r="P33" i="3"/>
  <c r="M33" i="3"/>
  <c r="V32" i="3"/>
  <c r="W32" i="3" s="1"/>
  <c r="R32" i="3"/>
  <c r="Q32" i="3"/>
  <c r="R31" i="3"/>
  <c r="Q31" i="3"/>
  <c r="P31" i="3"/>
  <c r="O31" i="3"/>
  <c r="N31" i="3"/>
  <c r="M31" i="3"/>
  <c r="R30" i="3"/>
  <c r="Q30" i="3"/>
  <c r="M30" i="3"/>
  <c r="AA29" i="3"/>
  <c r="AA23" i="3" s="1"/>
  <c r="R29" i="3"/>
  <c r="Q29" i="3"/>
  <c r="R28" i="3"/>
  <c r="Q28" i="3"/>
  <c r="M28" i="3"/>
  <c r="R27" i="3"/>
  <c r="Q27" i="3"/>
  <c r="P27" i="3"/>
  <c r="O27" i="3"/>
  <c r="N27" i="3"/>
  <c r="M27" i="3"/>
  <c r="W26" i="3"/>
  <c r="R26" i="3"/>
  <c r="Q26" i="3"/>
  <c r="R25" i="3"/>
  <c r="Q25" i="3"/>
  <c r="P25" i="3"/>
  <c r="M25" i="3"/>
  <c r="AD23" i="3"/>
  <c r="AC23" i="3"/>
  <c r="AB23" i="3"/>
  <c r="Z23" i="3"/>
  <c r="Y23" i="3"/>
  <c r="X23" i="3"/>
  <c r="U23" i="3"/>
  <c r="T23" i="3"/>
  <c r="S23" i="3"/>
  <c r="L23" i="3"/>
  <c r="K23" i="3"/>
  <c r="J23" i="3"/>
  <c r="I23" i="3"/>
  <c r="H23" i="3"/>
  <c r="G23" i="3"/>
  <c r="F23" i="3"/>
  <c r="E23" i="3"/>
  <c r="D23" i="3"/>
  <c r="C23" i="3"/>
  <c r="B23" i="3"/>
  <c r="R22" i="3"/>
  <c r="Q22" i="3"/>
  <c r="M22" i="3"/>
  <c r="R21" i="3"/>
  <c r="Q21" i="3"/>
  <c r="M21" i="3"/>
  <c r="R20" i="3"/>
  <c r="Q20" i="3"/>
  <c r="M20" i="3"/>
  <c r="R19" i="3"/>
  <c r="Q19" i="3"/>
  <c r="P19" i="3"/>
  <c r="O19" i="3"/>
  <c r="N19" i="3"/>
  <c r="M19" i="3"/>
  <c r="R18" i="3"/>
  <c r="Q18" i="3"/>
  <c r="R17" i="3"/>
  <c r="Q17" i="3"/>
  <c r="P17" i="3"/>
  <c r="O17" i="3"/>
  <c r="N17" i="3"/>
  <c r="M17" i="3"/>
  <c r="R16" i="3"/>
  <c r="Q16" i="3"/>
  <c r="P16" i="3"/>
  <c r="O16" i="3"/>
  <c r="N16" i="3"/>
  <c r="R15" i="3"/>
  <c r="Q15" i="3"/>
  <c r="Q14" i="3"/>
  <c r="M14" i="3"/>
  <c r="R13" i="3"/>
  <c r="Q13" i="3"/>
  <c r="P13" i="3"/>
  <c r="O13" i="3"/>
  <c r="N13" i="3"/>
  <c r="M13" i="3"/>
  <c r="R12" i="3"/>
  <c r="Q12" i="3"/>
  <c r="P12" i="3"/>
  <c r="O12" i="3"/>
  <c r="N12" i="3"/>
  <c r="M12" i="3"/>
  <c r="R11" i="3"/>
  <c r="Q11" i="3"/>
  <c r="P11" i="3"/>
  <c r="O11" i="3"/>
  <c r="N11" i="3"/>
  <c r="M11" i="3"/>
  <c r="R10" i="3"/>
  <c r="Q10" i="3"/>
  <c r="M10" i="3"/>
  <c r="R9" i="3"/>
  <c r="Q9" i="3"/>
  <c r="M9" i="3"/>
  <c r="R8" i="3"/>
  <c r="Q8" i="3"/>
  <c r="M8" i="3"/>
  <c r="R7" i="3"/>
  <c r="Q7" i="3"/>
  <c r="AD5" i="3"/>
  <c r="AC5" i="3"/>
  <c r="AB5" i="3"/>
  <c r="AA5" i="3"/>
  <c r="Z5" i="3"/>
  <c r="Y5" i="3"/>
  <c r="X5" i="3"/>
  <c r="W5" i="3"/>
  <c r="V5" i="3"/>
  <c r="U5" i="3"/>
  <c r="T5" i="3"/>
  <c r="S5" i="3"/>
  <c r="L5" i="3"/>
  <c r="K5" i="3"/>
  <c r="J5" i="3"/>
  <c r="I5" i="3"/>
  <c r="H5" i="3"/>
  <c r="G5" i="3"/>
  <c r="F5" i="3"/>
  <c r="E5" i="3"/>
  <c r="D5" i="3"/>
  <c r="C5" i="3"/>
  <c r="B5" i="3"/>
  <c r="DI63" i="2"/>
  <c r="DH63" i="2"/>
  <c r="DG63" i="2"/>
  <c r="DE63" i="2"/>
  <c r="DD63" i="2"/>
  <c r="DC63" i="2"/>
  <c r="DB63" i="2"/>
  <c r="DA63" i="2"/>
  <c r="CZ63" i="2"/>
  <c r="CY63" i="2"/>
  <c r="CX63" i="2"/>
  <c r="CW63" i="2"/>
  <c r="CV63" i="2"/>
  <c r="CU63" i="2"/>
  <c r="CT63" i="2"/>
  <c r="CS63" i="2"/>
  <c r="CR63" i="2"/>
  <c r="CQ63" i="2"/>
  <c r="CP63" i="2"/>
  <c r="CO63" i="2"/>
  <c r="CN63" i="2"/>
  <c r="CM63" i="2"/>
  <c r="CL63" i="2"/>
  <c r="CK63" i="2"/>
  <c r="CJ63" i="2"/>
  <c r="CI63" i="2"/>
  <c r="CH63" i="2"/>
  <c r="CG63" i="2"/>
  <c r="AA63" i="2"/>
  <c r="DI62" i="2"/>
  <c r="DH62" i="2"/>
  <c r="DG62" i="2"/>
  <c r="DF62" i="2"/>
  <c r="CY62" i="2"/>
  <c r="CX62" i="2"/>
  <c r="CW62" i="2"/>
  <c r="CV62" i="2"/>
  <c r="CU62" i="2"/>
  <c r="CT62" i="2"/>
  <c r="CS62" i="2"/>
  <c r="CR62" i="2"/>
  <c r="CQ62" i="2"/>
  <c r="CP62" i="2"/>
  <c r="CO62" i="2"/>
  <c r="CN62" i="2"/>
  <c r="CM62" i="2"/>
  <c r="CL62" i="2"/>
  <c r="CK62" i="2"/>
  <c r="CJ62" i="2"/>
  <c r="CI62" i="2"/>
  <c r="CH62" i="2"/>
  <c r="CG62" i="2"/>
  <c r="BS62" i="2"/>
  <c r="BT62" i="2" s="1"/>
  <c r="DB62" i="2" s="1"/>
  <c r="Y62" i="2"/>
  <c r="U62" i="2"/>
  <c r="CZ62" i="2" s="1"/>
  <c r="U62" i="5" s="1"/>
  <c r="DI61" i="2"/>
  <c r="DH61" i="2"/>
  <c r="DG61" i="2"/>
  <c r="DF61" i="2"/>
  <c r="DE61" i="2"/>
  <c r="DD61" i="2"/>
  <c r="DC61" i="2"/>
  <c r="DB61" i="2"/>
  <c r="CZ61" i="2"/>
  <c r="CY61" i="2"/>
  <c r="CX61" i="2"/>
  <c r="CW61" i="2"/>
  <c r="CV61" i="2"/>
  <c r="CU61" i="2"/>
  <c r="CT61" i="2"/>
  <c r="CS61" i="2"/>
  <c r="CR61" i="2"/>
  <c r="CQ61" i="2"/>
  <c r="CP61" i="2"/>
  <c r="CO61" i="2"/>
  <c r="CN61" i="2"/>
  <c r="CM61" i="2"/>
  <c r="CL61" i="2"/>
  <c r="CK61" i="2"/>
  <c r="CJ61" i="2"/>
  <c r="CI61" i="2"/>
  <c r="CH61" i="2"/>
  <c r="CG61" i="2"/>
  <c r="BS61" i="2"/>
  <c r="DI60" i="2"/>
  <c r="DH60" i="2"/>
  <c r="DG60" i="2"/>
  <c r="DF60" i="2"/>
  <c r="DE60" i="2"/>
  <c r="DD60" i="2"/>
  <c r="DC60" i="2"/>
  <c r="DB60" i="2"/>
  <c r="DA60" i="2"/>
  <c r="CZ60" i="2"/>
  <c r="CV60" i="2"/>
  <c r="CU60" i="2"/>
  <c r="CT60" i="2"/>
  <c r="CR60" i="2"/>
  <c r="CQ60" i="2"/>
  <c r="CP60" i="2"/>
  <c r="CO60" i="2"/>
  <c r="CN60" i="2"/>
  <c r="I60" i="5" s="1"/>
  <c r="CM60" i="2"/>
  <c r="CL60" i="2"/>
  <c r="CK60" i="2"/>
  <c r="CJ60" i="2"/>
  <c r="CI60" i="2"/>
  <c r="CH60" i="2"/>
  <c r="CG60" i="2"/>
  <c r="AZ60" i="2"/>
  <c r="BA60" i="2" s="1"/>
  <c r="N60" i="2"/>
  <c r="N52" i="2" s="1"/>
  <c r="DI59" i="2"/>
  <c r="DH59" i="2"/>
  <c r="DG59" i="2"/>
  <c r="DF59" i="2"/>
  <c r="DE59" i="2"/>
  <c r="DD59" i="2"/>
  <c r="DC59" i="2"/>
  <c r="DB59" i="2"/>
  <c r="DA59" i="2"/>
  <c r="CZ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BB59" i="2"/>
  <c r="CY59" i="2" s="1"/>
  <c r="DI58" i="2"/>
  <c r="DH58" i="2"/>
  <c r="DG58" i="2"/>
  <c r="DF58" i="2"/>
  <c r="DE58" i="2"/>
  <c r="DD58" i="2"/>
  <c r="DC58" i="2"/>
  <c r="DB58" i="2"/>
  <c r="DA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BC58" i="2"/>
  <c r="CZ58" i="2" s="1"/>
  <c r="DI57" i="2"/>
  <c r="DH57" i="2"/>
  <c r="DG57" i="2"/>
  <c r="DF57" i="2"/>
  <c r="DE57" i="2"/>
  <c r="DD57" i="2"/>
  <c r="DC57" i="2"/>
  <c r="X57" i="5" s="1"/>
  <c r="DB57" i="2"/>
  <c r="DA57" i="2"/>
  <c r="CY57" i="2"/>
  <c r="CX57" i="2"/>
  <c r="CW57" i="2"/>
  <c r="CV57" i="2"/>
  <c r="CU57" i="2"/>
  <c r="CT57" i="2"/>
  <c r="CS57" i="2"/>
  <c r="CR57" i="2"/>
  <c r="CQ57" i="2"/>
  <c r="CP57" i="2"/>
  <c r="CO57" i="2"/>
  <c r="CN57" i="2"/>
  <c r="CM57" i="2"/>
  <c r="CL57" i="2"/>
  <c r="CK57" i="2"/>
  <c r="CJ57" i="2"/>
  <c r="CI57" i="2"/>
  <c r="CH57" i="2"/>
  <c r="CG57" i="2"/>
  <c r="U57" i="2"/>
  <c r="CZ57" i="2" s="1"/>
  <c r="DI56" i="2"/>
  <c r="DH56" i="2"/>
  <c r="DG56" i="2"/>
  <c r="DF56" i="2"/>
  <c r="DE56" i="2"/>
  <c r="DC56" i="2"/>
  <c r="DB56" i="2"/>
  <c r="DA56" i="2"/>
  <c r="CZ56" i="2"/>
  <c r="CY56" i="2"/>
  <c r="CX56" i="2"/>
  <c r="CW56" i="2"/>
  <c r="CV56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Y56" i="2"/>
  <c r="DI55" i="2"/>
  <c r="DH55" i="2"/>
  <c r="DG55" i="2"/>
  <c r="DF55" i="2"/>
  <c r="DE55" i="2"/>
  <c r="DD55" i="2"/>
  <c r="DC55" i="2"/>
  <c r="DB55" i="2"/>
  <c r="DA55" i="2"/>
  <c r="CZ55" i="2"/>
  <c r="CY55" i="2"/>
  <c r="CX55" i="2"/>
  <c r="CW55" i="2"/>
  <c r="CV55" i="2"/>
  <c r="CU55" i="2"/>
  <c r="CT55" i="2"/>
  <c r="CS55" i="2"/>
  <c r="CR55" i="2"/>
  <c r="CQ55" i="2"/>
  <c r="CP55" i="2"/>
  <c r="CO55" i="2"/>
  <c r="CN55" i="2"/>
  <c r="CM55" i="2"/>
  <c r="CL55" i="2"/>
  <c r="G55" i="5" s="1"/>
  <c r="CK55" i="2"/>
  <c r="CJ55" i="2"/>
  <c r="CI55" i="2"/>
  <c r="CH55" i="2"/>
  <c r="CG55" i="2"/>
  <c r="DI54" i="2"/>
  <c r="DH54" i="2"/>
  <c r="DG54" i="2"/>
  <c r="DF54" i="2"/>
  <c r="DE54" i="2"/>
  <c r="DD54" i="2"/>
  <c r="DC54" i="2"/>
  <c r="DA54" i="2"/>
  <c r="CY54" i="2"/>
  <c r="CX54" i="2"/>
  <c r="CW54" i="2"/>
  <c r="CV54" i="2"/>
  <c r="CU54" i="2"/>
  <c r="CT54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BT54" i="2"/>
  <c r="DB54" i="2" s="1"/>
  <c r="U54" i="2"/>
  <c r="CA52" i="2"/>
  <c r="BZ52" i="2"/>
  <c r="BY52" i="2"/>
  <c r="BX52" i="2"/>
  <c r="BW52" i="2"/>
  <c r="BV52" i="2"/>
  <c r="BT52" i="2"/>
  <c r="BL52" i="2"/>
  <c r="BK52" i="2"/>
  <c r="BJ52" i="2"/>
  <c r="BI52" i="2"/>
  <c r="BH52" i="2"/>
  <c r="BG52" i="2"/>
  <c r="BF52" i="2"/>
  <c r="BE52" i="2"/>
  <c r="BD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D52" i="2"/>
  <c r="AC52" i="2"/>
  <c r="AB52" i="2"/>
  <c r="AA52" i="2"/>
  <c r="X52" i="2"/>
  <c r="W52" i="2"/>
  <c r="V52" i="2"/>
  <c r="T52" i="2"/>
  <c r="S52" i="2"/>
  <c r="R52" i="2"/>
  <c r="Q52" i="2"/>
  <c r="P52" i="2"/>
  <c r="O52" i="2"/>
  <c r="M52" i="2"/>
  <c r="L52" i="2"/>
  <c r="K52" i="2"/>
  <c r="J52" i="2"/>
  <c r="I52" i="2"/>
  <c r="H52" i="2"/>
  <c r="G52" i="2"/>
  <c r="F52" i="2"/>
  <c r="E52" i="2"/>
  <c r="D52" i="2"/>
  <c r="C52" i="2"/>
  <c r="B52" i="2"/>
  <c r="DH51" i="2"/>
  <c r="DG51" i="2"/>
  <c r="DF51" i="2"/>
  <c r="DE51" i="2"/>
  <c r="DD51" i="2"/>
  <c r="DC51" i="2"/>
  <c r="DB51" i="2"/>
  <c r="DA51" i="2"/>
  <c r="CZ51" i="2"/>
  <c r="U51" i="5" s="1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B51" i="5" s="1"/>
  <c r="DH50" i="2"/>
  <c r="DG50" i="2"/>
  <c r="DF50" i="2"/>
  <c r="DE50" i="2"/>
  <c r="DD50" i="2"/>
  <c r="DC50" i="2"/>
  <c r="DB50" i="2"/>
  <c r="DA50" i="2"/>
  <c r="CZ50" i="2"/>
  <c r="CY50" i="2"/>
  <c r="CX50" i="2"/>
  <c r="S50" i="5" s="1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DH49" i="2"/>
  <c r="DG49" i="2"/>
  <c r="DF49" i="2"/>
  <c r="DE49" i="2"/>
  <c r="DD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BF49" i="2"/>
  <c r="DC49" i="2" s="1"/>
  <c r="X49" i="5" s="1"/>
  <c r="DH48" i="2"/>
  <c r="DG48" i="2"/>
  <c r="DF48" i="2"/>
  <c r="DE48" i="2"/>
  <c r="Z48" i="5" s="1"/>
  <c r="DD48" i="2"/>
  <c r="DC48" i="2"/>
  <c r="DB48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J48" i="5" s="1"/>
  <c r="CN48" i="2"/>
  <c r="CM48" i="2"/>
  <c r="CL48" i="2"/>
  <c r="CK48" i="2"/>
  <c r="CJ48" i="2"/>
  <c r="CI48" i="2"/>
  <c r="CH48" i="2"/>
  <c r="CG48" i="2"/>
  <c r="DH47" i="2"/>
  <c r="DG47" i="2"/>
  <c r="DF47" i="2"/>
  <c r="DE47" i="2"/>
  <c r="Z47" i="5" s="1"/>
  <c r="DD47" i="2"/>
  <c r="DC47" i="2"/>
  <c r="DB47" i="2"/>
  <c r="DA47" i="2"/>
  <c r="V47" i="5" s="1"/>
  <c r="CZ47" i="2"/>
  <c r="CY47" i="2"/>
  <c r="CX47" i="2"/>
  <c r="CW47" i="2"/>
  <c r="CV47" i="2"/>
  <c r="CU47" i="2"/>
  <c r="CT47" i="2"/>
  <c r="CS47" i="2"/>
  <c r="CR47" i="2"/>
  <c r="CQ47" i="2"/>
  <c r="CP47" i="2"/>
  <c r="CO47" i="2"/>
  <c r="J47" i="5" s="1"/>
  <c r="CN47" i="2"/>
  <c r="CM47" i="2"/>
  <c r="CL47" i="2"/>
  <c r="CK47" i="2"/>
  <c r="CJ47" i="2"/>
  <c r="CI47" i="2"/>
  <c r="CH47" i="2"/>
  <c r="CG47" i="2"/>
  <c r="B47" i="5" s="1"/>
  <c r="DH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DH45" i="2"/>
  <c r="DG45" i="2"/>
  <c r="DF45" i="2"/>
  <c r="DE45" i="2"/>
  <c r="DD45" i="2"/>
  <c r="DC45" i="2"/>
  <c r="DB45" i="2"/>
  <c r="DA45" i="2"/>
  <c r="CY45" i="2"/>
  <c r="T45" i="5" s="1"/>
  <c r="N44" i="4" s="1"/>
  <c r="CX45" i="2"/>
  <c r="CW45" i="2"/>
  <c r="CV45" i="2"/>
  <c r="CU45" i="2"/>
  <c r="CT45" i="2"/>
  <c r="CS45" i="2"/>
  <c r="CR45" i="2"/>
  <c r="CQ45" i="2"/>
  <c r="L45" i="5" s="1"/>
  <c r="CP45" i="2"/>
  <c r="CO45" i="2"/>
  <c r="CN45" i="2"/>
  <c r="I45" i="5" s="1"/>
  <c r="CM45" i="2"/>
  <c r="CL45" i="2"/>
  <c r="CK45" i="2"/>
  <c r="CJ45" i="2"/>
  <c r="CI45" i="2"/>
  <c r="D45" i="5" s="1"/>
  <c r="CH45" i="2"/>
  <c r="CG45" i="2"/>
  <c r="U45" i="2"/>
  <c r="CZ45" i="2" s="1"/>
  <c r="DH44" i="2"/>
  <c r="DG44" i="2"/>
  <c r="DF44" i="2"/>
  <c r="DE44" i="2"/>
  <c r="DD44" i="2"/>
  <c r="Y44" i="5" s="1"/>
  <c r="O43" i="4" s="1"/>
  <c r="DC44" i="2"/>
  <c r="DB44" i="2"/>
  <c r="DA44" i="2"/>
  <c r="V44" i="5" s="1"/>
  <c r="CZ44" i="2"/>
  <c r="CY44" i="2"/>
  <c r="CX44" i="2"/>
  <c r="CW44" i="2"/>
  <c r="CV44" i="2"/>
  <c r="CU44" i="2"/>
  <c r="CT44" i="2"/>
  <c r="CS44" i="2"/>
  <c r="N44" i="5" s="1"/>
  <c r="CR44" i="2"/>
  <c r="CQ44" i="2"/>
  <c r="CP44" i="2"/>
  <c r="CO44" i="2"/>
  <c r="CN44" i="2"/>
  <c r="I44" i="5" s="1"/>
  <c r="CM44" i="2"/>
  <c r="CL44" i="2"/>
  <c r="CK44" i="2"/>
  <c r="CJ44" i="2"/>
  <c r="CI44" i="2"/>
  <c r="CH44" i="2"/>
  <c r="CG44" i="2"/>
  <c r="DH43" i="2"/>
  <c r="DG43" i="2"/>
  <c r="DF43" i="2"/>
  <c r="DE43" i="2"/>
  <c r="DD43" i="2"/>
  <c r="DC43" i="2"/>
  <c r="DB43" i="2"/>
  <c r="CY43" i="2"/>
  <c r="CX43" i="2"/>
  <c r="S43" i="5" s="1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U43" i="2"/>
  <c r="CZ43" i="2" s="1"/>
  <c r="DH42" i="2"/>
  <c r="DG42" i="2"/>
  <c r="DF42" i="2"/>
  <c r="DE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Y42" i="2"/>
  <c r="L43" i="6" s="1"/>
  <c r="N43" i="6" s="1"/>
  <c r="O43" i="6" s="1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DI40" i="2"/>
  <c r="DH40" i="2"/>
  <c r="DG40" i="2"/>
  <c r="DF40" i="2"/>
  <c r="DE40" i="2"/>
  <c r="DD40" i="2"/>
  <c r="Y40" i="5" s="1"/>
  <c r="DC40" i="2"/>
  <c r="DB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I40" i="5" s="1"/>
  <c r="CM40" i="2"/>
  <c r="CL40" i="2"/>
  <c r="CK40" i="2"/>
  <c r="CJ40" i="2"/>
  <c r="CI40" i="2"/>
  <c r="CH40" i="2"/>
  <c r="CG40" i="2"/>
  <c r="BD40" i="2"/>
  <c r="CA38" i="2"/>
  <c r="BX38" i="2"/>
  <c r="BW38" i="2"/>
  <c r="BV38" i="2"/>
  <c r="BU38" i="2"/>
  <c r="BT38" i="2"/>
  <c r="BS38" i="2"/>
  <c r="BL38" i="2"/>
  <c r="BK38" i="2"/>
  <c r="BJ38" i="2"/>
  <c r="BI38" i="2"/>
  <c r="BH38" i="2"/>
  <c r="BG38" i="2"/>
  <c r="BE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D38" i="2"/>
  <c r="AC38" i="2"/>
  <c r="AB38" i="2"/>
  <c r="AA38" i="2"/>
  <c r="Z38" i="2"/>
  <c r="Y38" i="2"/>
  <c r="X38" i="2"/>
  <c r="W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DI35" i="2"/>
  <c r="DH35" i="2"/>
  <c r="DG35" i="2"/>
  <c r="DF35" i="2"/>
  <c r="DE35" i="2"/>
  <c r="DD35" i="2"/>
  <c r="DC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BS35" i="2"/>
  <c r="DA35" i="2" s="1"/>
  <c r="BB35" i="2"/>
  <c r="BC35" i="2" s="1"/>
  <c r="W35" i="2"/>
  <c r="DB35" i="2" s="1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DI33" i="2"/>
  <c r="DH33" i="2"/>
  <c r="DG33" i="2"/>
  <c r="DF33" i="2"/>
  <c r="DE33" i="2"/>
  <c r="DD33" i="2"/>
  <c r="DC33" i="2"/>
  <c r="DB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BD33" i="2"/>
  <c r="DA33" i="2" s="1"/>
  <c r="DI32" i="2"/>
  <c r="DH32" i="2"/>
  <c r="DG32" i="2"/>
  <c r="DF32" i="2"/>
  <c r="DE32" i="2"/>
  <c r="DD32" i="2"/>
  <c r="DC32" i="2"/>
  <c r="DB32" i="2"/>
  <c r="DA32" i="2"/>
  <c r="CY32" i="2"/>
  <c r="CX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U32" i="2"/>
  <c r="CZ32" i="2" s="1"/>
  <c r="P32" i="2"/>
  <c r="Q32" i="2" s="1"/>
  <c r="CV32" i="2" s="1"/>
  <c r="DI31" i="2"/>
  <c r="DH31" i="2"/>
  <c r="DG31" i="2"/>
  <c r="DF31" i="2"/>
  <c r="DC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Y31" i="2"/>
  <c r="L32" i="6" s="1"/>
  <c r="B32" i="6" s="1"/>
  <c r="T31" i="2"/>
  <c r="DI30" i="2"/>
  <c r="DH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DI29" i="2"/>
  <c r="DH29" i="2"/>
  <c r="DG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DI28" i="2"/>
  <c r="DH28" i="2"/>
  <c r="DG28" i="2"/>
  <c r="DF28" i="2"/>
  <c r="DE28" i="2"/>
  <c r="DD28" i="2"/>
  <c r="DC28" i="2"/>
  <c r="DB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I28" i="5" s="1"/>
  <c r="CM28" i="2"/>
  <c r="CL28" i="2"/>
  <c r="CK28" i="2"/>
  <c r="CJ28" i="2"/>
  <c r="CI28" i="2"/>
  <c r="CH28" i="2"/>
  <c r="CG28" i="2"/>
  <c r="BS28" i="2"/>
  <c r="BD28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A23" i="2"/>
  <c r="BZ23" i="2"/>
  <c r="BY23" i="2"/>
  <c r="BX23" i="2"/>
  <c r="BW23" i="2"/>
  <c r="BV23" i="2"/>
  <c r="BU23" i="2"/>
  <c r="BT23" i="2"/>
  <c r="BL23" i="2"/>
  <c r="BK23" i="2"/>
  <c r="BJ23" i="2"/>
  <c r="BI23" i="2"/>
  <c r="BH23" i="2"/>
  <c r="BG23" i="2"/>
  <c r="BF23" i="2"/>
  <c r="BE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D23" i="2"/>
  <c r="AC23" i="2"/>
  <c r="AB23" i="2"/>
  <c r="AA23" i="2"/>
  <c r="X23" i="2"/>
  <c r="S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S22" i="5" s="1"/>
  <c r="CW22" i="2"/>
  <c r="R22" i="5" s="1"/>
  <c r="CV22" i="2"/>
  <c r="CU22" i="2"/>
  <c r="CT22" i="2"/>
  <c r="CS22" i="2"/>
  <c r="CQ22" i="2"/>
  <c r="CP22" i="2"/>
  <c r="CO22" i="2"/>
  <c r="CN22" i="2"/>
  <c r="CM22" i="2"/>
  <c r="CL22" i="2"/>
  <c r="AU22" i="2"/>
  <c r="M22" i="2"/>
  <c r="CR22" i="2" s="1"/>
  <c r="DI21" i="2"/>
  <c r="DH21" i="2"/>
  <c r="DG21" i="2"/>
  <c r="DF21" i="2"/>
  <c r="DE21" i="2"/>
  <c r="DD21" i="2"/>
  <c r="DC21" i="2"/>
  <c r="DA21" i="2"/>
  <c r="CZ21" i="2"/>
  <c r="CY21" i="2"/>
  <c r="CX21" i="2"/>
  <c r="CW21" i="2"/>
  <c r="CV21" i="2"/>
  <c r="CU21" i="2"/>
  <c r="CT21" i="2"/>
  <c r="CS21" i="2"/>
  <c r="CP21" i="2"/>
  <c r="CO21" i="2"/>
  <c r="CN21" i="2"/>
  <c r="CM21" i="2"/>
  <c r="CL21" i="2"/>
  <c r="BT21" i="2"/>
  <c r="DB21" i="2" s="1"/>
  <c r="AU21" i="2"/>
  <c r="AT21" i="2"/>
  <c r="M21" i="2"/>
  <c r="L21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P19" i="2"/>
  <c r="CO19" i="2"/>
  <c r="CN19" i="2"/>
  <c r="CM19" i="2"/>
  <c r="CL19" i="2"/>
  <c r="M19" i="2"/>
  <c r="CR19" i="2" s="1"/>
  <c r="L19" i="2"/>
  <c r="CQ19" i="2" s="1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DI17" i="2"/>
  <c r="DH17" i="2"/>
  <c r="DG17" i="2"/>
  <c r="DF17" i="2"/>
  <c r="DE17" i="2"/>
  <c r="DD17" i="2"/>
  <c r="DC17" i="2"/>
  <c r="DA17" i="2"/>
  <c r="CZ17" i="2"/>
  <c r="CY17" i="2"/>
  <c r="CX17" i="2"/>
  <c r="CW17" i="2"/>
  <c r="CV17" i="2"/>
  <c r="CU17" i="2"/>
  <c r="CT17" i="2"/>
  <c r="CS17" i="2"/>
  <c r="CP17" i="2"/>
  <c r="CO17" i="2"/>
  <c r="CN17" i="2"/>
  <c r="CM17" i="2"/>
  <c r="CL17" i="2"/>
  <c r="CK17" i="2"/>
  <c r="CJ17" i="2"/>
  <c r="CI17" i="2"/>
  <c r="CH17" i="2"/>
  <c r="CG17" i="2"/>
  <c r="BE17" i="2"/>
  <c r="DB17" i="2" s="1"/>
  <c r="AU17" i="2"/>
  <c r="AT17" i="2"/>
  <c r="M17" i="2"/>
  <c r="L17" i="2"/>
  <c r="DI16" i="2"/>
  <c r="M22" i="7" s="1"/>
  <c r="DH16" i="2"/>
  <c r="DG16" i="2"/>
  <c r="DF16" i="2"/>
  <c r="DE16" i="2"/>
  <c r="DD16" i="2"/>
  <c r="DB16" i="2"/>
  <c r="DA16" i="2"/>
  <c r="CY16" i="2"/>
  <c r="CX16" i="2"/>
  <c r="CW16" i="2"/>
  <c r="CV16" i="2"/>
  <c r="CU16" i="2"/>
  <c r="CT16" i="2"/>
  <c r="CS16" i="2"/>
  <c r="CP16" i="2"/>
  <c r="CO16" i="2"/>
  <c r="CN16" i="2"/>
  <c r="CM16" i="2"/>
  <c r="CL16" i="2"/>
  <c r="CK16" i="2"/>
  <c r="CJ16" i="2"/>
  <c r="CI16" i="2"/>
  <c r="CH16" i="2"/>
  <c r="CG16" i="2"/>
  <c r="BF16" i="2"/>
  <c r="BC16" i="2"/>
  <c r="CZ16" i="2" s="1"/>
  <c r="AU16" i="2"/>
  <c r="M16" i="2"/>
  <c r="L16" i="2"/>
  <c r="CQ16" i="2" s="1"/>
  <c r="DI15" i="2"/>
  <c r="DH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N15" i="2"/>
  <c r="CM15" i="2"/>
  <c r="CL15" i="2"/>
  <c r="CK15" i="2"/>
  <c r="CJ15" i="2"/>
  <c r="BJ15" i="2"/>
  <c r="AU15" i="2"/>
  <c r="AT15" i="2"/>
  <c r="AS15" i="2"/>
  <c r="AR15" i="2" s="1"/>
  <c r="CO15" i="2" s="1"/>
  <c r="AK15" i="2"/>
  <c r="CH15" i="2" s="1"/>
  <c r="M15" i="2"/>
  <c r="L15" i="2"/>
  <c r="D15" i="2"/>
  <c r="B15" i="2"/>
  <c r="CG15" i="2" s="1"/>
  <c r="DI14" i="2"/>
  <c r="M20" i="7" s="1"/>
  <c r="DH14" i="2"/>
  <c r="DG14" i="2"/>
  <c r="DF14" i="2"/>
  <c r="DE14" i="2"/>
  <c r="DD14" i="2"/>
  <c r="DC14" i="2"/>
  <c r="DB14" i="2"/>
  <c r="CY14" i="2"/>
  <c r="CX14" i="2"/>
  <c r="CW14" i="2"/>
  <c r="CV14" i="2"/>
  <c r="CU14" i="2"/>
  <c r="CT14" i="2"/>
  <c r="CS14" i="2"/>
  <c r="CP14" i="2"/>
  <c r="CO14" i="2"/>
  <c r="CN14" i="2"/>
  <c r="CM14" i="2"/>
  <c r="CL14" i="2"/>
  <c r="CK14" i="2"/>
  <c r="CJ14" i="2"/>
  <c r="CI14" i="2"/>
  <c r="CG14" i="2"/>
  <c r="BC14" i="2"/>
  <c r="CZ14" i="2" s="1"/>
  <c r="AU14" i="2"/>
  <c r="AT14" i="2"/>
  <c r="AK14" i="2"/>
  <c r="CH14" i="2" s="1"/>
  <c r="M14" i="2"/>
  <c r="L14" i="2"/>
  <c r="DI13" i="2"/>
  <c r="DH13" i="2"/>
  <c r="DG13" i="2"/>
  <c r="DF13" i="2"/>
  <c r="DE13" i="2"/>
  <c r="DD13" i="2"/>
  <c r="DC13" i="2"/>
  <c r="DB13" i="2"/>
  <c r="DA13" i="2"/>
  <c r="CZ13" i="2"/>
  <c r="CY13" i="2"/>
  <c r="T13" i="5" s="1"/>
  <c r="CX13" i="2"/>
  <c r="CW13" i="2"/>
  <c r="CV13" i="2"/>
  <c r="CU13" i="2"/>
  <c r="CT13" i="2"/>
  <c r="CS13" i="2"/>
  <c r="CJ13" i="2"/>
  <c r="CI13" i="2"/>
  <c r="CG13" i="2"/>
  <c r="AU13" i="2"/>
  <c r="AQ13" i="2"/>
  <c r="AK13" i="2"/>
  <c r="CH13" i="2" s="1"/>
  <c r="M13" i="2"/>
  <c r="L13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P11" i="2"/>
  <c r="CO11" i="2"/>
  <c r="CN11" i="2"/>
  <c r="CM11" i="2"/>
  <c r="CL11" i="2"/>
  <c r="CK11" i="2"/>
  <c r="CJ11" i="2"/>
  <c r="CI11" i="2"/>
  <c r="CG11" i="2"/>
  <c r="AK11" i="2"/>
  <c r="CH11" i="2" s="1"/>
  <c r="M11" i="2"/>
  <c r="CR11" i="2" s="1"/>
  <c r="L11" i="2"/>
  <c r="CQ11" i="2" s="1"/>
  <c r="L11" i="5" s="1"/>
  <c r="DI10" i="2"/>
  <c r="DH10" i="2"/>
  <c r="DG10" i="2"/>
  <c r="DF10" i="2"/>
  <c r="DE10" i="2"/>
  <c r="DD10" i="2"/>
  <c r="DC10" i="2"/>
  <c r="DB10" i="2"/>
  <c r="DA10" i="2"/>
  <c r="CZ10" i="2"/>
  <c r="CY10" i="2"/>
  <c r="CX10" i="2"/>
  <c r="CW10" i="2"/>
  <c r="CV10" i="2"/>
  <c r="CU10" i="2"/>
  <c r="P10" i="5" s="1"/>
  <c r="CT10" i="2"/>
  <c r="CS10" i="2"/>
  <c r="CP10" i="2"/>
  <c r="CO10" i="2"/>
  <c r="CN10" i="2"/>
  <c r="CM10" i="2"/>
  <c r="CL10" i="2"/>
  <c r="CK10" i="2"/>
  <c r="CJ10" i="2"/>
  <c r="E10" i="5" s="1"/>
  <c r="CI10" i="2"/>
  <c r="CH10" i="2"/>
  <c r="CG10" i="2"/>
  <c r="AU10" i="2"/>
  <c r="AT10" i="2"/>
  <c r="M10" i="2"/>
  <c r="L10" i="2"/>
  <c r="CQ10" i="2" s="1"/>
  <c r="DI9" i="2"/>
  <c r="DH9" i="2"/>
  <c r="DG9" i="2"/>
  <c r="DF9" i="2"/>
  <c r="DE9" i="2"/>
  <c r="DD9" i="2"/>
  <c r="DC9" i="2"/>
  <c r="DB9" i="2"/>
  <c r="CZ9" i="2"/>
  <c r="U9" i="5" s="1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E9" i="5" s="1"/>
  <c r="CI9" i="2"/>
  <c r="CH9" i="2"/>
  <c r="CG9" i="2"/>
  <c r="BS9" i="2"/>
  <c r="DA9" i="2" s="1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O8" i="2"/>
  <c r="CN8" i="2"/>
  <c r="CM8" i="2"/>
  <c r="H8" i="5" s="1"/>
  <c r="CL8" i="2"/>
  <c r="CK8" i="2"/>
  <c r="CJ8" i="2"/>
  <c r="CI8" i="2"/>
  <c r="CH8" i="2"/>
  <c r="CG8" i="2"/>
  <c r="AU8" i="2"/>
  <c r="AS8" i="2"/>
  <c r="CP8" i="2" s="1"/>
  <c r="M8" i="2"/>
  <c r="L8" i="2"/>
  <c r="DI7" i="2"/>
  <c r="DH7" i="2"/>
  <c r="DG7" i="2"/>
  <c r="DF7" i="2"/>
  <c r="DE7" i="2"/>
  <c r="DD7" i="2"/>
  <c r="CZ7" i="2"/>
  <c r="CY7" i="2"/>
  <c r="CX7" i="2"/>
  <c r="CW7" i="2"/>
  <c r="CV7" i="2"/>
  <c r="CU7" i="2"/>
  <c r="CT7" i="2"/>
  <c r="CS7" i="2"/>
  <c r="CP7" i="2"/>
  <c r="CO7" i="2"/>
  <c r="CN7" i="2"/>
  <c r="CM7" i="2"/>
  <c r="CL7" i="2"/>
  <c r="CJ7" i="2"/>
  <c r="CI7" i="2"/>
  <c r="CH7" i="2"/>
  <c r="CG7" i="2"/>
  <c r="BD7" i="2"/>
  <c r="AU7" i="2"/>
  <c r="AT7" i="2"/>
  <c r="AN7" i="2"/>
  <c r="M7" i="2"/>
  <c r="L7" i="2"/>
  <c r="CQ7" i="2" s="1"/>
  <c r="CA5" i="2"/>
  <c r="BZ5" i="2"/>
  <c r="BY5" i="2"/>
  <c r="BX5" i="2"/>
  <c r="BW5" i="2"/>
  <c r="BV5" i="2"/>
  <c r="BU5" i="2"/>
  <c r="BL5" i="2"/>
  <c r="Q11" i="7" s="1"/>
  <c r="BK5" i="2"/>
  <c r="BI5" i="2"/>
  <c r="BH5" i="2"/>
  <c r="BG5" i="2"/>
  <c r="BB5" i="2"/>
  <c r="BA5" i="2"/>
  <c r="AZ5" i="2"/>
  <c r="AY5" i="2"/>
  <c r="AX5" i="2"/>
  <c r="AW5" i="2"/>
  <c r="AV5" i="2"/>
  <c r="AM5" i="2"/>
  <c r="AL5" i="2"/>
  <c r="AJ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K5" i="2"/>
  <c r="J5" i="2"/>
  <c r="I5" i="2"/>
  <c r="H5" i="2"/>
  <c r="G5" i="2"/>
  <c r="F5" i="2"/>
  <c r="E5" i="2"/>
  <c r="C5" i="2"/>
  <c r="DI63" i="1"/>
  <c r="DH63" i="1"/>
  <c r="DG63" i="1"/>
  <c r="DF63" i="1"/>
  <c r="DE63" i="1"/>
  <c r="DD63" i="1"/>
  <c r="Y63" i="5" s="1"/>
  <c r="O62" i="4" s="1"/>
  <c r="DC63" i="1"/>
  <c r="DB63" i="1"/>
  <c r="CZ63" i="1"/>
  <c r="CY63" i="1"/>
  <c r="CX63" i="1"/>
  <c r="CW63" i="1"/>
  <c r="CV63" i="1"/>
  <c r="Q63" i="5" s="1"/>
  <c r="CU63" i="1"/>
  <c r="P63" i="5" s="1"/>
  <c r="CT63" i="1"/>
  <c r="CS63" i="1"/>
  <c r="N63" i="5" s="1"/>
  <c r="CR63" i="1"/>
  <c r="CQ63" i="1"/>
  <c r="CP63" i="1"/>
  <c r="CO63" i="1"/>
  <c r="CN63" i="1"/>
  <c r="CM63" i="1"/>
  <c r="CL63" i="1"/>
  <c r="CK63" i="1"/>
  <c r="CJ63" i="1"/>
  <c r="CI63" i="1"/>
  <c r="CH63" i="1"/>
  <c r="CG63" i="1"/>
  <c r="U63" i="1"/>
  <c r="V63" i="1" s="1"/>
  <c r="DA63" i="1" s="1"/>
  <c r="DI62" i="1"/>
  <c r="DH62" i="1"/>
  <c r="DG62" i="1"/>
  <c r="DF62" i="1"/>
  <c r="AA62" i="5" s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J62" i="5" s="1"/>
  <c r="CN62" i="1"/>
  <c r="I62" i="5" s="1"/>
  <c r="CM62" i="1"/>
  <c r="CL62" i="1"/>
  <c r="CK62" i="1"/>
  <c r="CJ62" i="1"/>
  <c r="CI62" i="1"/>
  <c r="CH62" i="1"/>
  <c r="CG62" i="1"/>
  <c r="B62" i="5" s="1"/>
  <c r="DI61" i="1"/>
  <c r="DH61" i="1"/>
  <c r="DG61" i="1"/>
  <c r="DF61" i="1"/>
  <c r="DE61" i="1"/>
  <c r="DD61" i="1"/>
  <c r="DC61" i="1"/>
  <c r="X61" i="5" s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I61" i="5" s="1"/>
  <c r="CM61" i="1"/>
  <c r="H61" i="5" s="1"/>
  <c r="CL61" i="1"/>
  <c r="CK61" i="1"/>
  <c r="CJ61" i="1"/>
  <c r="CI61" i="1"/>
  <c r="CH61" i="1"/>
  <c r="CG61" i="1"/>
  <c r="DI60" i="1"/>
  <c r="DH60" i="1"/>
  <c r="DG60" i="1"/>
  <c r="DF60" i="1"/>
  <c r="DE60" i="1"/>
  <c r="DD60" i="1"/>
  <c r="DC60" i="1"/>
  <c r="DB60" i="1"/>
  <c r="DA60" i="1"/>
  <c r="CZ60" i="1"/>
  <c r="U60" i="5" s="1"/>
  <c r="CY60" i="1"/>
  <c r="CX60" i="1"/>
  <c r="CW60" i="1"/>
  <c r="CV60" i="1"/>
  <c r="CU60" i="1"/>
  <c r="CT60" i="1"/>
  <c r="CS60" i="1"/>
  <c r="CR60" i="1"/>
  <c r="CQ60" i="1"/>
  <c r="CP60" i="1"/>
  <c r="K60" i="5" s="1"/>
  <c r="CO60" i="1"/>
  <c r="CN60" i="1"/>
  <c r="CM60" i="1"/>
  <c r="CL60" i="1"/>
  <c r="CK60" i="1"/>
  <c r="CJ60" i="1"/>
  <c r="CI60" i="1"/>
  <c r="CH60" i="1"/>
  <c r="C60" i="5" s="1"/>
  <c r="CG60" i="1"/>
  <c r="DI59" i="1"/>
  <c r="DH59" i="1"/>
  <c r="DG59" i="1"/>
  <c r="DF59" i="1"/>
  <c r="DE59" i="1"/>
  <c r="DD59" i="1"/>
  <c r="Y59" i="5" s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I59" i="5" s="1"/>
  <c r="CM59" i="1"/>
  <c r="H59" i="5" s="1"/>
  <c r="CL59" i="1"/>
  <c r="CK59" i="1"/>
  <c r="CJ59" i="1"/>
  <c r="CI59" i="1"/>
  <c r="CH59" i="1"/>
  <c r="CG59" i="1"/>
  <c r="DI58" i="1"/>
  <c r="DH58" i="1"/>
  <c r="DG58" i="1"/>
  <c r="DF58" i="1"/>
  <c r="DE58" i="1"/>
  <c r="DD58" i="1"/>
  <c r="DC58" i="1"/>
  <c r="DB58" i="1"/>
  <c r="W58" i="5" s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E58" i="5" s="1"/>
  <c r="CI58" i="1"/>
  <c r="CH58" i="1"/>
  <c r="CG58" i="1"/>
  <c r="DI57" i="1"/>
  <c r="DH57" i="1"/>
  <c r="DG57" i="1"/>
  <c r="AB57" i="5" s="1"/>
  <c r="DF57" i="1"/>
  <c r="DE57" i="1"/>
  <c r="Z57" i="5" s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E57" i="5" s="1"/>
  <c r="CI57" i="1"/>
  <c r="CH57" i="1"/>
  <c r="CG57" i="1"/>
  <c r="B57" i="5" s="1"/>
  <c r="DI56" i="1"/>
  <c r="DH56" i="1"/>
  <c r="DG56" i="1"/>
  <c r="DF56" i="1"/>
  <c r="AA56" i="5" s="1"/>
  <c r="DE56" i="1"/>
  <c r="DD56" i="1"/>
  <c r="DC56" i="1"/>
  <c r="X56" i="5" s="1"/>
  <c r="DB56" i="1"/>
  <c r="DA56" i="1"/>
  <c r="V56" i="5" s="1"/>
  <c r="CZ56" i="1"/>
  <c r="CY56" i="1"/>
  <c r="CX56" i="1"/>
  <c r="CW56" i="1"/>
  <c r="CV56" i="1"/>
  <c r="CU56" i="1"/>
  <c r="P56" i="5" s="1"/>
  <c r="CT56" i="1"/>
  <c r="O56" i="5" s="1"/>
  <c r="CS56" i="1"/>
  <c r="N56" i="5" s="1"/>
  <c r="CR56" i="1"/>
  <c r="CQ56" i="1"/>
  <c r="CP56" i="1"/>
  <c r="CO56" i="1"/>
  <c r="CN56" i="1"/>
  <c r="CM56" i="1"/>
  <c r="H56" i="5" s="1"/>
  <c r="CL56" i="1"/>
  <c r="G56" i="5" s="1"/>
  <c r="CK56" i="1"/>
  <c r="CJ56" i="1"/>
  <c r="CI56" i="1"/>
  <c r="CH56" i="1"/>
  <c r="CG56" i="1"/>
  <c r="DI55" i="1"/>
  <c r="DH55" i="1"/>
  <c r="DG55" i="1"/>
  <c r="DF55" i="1"/>
  <c r="DE55" i="1"/>
  <c r="DD55" i="1"/>
  <c r="DC55" i="1"/>
  <c r="DB55" i="1"/>
  <c r="CY55" i="1"/>
  <c r="T55" i="5" s="1"/>
  <c r="CX55" i="1"/>
  <c r="CW55" i="1"/>
  <c r="CV55" i="1"/>
  <c r="CU55" i="1"/>
  <c r="CS55" i="1"/>
  <c r="CR55" i="1"/>
  <c r="CQ55" i="1"/>
  <c r="L55" i="5" s="1"/>
  <c r="CP55" i="1"/>
  <c r="CO55" i="1"/>
  <c r="CN55" i="1"/>
  <c r="CM55" i="1"/>
  <c r="CL55" i="1"/>
  <c r="CK55" i="1"/>
  <c r="CJ55" i="1"/>
  <c r="CI55" i="1"/>
  <c r="D55" i="5" s="1"/>
  <c r="CH55" i="1"/>
  <c r="CG55" i="1"/>
  <c r="BC55" i="1"/>
  <c r="CZ55" i="1" s="1"/>
  <c r="AW55" i="1"/>
  <c r="CT55" i="1" s="1"/>
  <c r="DI54" i="1"/>
  <c r="DH54" i="1"/>
  <c r="DG54" i="1"/>
  <c r="DF54" i="1"/>
  <c r="AA54" i="5" s="1"/>
  <c r="DC54" i="1"/>
  <c r="DB54" i="1"/>
  <c r="W54" i="5" s="1"/>
  <c r="DA54" i="1"/>
  <c r="CZ54" i="1"/>
  <c r="CY54" i="1"/>
  <c r="CX54" i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BG54" i="1"/>
  <c r="DD54" i="1" s="1"/>
  <c r="CA52" i="1"/>
  <c r="BZ52" i="1"/>
  <c r="BY52" i="1"/>
  <c r="BX52" i="1"/>
  <c r="BW52" i="1"/>
  <c r="BV52" i="1"/>
  <c r="BU52" i="1"/>
  <c r="BT52" i="1"/>
  <c r="BS52" i="1"/>
  <c r="BR52" i="1"/>
  <c r="BL52" i="1"/>
  <c r="BK52" i="1"/>
  <c r="BJ52" i="1"/>
  <c r="BI52" i="1"/>
  <c r="BF52" i="1"/>
  <c r="BE52" i="1"/>
  <c r="BC52" i="1"/>
  <c r="BB52" i="1"/>
  <c r="BA52" i="1"/>
  <c r="AZ52" i="1"/>
  <c r="AY52" i="1"/>
  <c r="AX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DI51" i="1"/>
  <c r="AD51" i="5" s="1"/>
  <c r="AA50" i="4" s="1"/>
  <c r="DH51" i="1"/>
  <c r="DG51" i="1"/>
  <c r="DF51" i="1"/>
  <c r="DE51" i="1"/>
  <c r="DD51" i="1"/>
  <c r="DC51" i="1"/>
  <c r="X51" i="5" s="1"/>
  <c r="DB51" i="1"/>
  <c r="CZ51" i="1"/>
  <c r="CY51" i="1"/>
  <c r="CX51" i="1"/>
  <c r="CW51" i="1"/>
  <c r="CV51" i="1"/>
  <c r="CU51" i="1"/>
  <c r="P51" i="5" s="1"/>
  <c r="CT51" i="1"/>
  <c r="CS51" i="1"/>
  <c r="N51" i="5" s="1"/>
  <c r="CR51" i="1"/>
  <c r="CQ51" i="1"/>
  <c r="CP51" i="1"/>
  <c r="CO51" i="1"/>
  <c r="CN51" i="1"/>
  <c r="CM51" i="1"/>
  <c r="H51" i="5" s="1"/>
  <c r="CL51" i="1"/>
  <c r="CK51" i="1"/>
  <c r="F51" i="5" s="1"/>
  <c r="CJ51" i="1"/>
  <c r="CI51" i="1"/>
  <c r="CH51" i="1"/>
  <c r="CG51" i="1"/>
  <c r="BD51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DI49" i="1"/>
  <c r="AD49" i="5" s="1"/>
  <c r="G48" i="4" s="1"/>
  <c r="DH49" i="1"/>
  <c r="DG49" i="1"/>
  <c r="DF49" i="1"/>
  <c r="DE49" i="1"/>
  <c r="DD49" i="1"/>
  <c r="DC49" i="1"/>
  <c r="DB49" i="1"/>
  <c r="W49" i="5" s="1"/>
  <c r="DA49" i="1"/>
  <c r="V49" i="5" s="1"/>
  <c r="CZ49" i="1"/>
  <c r="CY49" i="1"/>
  <c r="CX49" i="1"/>
  <c r="CW49" i="1"/>
  <c r="CV49" i="1"/>
  <c r="CU49" i="1"/>
  <c r="CT49" i="1"/>
  <c r="O49" i="5" s="1"/>
  <c r="CS49" i="1"/>
  <c r="CR49" i="1"/>
  <c r="CQ49" i="1"/>
  <c r="CP49" i="1"/>
  <c r="CO49" i="1"/>
  <c r="CN49" i="1"/>
  <c r="CM49" i="1"/>
  <c r="CL49" i="1"/>
  <c r="G49" i="5" s="1"/>
  <c r="CK49" i="1"/>
  <c r="F49" i="5" s="1"/>
  <c r="CJ49" i="1"/>
  <c r="CI49" i="1"/>
  <c r="CH49" i="1"/>
  <c r="CG49" i="1"/>
  <c r="DI48" i="1"/>
  <c r="DH48" i="1"/>
  <c r="DG48" i="1"/>
  <c r="DF48" i="1"/>
  <c r="AA48" i="5" s="1"/>
  <c r="DE48" i="1"/>
  <c r="DD48" i="1"/>
  <c r="DC48" i="1"/>
  <c r="DB48" i="1"/>
  <c r="DA48" i="1"/>
  <c r="CZ48" i="1"/>
  <c r="CY48" i="1"/>
  <c r="T48" i="5" s="1"/>
  <c r="N47" i="4" s="1"/>
  <c r="CX48" i="1"/>
  <c r="S48" i="5" s="1"/>
  <c r="CW48" i="1"/>
  <c r="CV48" i="1"/>
  <c r="CU48" i="1"/>
  <c r="CT48" i="1"/>
  <c r="CS48" i="1"/>
  <c r="CR48" i="1"/>
  <c r="CQ48" i="1"/>
  <c r="L48" i="5" s="1"/>
  <c r="CP48" i="1"/>
  <c r="K48" i="5" s="1"/>
  <c r="CO48" i="1"/>
  <c r="CN48" i="1"/>
  <c r="CM48" i="1"/>
  <c r="H48" i="5" s="1"/>
  <c r="CL48" i="1"/>
  <c r="CK48" i="1"/>
  <c r="CJ48" i="1"/>
  <c r="CI48" i="1"/>
  <c r="D48" i="5" s="1"/>
  <c r="CH48" i="1"/>
  <c r="C48" i="5" s="1"/>
  <c r="CG48" i="1"/>
  <c r="DI47" i="1"/>
  <c r="AD47" i="5" s="1"/>
  <c r="DH47" i="1"/>
  <c r="DG47" i="1"/>
  <c r="DF47" i="1"/>
  <c r="DE47" i="1"/>
  <c r="DD47" i="1"/>
  <c r="DC47" i="1"/>
  <c r="X47" i="5" s="1"/>
  <c r="DB47" i="1"/>
  <c r="DA47" i="1"/>
  <c r="CZ47" i="1"/>
  <c r="CY47" i="1"/>
  <c r="CX47" i="1"/>
  <c r="CW47" i="1"/>
  <c r="CV47" i="1"/>
  <c r="CU47" i="1"/>
  <c r="P47" i="5" s="1"/>
  <c r="CT47" i="1"/>
  <c r="CS47" i="1"/>
  <c r="CR47" i="1"/>
  <c r="CQ47" i="1"/>
  <c r="CP47" i="1"/>
  <c r="CO47" i="1"/>
  <c r="CN47" i="1"/>
  <c r="I47" i="5" s="1"/>
  <c r="CM47" i="1"/>
  <c r="H47" i="5" s="1"/>
  <c r="CL47" i="1"/>
  <c r="CK47" i="1"/>
  <c r="CJ47" i="1"/>
  <c r="CI47" i="1"/>
  <c r="CH47" i="1"/>
  <c r="CG47" i="1"/>
  <c r="DI46" i="1"/>
  <c r="DH46" i="1"/>
  <c r="DG46" i="1"/>
  <c r="DF46" i="1"/>
  <c r="DE46" i="1"/>
  <c r="DD46" i="1"/>
  <c r="DC46" i="1"/>
  <c r="X46" i="5" s="1"/>
  <c r="DB46" i="1"/>
  <c r="DA46" i="1"/>
  <c r="CZ46" i="1"/>
  <c r="U46" i="5" s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E46" i="5" s="1"/>
  <c r="CI46" i="1"/>
  <c r="CH46" i="1"/>
  <c r="CG46" i="1"/>
  <c r="DI45" i="1"/>
  <c r="DH45" i="1"/>
  <c r="DG45" i="1"/>
  <c r="DF45" i="1"/>
  <c r="DE45" i="1"/>
  <c r="DD45" i="1"/>
  <c r="Y45" i="5" s="1"/>
  <c r="DC45" i="1"/>
  <c r="X45" i="5" s="1"/>
  <c r="DB45" i="1"/>
  <c r="W45" i="5" s="1"/>
  <c r="DA45" i="1"/>
  <c r="CZ45" i="1"/>
  <c r="CY45" i="1"/>
  <c r="CX45" i="1"/>
  <c r="CW45" i="1"/>
  <c r="CV45" i="1"/>
  <c r="CU45" i="1"/>
  <c r="CT45" i="1"/>
  <c r="O45" i="5" s="1"/>
  <c r="B44" i="4" s="1"/>
  <c r="CS45" i="1"/>
  <c r="CR45" i="1"/>
  <c r="CQ45" i="1"/>
  <c r="CP45" i="1"/>
  <c r="CO45" i="1"/>
  <c r="CN45" i="1"/>
  <c r="CM45" i="1"/>
  <c r="CL45" i="1"/>
  <c r="G45" i="5" s="1"/>
  <c r="CK45" i="1"/>
  <c r="CJ45" i="1"/>
  <c r="CI45" i="1"/>
  <c r="CH45" i="1"/>
  <c r="CG45" i="1"/>
  <c r="DI44" i="1"/>
  <c r="AD44" i="5" s="1"/>
  <c r="DH44" i="1"/>
  <c r="DG44" i="1"/>
  <c r="DF44" i="1"/>
  <c r="DE44" i="1"/>
  <c r="DD44" i="1"/>
  <c r="DC44" i="1"/>
  <c r="DB44" i="1"/>
  <c r="DA44" i="1"/>
  <c r="CZ44" i="1"/>
  <c r="CY44" i="1"/>
  <c r="CX44" i="1"/>
  <c r="S44" i="5" s="1"/>
  <c r="CW44" i="1"/>
  <c r="CV44" i="1"/>
  <c r="CU44" i="1"/>
  <c r="CT44" i="1"/>
  <c r="CS44" i="1"/>
  <c r="CR44" i="1"/>
  <c r="CQ44" i="1"/>
  <c r="L44" i="5" s="1"/>
  <c r="CP44" i="1"/>
  <c r="CO44" i="1"/>
  <c r="J44" i="5" s="1"/>
  <c r="CN44" i="1"/>
  <c r="CM44" i="1"/>
  <c r="CL44" i="1"/>
  <c r="CK44" i="1"/>
  <c r="CJ44" i="1"/>
  <c r="CI44" i="1"/>
  <c r="CH44" i="1"/>
  <c r="CG44" i="1"/>
  <c r="B44" i="5" s="1"/>
  <c r="DI43" i="1"/>
  <c r="DH43" i="1"/>
  <c r="DG43" i="1"/>
  <c r="DF43" i="1"/>
  <c r="DE43" i="1"/>
  <c r="DD43" i="1"/>
  <c r="Y43" i="5" s="1"/>
  <c r="DC43" i="1"/>
  <c r="DB43" i="1"/>
  <c r="W43" i="5" s="1"/>
  <c r="DA43" i="1"/>
  <c r="CZ43" i="1"/>
  <c r="CY43" i="1"/>
  <c r="T43" i="5" s="1"/>
  <c r="CX43" i="1"/>
  <c r="CW43" i="1"/>
  <c r="CV43" i="1"/>
  <c r="CU43" i="1"/>
  <c r="CR43" i="1"/>
  <c r="CQ43" i="1"/>
  <c r="CP43" i="1"/>
  <c r="CO43" i="1"/>
  <c r="CN43" i="1"/>
  <c r="CM43" i="1"/>
  <c r="CL43" i="1"/>
  <c r="G43" i="5" s="1"/>
  <c r="CK43" i="1"/>
  <c r="CJ43" i="1"/>
  <c r="E43" i="5" s="1"/>
  <c r="CI43" i="1"/>
  <c r="CH43" i="1"/>
  <c r="CG43" i="1"/>
  <c r="AV43" i="1"/>
  <c r="DI42" i="1"/>
  <c r="AD42" i="5" s="1"/>
  <c r="DH42" i="1"/>
  <c r="DG42" i="1"/>
  <c r="DF42" i="1"/>
  <c r="DE42" i="1"/>
  <c r="DD42" i="1"/>
  <c r="DC42" i="1"/>
  <c r="DB42" i="1"/>
  <c r="DA42" i="1"/>
  <c r="CZ42" i="1"/>
  <c r="CY42" i="1"/>
  <c r="CX42" i="1"/>
  <c r="S42" i="5" s="1"/>
  <c r="CW42" i="1"/>
  <c r="CV42" i="1"/>
  <c r="CU42" i="1"/>
  <c r="CT42" i="1"/>
  <c r="CS42" i="1"/>
  <c r="CR42" i="1"/>
  <c r="CQ42" i="1"/>
  <c r="CP42" i="1"/>
  <c r="K42" i="5" s="1"/>
  <c r="CO42" i="1"/>
  <c r="CN42" i="1"/>
  <c r="CM42" i="1"/>
  <c r="H42" i="5" s="1"/>
  <c r="CL42" i="1"/>
  <c r="CK42" i="1"/>
  <c r="CJ42" i="1"/>
  <c r="CI42" i="1"/>
  <c r="CH42" i="1"/>
  <c r="C42" i="5" s="1"/>
  <c r="CG42" i="1"/>
  <c r="DI41" i="1"/>
  <c r="DH41" i="1"/>
  <c r="DG41" i="1"/>
  <c r="DF41" i="1"/>
  <c r="DE41" i="1"/>
  <c r="Z41" i="5" s="1"/>
  <c r="DD41" i="1"/>
  <c r="DC41" i="1"/>
  <c r="DB41" i="1"/>
  <c r="CZ41" i="1"/>
  <c r="CY41" i="1"/>
  <c r="CX41" i="1"/>
  <c r="CW41" i="1"/>
  <c r="CV41" i="1"/>
  <c r="CU41" i="1"/>
  <c r="P41" i="5" s="1"/>
  <c r="CT41" i="1"/>
  <c r="CS41" i="1"/>
  <c r="CR41" i="1"/>
  <c r="CQ41" i="1"/>
  <c r="CP41" i="1"/>
  <c r="CO41" i="1"/>
  <c r="CN41" i="1"/>
  <c r="CM41" i="1"/>
  <c r="H41" i="5" s="1"/>
  <c r="CL41" i="1"/>
  <c r="CK41" i="1"/>
  <c r="CJ41" i="1"/>
  <c r="CI41" i="1"/>
  <c r="CH41" i="1"/>
  <c r="CG41" i="1"/>
  <c r="BS41" i="1"/>
  <c r="DI40" i="1"/>
  <c r="DH40" i="1"/>
  <c r="DG40" i="1"/>
  <c r="DF40" i="1"/>
  <c r="DE40" i="1"/>
  <c r="DD40" i="1"/>
  <c r="DC40" i="1"/>
  <c r="DB40" i="1"/>
  <c r="DA40" i="1"/>
  <c r="CZ40" i="1"/>
  <c r="U40" i="5" s="1"/>
  <c r="CY40" i="1"/>
  <c r="CX40" i="1"/>
  <c r="CW40" i="1"/>
  <c r="CV40" i="1"/>
  <c r="CU40" i="1"/>
  <c r="CT40" i="1"/>
  <c r="CS40" i="1"/>
  <c r="CR40" i="1"/>
  <c r="CQ40" i="1"/>
  <c r="CP40" i="1"/>
  <c r="K40" i="5" s="1"/>
  <c r="CO40" i="1"/>
  <c r="J40" i="5" s="1"/>
  <c r="CN40" i="1"/>
  <c r="CM40" i="1"/>
  <c r="CL40" i="1"/>
  <c r="CK40" i="1"/>
  <c r="F40" i="5" s="1"/>
  <c r="CJ40" i="1"/>
  <c r="CI40" i="1"/>
  <c r="CH40" i="1"/>
  <c r="CG40" i="1"/>
  <c r="B40" i="5" s="1"/>
  <c r="CA38" i="1"/>
  <c r="BX38" i="1"/>
  <c r="BW38" i="1"/>
  <c r="BV38" i="1"/>
  <c r="BU38" i="1"/>
  <c r="BT38" i="1"/>
  <c r="BR38" i="1"/>
  <c r="BL38" i="1"/>
  <c r="BK38" i="1"/>
  <c r="BJ38" i="1"/>
  <c r="BI38" i="1"/>
  <c r="BH38" i="1"/>
  <c r="BG38" i="1"/>
  <c r="BF38" i="1"/>
  <c r="BE38" i="1"/>
  <c r="BC38" i="1"/>
  <c r="BB38" i="1"/>
  <c r="BA38" i="1"/>
  <c r="AZ38" i="1"/>
  <c r="AY38" i="1"/>
  <c r="AX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I37" i="1"/>
  <c r="DH37" i="1"/>
  <c r="DG37" i="1"/>
  <c r="DF37" i="1"/>
  <c r="DE37" i="1"/>
  <c r="DD37" i="1"/>
  <c r="DC37" i="1"/>
  <c r="X37" i="5" s="1"/>
  <c r="DB37" i="1"/>
  <c r="W37" i="5" s="1"/>
  <c r="DA37" i="1"/>
  <c r="CZ37" i="1"/>
  <c r="CY37" i="1"/>
  <c r="CW37" i="1"/>
  <c r="CV37" i="1"/>
  <c r="CU37" i="1"/>
  <c r="CT37" i="1"/>
  <c r="O37" i="5" s="1"/>
  <c r="CS37" i="1"/>
  <c r="CR37" i="1"/>
  <c r="CQ37" i="1"/>
  <c r="CP37" i="1"/>
  <c r="CO37" i="1"/>
  <c r="CN37" i="1"/>
  <c r="CM37" i="1"/>
  <c r="CL37" i="1"/>
  <c r="G37" i="5" s="1"/>
  <c r="CK37" i="1"/>
  <c r="CJ37" i="1"/>
  <c r="CI37" i="1"/>
  <c r="CH37" i="1"/>
  <c r="CG37" i="1"/>
  <c r="S37" i="1"/>
  <c r="CX37" i="1" s="1"/>
  <c r="DI36" i="1"/>
  <c r="DH36" i="1"/>
  <c r="DG36" i="1"/>
  <c r="DF36" i="1"/>
  <c r="AA36" i="5" s="1"/>
  <c r="DE36" i="1"/>
  <c r="DD36" i="1"/>
  <c r="DC36" i="1"/>
  <c r="DB36" i="1"/>
  <c r="DA36" i="1"/>
  <c r="CZ36" i="1"/>
  <c r="CY36" i="1"/>
  <c r="CX36" i="1"/>
  <c r="S36" i="5" s="1"/>
  <c r="CW36" i="1"/>
  <c r="CV36" i="1"/>
  <c r="CU36" i="1"/>
  <c r="CT36" i="1"/>
  <c r="CS36" i="1"/>
  <c r="CR36" i="1"/>
  <c r="CQ36" i="1"/>
  <c r="CP36" i="1"/>
  <c r="K36" i="5" s="1"/>
  <c r="CO36" i="1"/>
  <c r="CN36" i="1"/>
  <c r="CM36" i="1"/>
  <c r="CL36" i="1"/>
  <c r="CK36" i="1"/>
  <c r="CJ36" i="1"/>
  <c r="CI36" i="1"/>
  <c r="CH36" i="1"/>
  <c r="C36" i="5" s="1"/>
  <c r="CG36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S35" i="5" s="1"/>
  <c r="CW35" i="1"/>
  <c r="CV35" i="1"/>
  <c r="CU35" i="1"/>
  <c r="CT35" i="1"/>
  <c r="CS35" i="1"/>
  <c r="CR35" i="1"/>
  <c r="CQ35" i="1"/>
  <c r="CP35" i="1"/>
  <c r="K35" i="5" s="1"/>
  <c r="CO35" i="1"/>
  <c r="CN35" i="1"/>
  <c r="CM35" i="1"/>
  <c r="CL35" i="1"/>
  <c r="CK35" i="1"/>
  <c r="CJ35" i="1"/>
  <c r="CI35" i="1"/>
  <c r="CH35" i="1"/>
  <c r="C35" i="5" s="1"/>
  <c r="CG35" i="1"/>
  <c r="DI34" i="1"/>
  <c r="DH34" i="1"/>
  <c r="DG34" i="1"/>
  <c r="DF34" i="1"/>
  <c r="DE34" i="1"/>
  <c r="DD34" i="1"/>
  <c r="DC34" i="1"/>
  <c r="DB34" i="1"/>
  <c r="DA34" i="1"/>
  <c r="CZ34" i="1"/>
  <c r="CY34" i="1"/>
  <c r="T34" i="5" s="1"/>
  <c r="Y33" i="4" s="1"/>
  <c r="CX34" i="1"/>
  <c r="CW34" i="1"/>
  <c r="CV34" i="1"/>
  <c r="CU34" i="1"/>
  <c r="CT34" i="1"/>
  <c r="CS34" i="1"/>
  <c r="CR34" i="1"/>
  <c r="CQ34" i="1"/>
  <c r="L34" i="5" s="1"/>
  <c r="CP34" i="1"/>
  <c r="CO34" i="1"/>
  <c r="CN34" i="1"/>
  <c r="I34" i="5" s="1"/>
  <c r="CM34" i="1"/>
  <c r="CL34" i="1"/>
  <c r="CK34" i="1"/>
  <c r="F34" i="5" s="1"/>
  <c r="CJ34" i="1"/>
  <c r="CI34" i="1"/>
  <c r="D34" i="5" s="1"/>
  <c r="CH34" i="1"/>
  <c r="CG34" i="1"/>
  <c r="DI33" i="1"/>
  <c r="DH33" i="1"/>
  <c r="DG33" i="1"/>
  <c r="DF33" i="1"/>
  <c r="AA33" i="5" s="1"/>
  <c r="DE33" i="1"/>
  <c r="Z33" i="5" s="1"/>
  <c r="DD33" i="1"/>
  <c r="Y33" i="5" s="1"/>
  <c r="O32" i="4" s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B33" i="5" s="1"/>
  <c r="DI32" i="1"/>
  <c r="DH32" i="1"/>
  <c r="DG32" i="1"/>
  <c r="DF32" i="1"/>
  <c r="DE32" i="1"/>
  <c r="DD32" i="1"/>
  <c r="DC32" i="1"/>
  <c r="DB32" i="1"/>
  <c r="CX32" i="1"/>
  <c r="CW32" i="1"/>
  <c r="CV32" i="1"/>
  <c r="CU32" i="1"/>
  <c r="CT32" i="1"/>
  <c r="CS32" i="1"/>
  <c r="CR32" i="1"/>
  <c r="CQ32" i="1"/>
  <c r="CP32" i="1"/>
  <c r="K32" i="5" s="1"/>
  <c r="CO32" i="1"/>
  <c r="CN32" i="1"/>
  <c r="CM32" i="1"/>
  <c r="CL32" i="1"/>
  <c r="G32" i="5" s="1"/>
  <c r="CK32" i="1"/>
  <c r="CJ32" i="1"/>
  <c r="CI32" i="1"/>
  <c r="CH32" i="1"/>
  <c r="CG32" i="1"/>
  <c r="BS32" i="1"/>
  <c r="BS23" i="1" s="1"/>
  <c r="BB32" i="1"/>
  <c r="BB23" i="1" s="1"/>
  <c r="U32" i="1"/>
  <c r="U23" i="1" s="1"/>
  <c r="DI31" i="1"/>
  <c r="DH31" i="1"/>
  <c r="DG31" i="1"/>
  <c r="DF31" i="1"/>
  <c r="DE31" i="1"/>
  <c r="DD31" i="1"/>
  <c r="DC31" i="1"/>
  <c r="DB31" i="1"/>
  <c r="DA31" i="1"/>
  <c r="CZ31" i="1"/>
  <c r="CY31" i="1"/>
  <c r="CX31" i="1"/>
  <c r="S31" i="5" s="1"/>
  <c r="CW31" i="1"/>
  <c r="CV31" i="1"/>
  <c r="CU31" i="1"/>
  <c r="CT31" i="1"/>
  <c r="CS31" i="1"/>
  <c r="CR31" i="1"/>
  <c r="CQ31" i="1"/>
  <c r="L31" i="5" s="1"/>
  <c r="CP31" i="1"/>
  <c r="K31" i="5" s="1"/>
  <c r="CO31" i="1"/>
  <c r="CN31" i="1"/>
  <c r="CM31" i="1"/>
  <c r="CL31" i="1"/>
  <c r="CK31" i="1"/>
  <c r="CJ31" i="1"/>
  <c r="E31" i="5" s="1"/>
  <c r="CI31" i="1"/>
  <c r="CH31" i="1"/>
  <c r="CG31" i="1"/>
  <c r="DI30" i="1"/>
  <c r="DH30" i="1"/>
  <c r="DG30" i="1"/>
  <c r="DF30" i="1"/>
  <c r="AA30" i="5" s="1"/>
  <c r="DE30" i="1"/>
  <c r="DA30" i="1"/>
  <c r="CZ30" i="1"/>
  <c r="CY30" i="1"/>
  <c r="T30" i="5" s="1"/>
  <c r="CX30" i="1"/>
  <c r="S30" i="5" s="1"/>
  <c r="CW30" i="1"/>
  <c r="CV30" i="1"/>
  <c r="CU30" i="1"/>
  <c r="CT30" i="1"/>
  <c r="CS30" i="1"/>
  <c r="CR30" i="1"/>
  <c r="CQ30" i="1"/>
  <c r="L30" i="5" s="1"/>
  <c r="CP30" i="1"/>
  <c r="CO30" i="1"/>
  <c r="CN30" i="1"/>
  <c r="I30" i="5" s="1"/>
  <c r="CM30" i="1"/>
  <c r="H30" i="5" s="1"/>
  <c r="CL30" i="1"/>
  <c r="CK30" i="1"/>
  <c r="CH30" i="1"/>
  <c r="C30" i="5" s="1"/>
  <c r="CG30" i="1"/>
  <c r="BT30" i="1"/>
  <c r="AL30" i="1"/>
  <c r="AM30" i="1" s="1"/>
  <c r="DI29" i="1"/>
  <c r="DH29" i="1"/>
  <c r="DG29" i="1"/>
  <c r="DF29" i="1"/>
  <c r="DE29" i="1"/>
  <c r="DD29" i="1"/>
  <c r="DC29" i="1"/>
  <c r="DB29" i="1"/>
  <c r="DA29" i="1"/>
  <c r="V29" i="5" s="1"/>
  <c r="CZ29" i="1"/>
  <c r="CY29" i="1"/>
  <c r="CX29" i="1"/>
  <c r="CW29" i="1"/>
  <c r="CV29" i="1"/>
  <c r="CU29" i="1"/>
  <c r="CT29" i="1"/>
  <c r="CS29" i="1"/>
  <c r="N29" i="5" s="1"/>
  <c r="CR29" i="1"/>
  <c r="CQ29" i="1"/>
  <c r="CP29" i="1"/>
  <c r="CO29" i="1"/>
  <c r="CN29" i="1"/>
  <c r="CM29" i="1"/>
  <c r="CL29" i="1"/>
  <c r="CK29" i="1"/>
  <c r="F29" i="5" s="1"/>
  <c r="CJ29" i="1"/>
  <c r="CI29" i="1"/>
  <c r="CH29" i="1"/>
  <c r="CG29" i="1"/>
  <c r="DI28" i="1"/>
  <c r="DH28" i="1"/>
  <c r="DG28" i="1"/>
  <c r="DF28" i="1"/>
  <c r="AA28" i="5" s="1"/>
  <c r="DE28" i="1"/>
  <c r="DD28" i="1"/>
  <c r="DC28" i="1"/>
  <c r="DB28" i="1"/>
  <c r="DA28" i="1"/>
  <c r="CZ28" i="1"/>
  <c r="U28" i="5" s="1"/>
  <c r="CY28" i="1"/>
  <c r="CX28" i="1"/>
  <c r="S28" i="5" s="1"/>
  <c r="CW28" i="1"/>
  <c r="CV28" i="1"/>
  <c r="CU28" i="1"/>
  <c r="CT28" i="1"/>
  <c r="CS28" i="1"/>
  <c r="CR28" i="1"/>
  <c r="CQ28" i="1"/>
  <c r="CP28" i="1"/>
  <c r="K28" i="5" s="1"/>
  <c r="CO28" i="1"/>
  <c r="J28" i="5" s="1"/>
  <c r="CN28" i="1"/>
  <c r="CM28" i="1"/>
  <c r="CL28" i="1"/>
  <c r="CK28" i="1"/>
  <c r="CJ28" i="1"/>
  <c r="E28" i="5" s="1"/>
  <c r="CI28" i="1"/>
  <c r="CH28" i="1"/>
  <c r="C28" i="5" s="1"/>
  <c r="CG28" i="1"/>
  <c r="B28" i="5" s="1"/>
  <c r="DI27" i="1"/>
  <c r="DH27" i="1"/>
  <c r="DG27" i="1"/>
  <c r="DF27" i="1"/>
  <c r="DE27" i="1"/>
  <c r="DD27" i="1"/>
  <c r="DC27" i="1"/>
  <c r="DB27" i="1"/>
  <c r="DA27" i="1"/>
  <c r="CZ27" i="1"/>
  <c r="CY27" i="1"/>
  <c r="T27" i="5" s="1"/>
  <c r="CX27" i="1"/>
  <c r="S27" i="5" s="1"/>
  <c r="CW27" i="1"/>
  <c r="CV27" i="1"/>
  <c r="CU27" i="1"/>
  <c r="CT27" i="1"/>
  <c r="CS27" i="1"/>
  <c r="CR27" i="1"/>
  <c r="CQ27" i="1"/>
  <c r="CP27" i="1"/>
  <c r="CO27" i="1"/>
  <c r="CN27" i="1"/>
  <c r="CM27" i="1"/>
  <c r="CL27" i="1"/>
  <c r="G27" i="5" s="1"/>
  <c r="CK27" i="1"/>
  <c r="CJ27" i="1"/>
  <c r="CI27" i="1"/>
  <c r="D27" i="5" s="1"/>
  <c r="CH27" i="1"/>
  <c r="C27" i="5" s="1"/>
  <c r="CG27" i="1"/>
  <c r="DI26" i="1"/>
  <c r="DH26" i="1"/>
  <c r="DG26" i="1"/>
  <c r="DF26" i="1"/>
  <c r="DE26" i="1"/>
  <c r="DD26" i="1"/>
  <c r="DC26" i="1"/>
  <c r="CZ26" i="1"/>
  <c r="CY26" i="1"/>
  <c r="CX26" i="1"/>
  <c r="S26" i="5" s="1"/>
  <c r="CW26" i="1"/>
  <c r="CV26" i="1"/>
  <c r="CU26" i="1"/>
  <c r="P26" i="5" s="1"/>
  <c r="CT26" i="1"/>
  <c r="O26" i="5" s="1"/>
  <c r="M25" i="4" s="1"/>
  <c r="CS26" i="1"/>
  <c r="CR26" i="1"/>
  <c r="CQ26" i="1"/>
  <c r="CP26" i="1"/>
  <c r="K26" i="5" s="1"/>
  <c r="CO26" i="1"/>
  <c r="CN26" i="1"/>
  <c r="CM26" i="1"/>
  <c r="H26" i="5" s="1"/>
  <c r="CL26" i="1"/>
  <c r="G26" i="5" s="1"/>
  <c r="CK26" i="1"/>
  <c r="CJ26" i="1"/>
  <c r="CI26" i="1"/>
  <c r="CH26" i="1"/>
  <c r="CG26" i="1"/>
  <c r="BD26" i="1"/>
  <c r="DI25" i="1"/>
  <c r="AD25" i="5" s="1"/>
  <c r="AA24" i="4" s="1"/>
  <c r="DH25" i="1"/>
  <c r="DG25" i="1"/>
  <c r="DF25" i="1"/>
  <c r="DE25" i="1"/>
  <c r="DD25" i="1"/>
  <c r="Y25" i="5" s="1"/>
  <c r="O24" i="4" s="1"/>
  <c r="DC25" i="1"/>
  <c r="DB25" i="1"/>
  <c r="DA25" i="1"/>
  <c r="V25" i="5" s="1"/>
  <c r="CZ25" i="1"/>
  <c r="U25" i="5" s="1"/>
  <c r="CY25" i="1"/>
  <c r="CX25" i="1"/>
  <c r="CW25" i="1"/>
  <c r="CV25" i="1"/>
  <c r="CU25" i="1"/>
  <c r="CT25" i="1"/>
  <c r="CS25" i="1"/>
  <c r="N25" i="5" s="1"/>
  <c r="CR25" i="1"/>
  <c r="CQ25" i="1"/>
  <c r="CP25" i="1"/>
  <c r="CO25" i="1"/>
  <c r="CN25" i="1"/>
  <c r="I25" i="5" s="1"/>
  <c r="CM25" i="1"/>
  <c r="CL25" i="1"/>
  <c r="CK25" i="1"/>
  <c r="F25" i="5" s="1"/>
  <c r="CJ25" i="1"/>
  <c r="E25" i="5" s="1"/>
  <c r="CI25" i="1"/>
  <c r="CH25" i="1"/>
  <c r="CG25" i="1"/>
  <c r="CA23" i="1"/>
  <c r="BZ23" i="1"/>
  <c r="BY23" i="1"/>
  <c r="BX23" i="1"/>
  <c r="BW23" i="1"/>
  <c r="BR23" i="1"/>
  <c r="BL23" i="1"/>
  <c r="BK23" i="1"/>
  <c r="BJ23" i="1"/>
  <c r="BI23" i="1"/>
  <c r="BH23" i="1"/>
  <c r="BG23" i="1"/>
  <c r="BF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K23" i="1"/>
  <c r="AJ23" i="1"/>
  <c r="AD23" i="1"/>
  <c r="AC23" i="1"/>
  <c r="AB23" i="1"/>
  <c r="AA23" i="1"/>
  <c r="Z23" i="1"/>
  <c r="Y23" i="1"/>
  <c r="X23" i="1"/>
  <c r="W23" i="1"/>
  <c r="V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P22" i="1"/>
  <c r="CO22" i="1"/>
  <c r="CN22" i="1"/>
  <c r="CM22" i="1"/>
  <c r="CL22" i="1"/>
  <c r="CK22" i="1"/>
  <c r="CJ22" i="1"/>
  <c r="CI22" i="1"/>
  <c r="D22" i="5" s="1"/>
  <c r="CH22" i="1"/>
  <c r="CG22" i="1"/>
  <c r="N22" i="1"/>
  <c r="CS22" i="1" s="1"/>
  <c r="M22" i="1"/>
  <c r="CR22" i="1" s="1"/>
  <c r="L22" i="1"/>
  <c r="CQ22" i="1" s="1"/>
  <c r="DI21" i="1"/>
  <c r="DH21" i="1"/>
  <c r="DG21" i="1"/>
  <c r="DF21" i="1"/>
  <c r="DE21" i="1"/>
  <c r="DD21" i="1"/>
  <c r="DC21" i="1"/>
  <c r="DB21" i="1"/>
  <c r="DA21" i="1"/>
  <c r="CZ21" i="1"/>
  <c r="CY21" i="1"/>
  <c r="CU21" i="1"/>
  <c r="CT21" i="1"/>
  <c r="CP21" i="1"/>
  <c r="CO21" i="1"/>
  <c r="J21" i="5" s="1"/>
  <c r="CN21" i="1"/>
  <c r="CM21" i="1"/>
  <c r="CL21" i="1"/>
  <c r="CK21" i="1"/>
  <c r="F21" i="5" s="1"/>
  <c r="CJ21" i="1"/>
  <c r="CI21" i="1"/>
  <c r="D21" i="5" s="1"/>
  <c r="CH21" i="1"/>
  <c r="C21" i="5" s="1"/>
  <c r="CG21" i="1"/>
  <c r="B21" i="5" s="1"/>
  <c r="AY21" i="1"/>
  <c r="AZ21" i="1" s="1"/>
  <c r="BA21" i="1" s="1"/>
  <c r="BA5" i="1" s="1"/>
  <c r="N21" i="1"/>
  <c r="CS21" i="1" s="1"/>
  <c r="M21" i="1"/>
  <c r="CR21" i="1" s="1"/>
  <c r="L21" i="1"/>
  <c r="CQ21" i="1" s="1"/>
  <c r="DI20" i="1"/>
  <c r="DH20" i="1"/>
  <c r="DG20" i="1"/>
  <c r="DF20" i="1"/>
  <c r="DE20" i="1"/>
  <c r="DD20" i="1"/>
  <c r="DC20" i="1"/>
  <c r="DB20" i="1"/>
  <c r="CZ20" i="1"/>
  <c r="U20" i="5" s="1"/>
  <c r="CY20" i="1"/>
  <c r="CX20" i="1"/>
  <c r="CW20" i="1"/>
  <c r="CV20" i="1"/>
  <c r="CU20" i="1"/>
  <c r="CT20" i="1"/>
  <c r="CP20" i="1"/>
  <c r="CO20" i="1"/>
  <c r="CN20" i="1"/>
  <c r="CM20" i="1"/>
  <c r="CL20" i="1"/>
  <c r="CK20" i="1"/>
  <c r="F20" i="5" s="1"/>
  <c r="CJ20" i="1"/>
  <c r="CI20" i="1"/>
  <c r="D20" i="5" s="1"/>
  <c r="CH20" i="1"/>
  <c r="C20" i="5" s="1"/>
  <c r="CG20" i="1"/>
  <c r="B20" i="5" s="1"/>
  <c r="BD20" i="1"/>
  <c r="DA20" i="1" s="1"/>
  <c r="N20" i="1"/>
  <c r="CS20" i="1" s="1"/>
  <c r="M20" i="1"/>
  <c r="CR20" i="1" s="1"/>
  <c r="L20" i="1"/>
  <c r="CQ20" i="1" s="1"/>
  <c r="DI19" i="1"/>
  <c r="DH19" i="1"/>
  <c r="DG19" i="1"/>
  <c r="DF19" i="1"/>
  <c r="DE19" i="1"/>
  <c r="DD19" i="1"/>
  <c r="DC19" i="1"/>
  <c r="DB19" i="1"/>
  <c r="W19" i="5" s="1"/>
  <c r="CZ19" i="1"/>
  <c r="CY19" i="1"/>
  <c r="CX19" i="1"/>
  <c r="CW19" i="1"/>
  <c r="CV19" i="1"/>
  <c r="CU19" i="1"/>
  <c r="CT19" i="1"/>
  <c r="CS19" i="1"/>
  <c r="CP19" i="1"/>
  <c r="CO19" i="1"/>
  <c r="CN19" i="1"/>
  <c r="CM19" i="1"/>
  <c r="CL19" i="1"/>
  <c r="CK19" i="1"/>
  <c r="F19" i="5" s="1"/>
  <c r="CJ19" i="1"/>
  <c r="E19" i="5" s="1"/>
  <c r="CI19" i="1"/>
  <c r="D19" i="5" s="1"/>
  <c r="CH19" i="1"/>
  <c r="C19" i="5" s="1"/>
  <c r="CG19" i="1"/>
  <c r="B19" i="5" s="1"/>
  <c r="BS19" i="1"/>
  <c r="DA19" i="1" s="1"/>
  <c r="V19" i="5" s="1"/>
  <c r="M19" i="1"/>
  <c r="CR19" i="1" s="1"/>
  <c r="L19" i="1"/>
  <c r="CQ19" i="1" s="1"/>
  <c r="DI18" i="1"/>
  <c r="DH18" i="1"/>
  <c r="DG18" i="1"/>
  <c r="DF18" i="1"/>
  <c r="DE18" i="1"/>
  <c r="DD18" i="1"/>
  <c r="DC18" i="1"/>
  <c r="DB18" i="1"/>
  <c r="W18" i="5" s="1"/>
  <c r="DA18" i="1"/>
  <c r="CZ18" i="1"/>
  <c r="CY18" i="1"/>
  <c r="CX18" i="1"/>
  <c r="CW18" i="1"/>
  <c r="CV18" i="1"/>
  <c r="CU18" i="1"/>
  <c r="P18" i="5" s="1"/>
  <c r="CT18" i="1"/>
  <c r="O18" i="5" s="1"/>
  <c r="CP18" i="1"/>
  <c r="CO18" i="1"/>
  <c r="CN18" i="1"/>
  <c r="CM18" i="1"/>
  <c r="CL18" i="1"/>
  <c r="CK18" i="1"/>
  <c r="F18" i="5" s="1"/>
  <c r="CJ18" i="1"/>
  <c r="E18" i="5" s="1"/>
  <c r="CI18" i="1"/>
  <c r="D18" i="5" s="1"/>
  <c r="CH18" i="1"/>
  <c r="C18" i="5" s="1"/>
  <c r="CG18" i="1"/>
  <c r="N18" i="1"/>
  <c r="CS18" i="1" s="1"/>
  <c r="M18" i="1"/>
  <c r="CR18" i="1" s="1"/>
  <c r="L18" i="1"/>
  <c r="CQ18" i="1" s="1"/>
  <c r="DI17" i="1"/>
  <c r="DH17" i="1"/>
  <c r="DG17" i="1"/>
  <c r="DF17" i="1"/>
  <c r="DE17" i="1"/>
  <c r="Z17" i="5" s="1"/>
  <c r="DD17" i="1"/>
  <c r="DC17" i="1"/>
  <c r="DB17" i="1"/>
  <c r="DA17" i="1"/>
  <c r="CZ17" i="1"/>
  <c r="U17" i="5" s="1"/>
  <c r="CY17" i="1"/>
  <c r="CX17" i="1"/>
  <c r="CW17" i="1"/>
  <c r="CV17" i="1"/>
  <c r="CU17" i="1"/>
  <c r="CT17" i="1"/>
  <c r="CP17" i="1"/>
  <c r="K17" i="5" s="1"/>
  <c r="CO17" i="1"/>
  <c r="J17" i="5" s="1"/>
  <c r="CN17" i="1"/>
  <c r="CM17" i="1"/>
  <c r="CL17" i="1"/>
  <c r="G17" i="5" s="1"/>
  <c r="CK17" i="1"/>
  <c r="CJ17" i="1"/>
  <c r="CI17" i="1"/>
  <c r="CH17" i="1"/>
  <c r="C17" i="5" s="1"/>
  <c r="CG17" i="1"/>
  <c r="B17" i="5" s="1"/>
  <c r="N17" i="1"/>
  <c r="CS17" i="1" s="1"/>
  <c r="M17" i="1"/>
  <c r="CR17" i="1" s="1"/>
  <c r="L17" i="1"/>
  <c r="CQ17" i="1" s="1"/>
  <c r="DI16" i="1"/>
  <c r="DH16" i="1"/>
  <c r="DG16" i="1"/>
  <c r="DF16" i="1"/>
  <c r="DE16" i="1"/>
  <c r="DD16" i="1"/>
  <c r="DC16" i="1"/>
  <c r="DB16" i="1"/>
  <c r="W16" i="5" s="1"/>
  <c r="CZ16" i="1"/>
  <c r="CY16" i="1"/>
  <c r="CX16" i="1"/>
  <c r="S16" i="5" s="1"/>
  <c r="CW16" i="1"/>
  <c r="CV16" i="1"/>
  <c r="CU16" i="1"/>
  <c r="CT16" i="1"/>
  <c r="O16" i="5" s="1"/>
  <c r="CP16" i="1"/>
  <c r="K16" i="5" s="1"/>
  <c r="CO16" i="1"/>
  <c r="CN16" i="1"/>
  <c r="I16" i="5" s="1"/>
  <c r="CM16" i="1"/>
  <c r="H16" i="5" s="1"/>
  <c r="CL16" i="1"/>
  <c r="CK16" i="1"/>
  <c r="F16" i="5" s="1"/>
  <c r="CJ16" i="1"/>
  <c r="E16" i="5" s="1"/>
  <c r="CI16" i="1"/>
  <c r="D16" i="5" s="1"/>
  <c r="CH16" i="1"/>
  <c r="CG16" i="1"/>
  <c r="BS16" i="1"/>
  <c r="N16" i="1"/>
  <c r="CS16" i="1" s="1"/>
  <c r="M16" i="1"/>
  <c r="CR16" i="1" s="1"/>
  <c r="L16" i="1"/>
  <c r="CQ16" i="1" s="1"/>
  <c r="DI15" i="1"/>
  <c r="DH15" i="1"/>
  <c r="DG15" i="1"/>
  <c r="DF15" i="1"/>
  <c r="DE15" i="1"/>
  <c r="DD15" i="1"/>
  <c r="Y15" i="5" s="1"/>
  <c r="Z14" i="4" s="1"/>
  <c r="DC15" i="1"/>
  <c r="DB15" i="1"/>
  <c r="W15" i="5" s="1"/>
  <c r="DA15" i="1"/>
  <c r="V15" i="5" s="1"/>
  <c r="CZ15" i="1"/>
  <c r="U15" i="5" s="1"/>
  <c r="CY15" i="1"/>
  <c r="CX15" i="1"/>
  <c r="CW15" i="1"/>
  <c r="CV15" i="1"/>
  <c r="CU15" i="1"/>
  <c r="P15" i="5" s="1"/>
  <c r="CT15" i="1"/>
  <c r="O15" i="5" s="1"/>
  <c r="M14" i="4" s="1"/>
  <c r="CP15" i="1"/>
  <c r="CO15" i="1"/>
  <c r="CN15" i="1"/>
  <c r="CM15" i="1"/>
  <c r="CL15" i="1"/>
  <c r="CK15" i="1"/>
  <c r="CJ15" i="1"/>
  <c r="E15" i="5" s="1"/>
  <c r="CI15" i="1"/>
  <c r="CH15" i="1"/>
  <c r="CG15" i="1"/>
  <c r="N15" i="1"/>
  <c r="CS15" i="1" s="1"/>
  <c r="M15" i="1"/>
  <c r="CR15" i="1" s="1"/>
  <c r="L15" i="1"/>
  <c r="CQ15" i="1" s="1"/>
  <c r="DI14" i="1"/>
  <c r="DH14" i="1"/>
  <c r="DG14" i="1"/>
  <c r="DF14" i="1"/>
  <c r="DE14" i="1"/>
  <c r="DD14" i="1"/>
  <c r="Y14" i="5" s="1"/>
  <c r="O13" i="4" s="1"/>
  <c r="DC14" i="1"/>
  <c r="DB14" i="1"/>
  <c r="DA14" i="1"/>
  <c r="CZ14" i="1"/>
  <c r="CY14" i="1"/>
  <c r="T14" i="5" s="1"/>
  <c r="C13" i="4" s="1"/>
  <c r="CX14" i="1"/>
  <c r="S14" i="5" s="1"/>
  <c r="CW14" i="1"/>
  <c r="CV14" i="1"/>
  <c r="CU14" i="1"/>
  <c r="P14" i="5" s="1"/>
  <c r="CT14" i="1"/>
  <c r="O14" i="5" s="1"/>
  <c r="CP14" i="1"/>
  <c r="CO14" i="1"/>
  <c r="CN14" i="1"/>
  <c r="I14" i="5" s="1"/>
  <c r="CM14" i="1"/>
  <c r="CL14" i="1"/>
  <c r="CK14" i="1"/>
  <c r="CJ14" i="1"/>
  <c r="E14" i="5" s="1"/>
  <c r="CI14" i="1"/>
  <c r="CH14" i="1"/>
  <c r="CG14" i="1"/>
  <c r="N14" i="1"/>
  <c r="CS14" i="1" s="1"/>
  <c r="N14" i="5" s="1"/>
  <c r="M14" i="1"/>
  <c r="CR14" i="1" s="1"/>
  <c r="L14" i="1"/>
  <c r="CQ14" i="1" s="1"/>
  <c r="DI13" i="1"/>
  <c r="AD13" i="5" s="1"/>
  <c r="DH13" i="1"/>
  <c r="DG13" i="1"/>
  <c r="DF13" i="1"/>
  <c r="DE13" i="1"/>
  <c r="DD13" i="1"/>
  <c r="DC13" i="1"/>
  <c r="DB13" i="1"/>
  <c r="W13" i="5" s="1"/>
  <c r="DA13" i="1"/>
  <c r="V13" i="5" s="1"/>
  <c r="CZ13" i="1"/>
  <c r="CY13" i="1"/>
  <c r="CX13" i="1"/>
  <c r="CW13" i="1"/>
  <c r="CV13" i="1"/>
  <c r="CU13" i="1"/>
  <c r="CT13" i="1"/>
  <c r="CP13" i="1"/>
  <c r="CO13" i="1"/>
  <c r="CN13" i="1"/>
  <c r="CM13" i="1"/>
  <c r="CL13" i="1"/>
  <c r="CK13" i="1"/>
  <c r="CJ13" i="1"/>
  <c r="CI13" i="1"/>
  <c r="CH13" i="1"/>
  <c r="CG13" i="1"/>
  <c r="N13" i="1"/>
  <c r="CS13" i="1" s="1"/>
  <c r="M13" i="1"/>
  <c r="CR13" i="1" s="1"/>
  <c r="L13" i="1"/>
  <c r="CQ13" i="1" s="1"/>
  <c r="DI12" i="1"/>
  <c r="DH12" i="1"/>
  <c r="DG12" i="1"/>
  <c r="DF12" i="1"/>
  <c r="DE12" i="1"/>
  <c r="DD12" i="1"/>
  <c r="DC12" i="1"/>
  <c r="X12" i="5" s="1"/>
  <c r="DB12" i="1"/>
  <c r="W12" i="5" s="1"/>
  <c r="DA12" i="1"/>
  <c r="CZ12" i="1"/>
  <c r="CY12" i="1"/>
  <c r="CX12" i="1"/>
  <c r="CW12" i="1"/>
  <c r="CV12" i="1"/>
  <c r="CU12" i="1"/>
  <c r="CT12" i="1"/>
  <c r="O12" i="5" s="1"/>
  <c r="M11" i="4" s="1"/>
  <c r="CP12" i="1"/>
  <c r="CO12" i="1"/>
  <c r="CN12" i="1"/>
  <c r="CM12" i="1"/>
  <c r="H12" i="5" s="1"/>
  <c r="CL12" i="1"/>
  <c r="CK12" i="1"/>
  <c r="CJ12" i="1"/>
  <c r="CI12" i="1"/>
  <c r="D12" i="5" s="1"/>
  <c r="CH12" i="1"/>
  <c r="CG12" i="1"/>
  <c r="N12" i="1"/>
  <c r="CS12" i="1" s="1"/>
  <c r="M12" i="1"/>
  <c r="CR12" i="1" s="1"/>
  <c r="L12" i="1"/>
  <c r="CQ12" i="1" s="1"/>
  <c r="L12" i="5" s="1"/>
  <c r="DI11" i="1"/>
  <c r="DH11" i="1"/>
  <c r="DG11" i="1"/>
  <c r="DF11" i="1"/>
  <c r="DE11" i="1"/>
  <c r="DD11" i="1"/>
  <c r="DC11" i="1"/>
  <c r="X11" i="5" s="1"/>
  <c r="DB11" i="1"/>
  <c r="DA11" i="1"/>
  <c r="CZ11" i="1"/>
  <c r="U11" i="5" s="1"/>
  <c r="CY11" i="1"/>
  <c r="T11" i="5" s="1"/>
  <c r="CX11" i="1"/>
  <c r="CW11" i="1"/>
  <c r="CV11" i="1"/>
  <c r="CU11" i="1"/>
  <c r="CT11" i="1"/>
  <c r="CP11" i="1"/>
  <c r="K11" i="5" s="1"/>
  <c r="CO11" i="1"/>
  <c r="J11" i="5" s="1"/>
  <c r="CN11" i="1"/>
  <c r="CM11" i="1"/>
  <c r="CL11" i="1"/>
  <c r="CK11" i="1"/>
  <c r="CJ11" i="1"/>
  <c r="CI11" i="1"/>
  <c r="D11" i="5" s="1"/>
  <c r="CH11" i="1"/>
  <c r="C11" i="5" s="1"/>
  <c r="CG11" i="1"/>
  <c r="B11" i="5" s="1"/>
  <c r="N11" i="1"/>
  <c r="CS11" i="1" s="1"/>
  <c r="M11" i="1"/>
  <c r="CR11" i="1" s="1"/>
  <c r="L11" i="1"/>
  <c r="CQ11" i="1" s="1"/>
  <c r="DI10" i="1"/>
  <c r="DH10" i="1"/>
  <c r="DG10" i="1"/>
  <c r="DF10" i="1"/>
  <c r="AA10" i="5" s="1"/>
  <c r="DE10" i="1"/>
  <c r="Z10" i="5" s="1"/>
  <c r="DD10" i="1"/>
  <c r="Y10" i="5" s="1"/>
  <c r="DC10" i="1"/>
  <c r="DB10" i="1"/>
  <c r="DA10" i="1"/>
  <c r="V10" i="5" s="1"/>
  <c r="CZ10" i="1"/>
  <c r="CY10" i="1"/>
  <c r="CX10" i="1"/>
  <c r="S10" i="5" s="1"/>
  <c r="CW10" i="1"/>
  <c r="CV10" i="1"/>
  <c r="Q10" i="5" s="1"/>
  <c r="CU10" i="1"/>
  <c r="CT10" i="1"/>
  <c r="O10" i="5" s="1"/>
  <c r="CP10" i="1"/>
  <c r="CO10" i="1"/>
  <c r="CN10" i="1"/>
  <c r="CM10" i="1"/>
  <c r="H10" i="5" s="1"/>
  <c r="CL10" i="1"/>
  <c r="G10" i="5" s="1"/>
  <c r="CK10" i="1"/>
  <c r="CJ10" i="1"/>
  <c r="CI10" i="1"/>
  <c r="D10" i="5" s="1"/>
  <c r="CH10" i="1"/>
  <c r="CG10" i="1"/>
  <c r="N10" i="1"/>
  <c r="CS10" i="1" s="1"/>
  <c r="N10" i="5" s="1"/>
  <c r="M10" i="1"/>
  <c r="CR10" i="1" s="1"/>
  <c r="L10" i="1"/>
  <c r="CQ10" i="1" s="1"/>
  <c r="DI9" i="1"/>
  <c r="DH9" i="1"/>
  <c r="DG9" i="1"/>
  <c r="DF9" i="1"/>
  <c r="DE9" i="1"/>
  <c r="DD9" i="1"/>
  <c r="Y9" i="5" s="1"/>
  <c r="DC9" i="1"/>
  <c r="X9" i="5" s="1"/>
  <c r="DB9" i="1"/>
  <c r="DA9" i="1"/>
  <c r="V9" i="5" s="1"/>
  <c r="CZ9" i="1"/>
  <c r="CY9" i="1"/>
  <c r="CX9" i="1"/>
  <c r="CW9" i="1"/>
  <c r="CV9" i="1"/>
  <c r="CU9" i="1"/>
  <c r="P9" i="5" s="1"/>
  <c r="CT9" i="1"/>
  <c r="O9" i="5" s="1"/>
  <c r="CS9" i="1"/>
  <c r="CR9" i="1"/>
  <c r="CQ9" i="1"/>
  <c r="CP9" i="1"/>
  <c r="CO9" i="1"/>
  <c r="CN9" i="1"/>
  <c r="CM9" i="1"/>
  <c r="CL9" i="1"/>
  <c r="G9" i="5" s="1"/>
  <c r="CK9" i="1"/>
  <c r="CJ9" i="1"/>
  <c r="CI9" i="1"/>
  <c r="D9" i="5" s="1"/>
  <c r="CH9" i="1"/>
  <c r="CG9" i="1"/>
  <c r="DI8" i="1"/>
  <c r="DH8" i="1"/>
  <c r="DG8" i="1"/>
  <c r="DF8" i="1"/>
  <c r="DE8" i="1"/>
  <c r="DD8" i="1"/>
  <c r="DC8" i="1"/>
  <c r="X8" i="5" s="1"/>
  <c r="DB8" i="1"/>
  <c r="DA8" i="1"/>
  <c r="V8" i="5" s="1"/>
  <c r="CZ8" i="1"/>
  <c r="CY8" i="1"/>
  <c r="CX8" i="1"/>
  <c r="CW8" i="1"/>
  <c r="CV8" i="1"/>
  <c r="CU8" i="1"/>
  <c r="CT8" i="1"/>
  <c r="CR8" i="1"/>
  <c r="CP8" i="1"/>
  <c r="CO8" i="1"/>
  <c r="J8" i="5" s="1"/>
  <c r="CN8" i="1"/>
  <c r="CM8" i="1"/>
  <c r="CL8" i="1"/>
  <c r="CK8" i="1"/>
  <c r="CJ8" i="1"/>
  <c r="CI8" i="1"/>
  <c r="CH8" i="1"/>
  <c r="C8" i="5" s="1"/>
  <c r="CG8" i="1"/>
  <c r="B8" i="5" s="1"/>
  <c r="N8" i="1"/>
  <c r="CS8" i="1" s="1"/>
  <c r="N8" i="5" s="1"/>
  <c r="L8" i="1"/>
  <c r="CQ8" i="1" s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P7" i="5" s="1"/>
  <c r="CT7" i="1"/>
  <c r="CP7" i="1"/>
  <c r="K7" i="5" s="1"/>
  <c r="CO7" i="1"/>
  <c r="CN7" i="1"/>
  <c r="CM7" i="1"/>
  <c r="CL7" i="1"/>
  <c r="CJ7" i="1"/>
  <c r="E7" i="5" s="1"/>
  <c r="CH7" i="1"/>
  <c r="CG7" i="1"/>
  <c r="N7" i="1"/>
  <c r="CS7" i="1" s="1"/>
  <c r="M7" i="1"/>
  <c r="CR7" i="1" s="1"/>
  <c r="L7" i="1"/>
  <c r="F7" i="1"/>
  <c r="CK7" i="1" s="1"/>
  <c r="D7" i="1"/>
  <c r="CI7" i="1" s="1"/>
  <c r="CA5" i="1"/>
  <c r="BZ5" i="1"/>
  <c r="BY5" i="1"/>
  <c r="BX5" i="1"/>
  <c r="BW5" i="1"/>
  <c r="BV5" i="1"/>
  <c r="BU5" i="1"/>
  <c r="BT5" i="1"/>
  <c r="BR5" i="1"/>
  <c r="BL5" i="1"/>
  <c r="BK5" i="1"/>
  <c r="BJ5" i="1"/>
  <c r="BI5" i="1"/>
  <c r="BH5" i="1"/>
  <c r="BG5" i="1"/>
  <c r="BF5" i="1"/>
  <c r="BE5" i="1"/>
  <c r="BC5" i="1"/>
  <c r="BB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K5" i="1"/>
  <c r="J5" i="1"/>
  <c r="I5" i="1"/>
  <c r="H5" i="1"/>
  <c r="G5" i="1"/>
  <c r="E5" i="1"/>
  <c r="C5" i="1"/>
  <c r="B5" i="1"/>
  <c r="I63" i="5"/>
  <c r="W62" i="5"/>
  <c r="J57" i="5"/>
  <c r="Z55" i="5"/>
  <c r="F55" i="5"/>
  <c r="E51" i="5"/>
  <c r="H50" i="5"/>
  <c r="H49" i="5"/>
  <c r="E49" i="5"/>
  <c r="AB48" i="5"/>
  <c r="U48" i="5"/>
  <c r="M48" i="5"/>
  <c r="E48" i="5"/>
  <c r="G47" i="5"/>
  <c r="S46" i="5"/>
  <c r="D46" i="5"/>
  <c r="D43" i="5"/>
  <c r="J42" i="5"/>
  <c r="T40" i="5"/>
  <c r="N39" i="4" s="1"/>
  <c r="D40" i="5"/>
  <c r="L36" i="5"/>
  <c r="X35" i="5"/>
  <c r="L35" i="5"/>
  <c r="V34" i="5"/>
  <c r="L32" i="5"/>
  <c r="D32" i="5"/>
  <c r="C31" i="5"/>
  <c r="I26" i="5"/>
  <c r="H21" i="5"/>
  <c r="G21" i="5"/>
  <c r="E20" i="5"/>
  <c r="J16" i="5"/>
  <c r="G16" i="5"/>
  <c r="X10" i="5"/>
  <c r="H9" i="5"/>
  <c r="U8" i="5"/>
  <c r="U7" i="5"/>
  <c r="N64" i="6"/>
  <c r="O64" i="6" s="1"/>
  <c r="J64" i="6"/>
  <c r="K64" i="6" s="1"/>
  <c r="B64" i="6"/>
  <c r="D64" i="6"/>
  <c r="D63" i="6"/>
  <c r="N62" i="6"/>
  <c r="O62" i="6" s="1"/>
  <c r="D62" i="6"/>
  <c r="B62" i="6"/>
  <c r="N61" i="6"/>
  <c r="O61" i="6" s="1"/>
  <c r="J61" i="6"/>
  <c r="K61" i="6" s="1"/>
  <c r="D61" i="6"/>
  <c r="B61" i="6"/>
  <c r="N60" i="6"/>
  <c r="O60" i="6" s="1"/>
  <c r="J60" i="6"/>
  <c r="K60" i="6" s="1"/>
  <c r="B60" i="6"/>
  <c r="D60" i="6"/>
  <c r="N59" i="6"/>
  <c r="O59" i="6" s="1"/>
  <c r="J59" i="6"/>
  <c r="K59" i="6" s="1"/>
  <c r="D59" i="6"/>
  <c r="B59" i="6"/>
  <c r="N58" i="6"/>
  <c r="O58" i="6" s="1"/>
  <c r="D58" i="6"/>
  <c r="B58" i="6"/>
  <c r="J57" i="6"/>
  <c r="K57" i="6" s="1"/>
  <c r="D57" i="6"/>
  <c r="N56" i="6"/>
  <c r="O56" i="6" s="1"/>
  <c r="J56" i="6"/>
  <c r="K56" i="6" s="1"/>
  <c r="B56" i="6"/>
  <c r="D56" i="6"/>
  <c r="N55" i="6"/>
  <c r="O55" i="6" s="1"/>
  <c r="D55" i="6"/>
  <c r="B55" i="6"/>
  <c r="N52" i="6"/>
  <c r="O52" i="6" s="1"/>
  <c r="D52" i="6"/>
  <c r="B52" i="6"/>
  <c r="N51" i="6"/>
  <c r="O51" i="6" s="1"/>
  <c r="J51" i="6"/>
  <c r="K51" i="6" s="1"/>
  <c r="D51" i="6"/>
  <c r="B51" i="6"/>
  <c r="N50" i="6"/>
  <c r="O50" i="6" s="1"/>
  <c r="J50" i="6"/>
  <c r="K50" i="6" s="1"/>
  <c r="B50" i="6"/>
  <c r="D50" i="6"/>
  <c r="N49" i="6"/>
  <c r="O49" i="6" s="1"/>
  <c r="D49" i="6"/>
  <c r="B49" i="6"/>
  <c r="N48" i="6"/>
  <c r="O48" i="6" s="1"/>
  <c r="D48" i="6"/>
  <c r="B48" i="6"/>
  <c r="N47" i="6"/>
  <c r="O47" i="6" s="1"/>
  <c r="J47" i="6"/>
  <c r="K47" i="6" s="1"/>
  <c r="D47" i="6"/>
  <c r="B47" i="6"/>
  <c r="N46" i="6"/>
  <c r="O46" i="6" s="1"/>
  <c r="J46" i="6"/>
  <c r="K46" i="6" s="1"/>
  <c r="B46" i="6"/>
  <c r="D46" i="6"/>
  <c r="N45" i="6"/>
  <c r="O45" i="6" s="1"/>
  <c r="D45" i="6"/>
  <c r="B45" i="6"/>
  <c r="N44" i="6"/>
  <c r="O44" i="6" s="1"/>
  <c r="D44" i="6"/>
  <c r="B44" i="6"/>
  <c r="J43" i="6"/>
  <c r="K43" i="6" s="1"/>
  <c r="D43" i="6"/>
  <c r="N42" i="6"/>
  <c r="O42" i="6" s="1"/>
  <c r="J42" i="6"/>
  <c r="K42" i="6" s="1"/>
  <c r="B42" i="6"/>
  <c r="D42" i="6"/>
  <c r="N41" i="6"/>
  <c r="O41" i="6" s="1"/>
  <c r="J41" i="6"/>
  <c r="K41" i="6" s="1"/>
  <c r="D41" i="6"/>
  <c r="B41" i="6"/>
  <c r="N38" i="6"/>
  <c r="O38" i="6" s="1"/>
  <c r="D38" i="6"/>
  <c r="B38" i="6"/>
  <c r="N37" i="6"/>
  <c r="O37" i="6" s="1"/>
  <c r="J37" i="6"/>
  <c r="K37" i="6" s="1"/>
  <c r="D37" i="6"/>
  <c r="B37" i="6"/>
  <c r="N36" i="6"/>
  <c r="O36" i="6" s="1"/>
  <c r="J36" i="6"/>
  <c r="K36" i="6" s="1"/>
  <c r="B36" i="6"/>
  <c r="D36" i="6"/>
  <c r="N35" i="6"/>
  <c r="O35" i="6" s="1"/>
  <c r="J35" i="6"/>
  <c r="K35" i="6" s="1"/>
  <c r="D35" i="6"/>
  <c r="B35" i="6"/>
  <c r="N34" i="6"/>
  <c r="O34" i="6" s="1"/>
  <c r="D34" i="6"/>
  <c r="B34" i="6"/>
  <c r="N33" i="6"/>
  <c r="O33" i="6" s="1"/>
  <c r="J33" i="6"/>
  <c r="K33" i="6" s="1"/>
  <c r="D33" i="6"/>
  <c r="B33" i="6"/>
  <c r="J32" i="6"/>
  <c r="K32" i="6" s="1"/>
  <c r="D32" i="6"/>
  <c r="N31" i="6"/>
  <c r="O31" i="6" s="1"/>
  <c r="D31" i="6"/>
  <c r="B31" i="6"/>
  <c r="N30" i="6"/>
  <c r="O30" i="6" s="1"/>
  <c r="D30" i="6"/>
  <c r="B30" i="6"/>
  <c r="N29" i="6"/>
  <c r="O29" i="6" s="1"/>
  <c r="J29" i="6"/>
  <c r="K29" i="6" s="1"/>
  <c r="D29" i="6"/>
  <c r="B29" i="6"/>
  <c r="N28" i="6"/>
  <c r="O28" i="6" s="1"/>
  <c r="J28" i="6"/>
  <c r="K28" i="6" s="1"/>
  <c r="B28" i="6"/>
  <c r="D28" i="6"/>
  <c r="N27" i="6"/>
  <c r="O27" i="6" s="1"/>
  <c r="J27" i="6"/>
  <c r="K27" i="6" s="1"/>
  <c r="D27" i="6"/>
  <c r="B27" i="6"/>
  <c r="N26" i="6"/>
  <c r="O26" i="6" s="1"/>
  <c r="D26" i="6"/>
  <c r="B26" i="6"/>
  <c r="N23" i="6"/>
  <c r="O23" i="6" s="1"/>
  <c r="J23" i="6"/>
  <c r="K23" i="6" s="1"/>
  <c r="D23" i="6"/>
  <c r="B23" i="6"/>
  <c r="N22" i="6"/>
  <c r="O22" i="6" s="1"/>
  <c r="J22" i="6"/>
  <c r="K22" i="6" s="1"/>
  <c r="B22" i="6"/>
  <c r="D22" i="6"/>
  <c r="N21" i="6"/>
  <c r="O21" i="6" s="1"/>
  <c r="D21" i="6"/>
  <c r="B21" i="6"/>
  <c r="N20" i="6"/>
  <c r="O20" i="6" s="1"/>
  <c r="D20" i="6"/>
  <c r="B20" i="6"/>
  <c r="N19" i="6"/>
  <c r="O19" i="6" s="1"/>
  <c r="J19" i="6"/>
  <c r="K19" i="6" s="1"/>
  <c r="D19" i="6"/>
  <c r="B19" i="6"/>
  <c r="N18" i="6"/>
  <c r="O18" i="6" s="1"/>
  <c r="J18" i="6"/>
  <c r="K18" i="6" s="1"/>
  <c r="B18" i="6"/>
  <c r="D18" i="6"/>
  <c r="N17" i="6"/>
  <c r="O17" i="6" s="1"/>
  <c r="J17" i="6"/>
  <c r="K17" i="6" s="1"/>
  <c r="D17" i="6"/>
  <c r="B17" i="6"/>
  <c r="N16" i="6"/>
  <c r="O16" i="6" s="1"/>
  <c r="D16" i="6"/>
  <c r="B16" i="6"/>
  <c r="N15" i="6"/>
  <c r="O15" i="6" s="1"/>
  <c r="J15" i="6"/>
  <c r="K15" i="6" s="1"/>
  <c r="D15" i="6"/>
  <c r="B15" i="6"/>
  <c r="N14" i="6"/>
  <c r="O14" i="6" s="1"/>
  <c r="J14" i="6"/>
  <c r="K14" i="6" s="1"/>
  <c r="B14" i="6"/>
  <c r="D14" i="6"/>
  <c r="N13" i="6"/>
  <c r="O13" i="6" s="1"/>
  <c r="D13" i="6"/>
  <c r="B13" i="6"/>
  <c r="N12" i="6"/>
  <c r="O12" i="6" s="1"/>
  <c r="D12" i="6"/>
  <c r="B12" i="6"/>
  <c r="N11" i="6"/>
  <c r="O11" i="6" s="1"/>
  <c r="J11" i="6"/>
  <c r="K11" i="6" s="1"/>
  <c r="D11" i="6"/>
  <c r="B11" i="6"/>
  <c r="N10" i="6"/>
  <c r="O10" i="6" s="1"/>
  <c r="J10" i="6"/>
  <c r="K10" i="6" s="1"/>
  <c r="B10" i="6"/>
  <c r="N9" i="6"/>
  <c r="O9" i="6" s="1"/>
  <c r="J9" i="6"/>
  <c r="K9" i="6" s="1"/>
  <c r="D9" i="6"/>
  <c r="B9" i="6"/>
  <c r="N8" i="6"/>
  <c r="O8" i="6" s="1"/>
  <c r="D8" i="6"/>
  <c r="B8" i="6"/>
  <c r="J6" i="6"/>
  <c r="K6" i="6" s="1"/>
  <c r="AC25" i="5" l="1"/>
  <c r="B29" i="5"/>
  <c r="N7" i="5"/>
  <c r="W10" i="5"/>
  <c r="H17" i="5"/>
  <c r="K18" i="5"/>
  <c r="M37" i="5"/>
  <c r="U41" i="5"/>
  <c r="B50" i="5"/>
  <c r="J50" i="5"/>
  <c r="N61" i="5"/>
  <c r="H14" i="5"/>
  <c r="I17" i="5"/>
  <c r="T17" i="5"/>
  <c r="Y16" i="4" s="1"/>
  <c r="L43" i="5"/>
  <c r="AC48" i="5"/>
  <c r="G54" i="5"/>
  <c r="O54" i="5"/>
  <c r="B55" i="5"/>
  <c r="J55" i="5"/>
  <c r="G61" i="5"/>
  <c r="W61" i="5"/>
  <c r="T9" i="5"/>
  <c r="AA13" i="5"/>
  <c r="Y23" i="2"/>
  <c r="L24" i="6" s="1"/>
  <c r="B24" i="6" s="1"/>
  <c r="H28" i="5"/>
  <c r="Y28" i="5"/>
  <c r="D27" i="4" s="1"/>
  <c r="D29" i="5"/>
  <c r="L29" i="5"/>
  <c r="T29" i="5"/>
  <c r="N28" i="4" s="1"/>
  <c r="C37" i="5"/>
  <c r="X40" i="5"/>
  <c r="C41" i="5"/>
  <c r="K41" i="5"/>
  <c r="S41" i="5"/>
  <c r="V42" i="5"/>
  <c r="S45" i="5"/>
  <c r="C56" i="5"/>
  <c r="K56" i="5"/>
  <c r="F57" i="5"/>
  <c r="U58" i="5"/>
  <c r="I58" i="5"/>
  <c r="D59" i="5"/>
  <c r="L59" i="5"/>
  <c r="D61" i="5"/>
  <c r="E62" i="5"/>
  <c r="H27" i="5"/>
  <c r="F36" i="5"/>
  <c r="V36" i="5"/>
  <c r="Y41" i="5"/>
  <c r="O40" i="4" s="1"/>
  <c r="AC8" i="5"/>
  <c r="J19" i="5"/>
  <c r="I27" i="5"/>
  <c r="Y27" i="5"/>
  <c r="O26" i="4" s="1"/>
  <c r="I37" i="5"/>
  <c r="J46" i="5"/>
  <c r="S7" i="5"/>
  <c r="AA7" i="5"/>
  <c r="F6" i="4" s="1"/>
  <c r="T10" i="5"/>
  <c r="C9" i="4" s="1"/>
  <c r="F12" i="5"/>
  <c r="D14" i="5"/>
  <c r="AD21" i="5"/>
  <c r="AA20" i="4" s="1"/>
  <c r="Y22" i="5"/>
  <c r="D21" i="4" s="1"/>
  <c r="C25" i="5"/>
  <c r="S25" i="5"/>
  <c r="AA25" i="5"/>
  <c r="F24" i="4" s="1"/>
  <c r="I32" i="5"/>
  <c r="G33" i="5"/>
  <c r="O33" i="5"/>
  <c r="B32" i="4" s="1"/>
  <c r="K46" i="5"/>
  <c r="F47" i="5"/>
  <c r="N47" i="5"/>
  <c r="I48" i="5"/>
  <c r="Y48" i="5"/>
  <c r="D47" i="4" s="1"/>
  <c r="Z51" i="5"/>
  <c r="P50" i="4" s="1"/>
  <c r="H60" i="5"/>
  <c r="S32" i="5"/>
  <c r="M54" i="5"/>
  <c r="AA35" i="5"/>
  <c r="Q34" i="4" s="1"/>
  <c r="N36" i="5"/>
  <c r="S11" i="5"/>
  <c r="X22" i="5"/>
  <c r="Q27" i="5"/>
  <c r="Q37" i="5"/>
  <c r="B46" i="5"/>
  <c r="Z46" i="5"/>
  <c r="AW52" i="1"/>
  <c r="B10" i="5"/>
  <c r="J10" i="5"/>
  <c r="U10" i="5"/>
  <c r="G12" i="5"/>
  <c r="F26" i="5"/>
  <c r="N26" i="5"/>
  <c r="R31" i="5"/>
  <c r="B32" i="5"/>
  <c r="J32" i="5"/>
  <c r="H33" i="5"/>
  <c r="X33" i="5"/>
  <c r="AA34" i="5"/>
  <c r="F33" i="4" s="1"/>
  <c r="B48" i="5"/>
  <c r="R48" i="5"/>
  <c r="U49" i="5"/>
  <c r="R10" i="5"/>
  <c r="U21" i="5"/>
  <c r="U27" i="5"/>
  <c r="G34" i="5"/>
  <c r="B54" i="5"/>
  <c r="J54" i="5"/>
  <c r="R54" i="5"/>
  <c r="X58" i="5"/>
  <c r="J63" i="5"/>
  <c r="D5" i="1"/>
  <c r="D4" i="1" s="1"/>
  <c r="BD55" i="1"/>
  <c r="BD52" i="1" s="1"/>
  <c r="F8" i="5"/>
  <c r="Y8" i="5"/>
  <c r="D7" i="4" s="1"/>
  <c r="C9" i="5"/>
  <c r="K9" i="5"/>
  <c r="S9" i="5"/>
  <c r="C10" i="5"/>
  <c r="K10" i="5"/>
  <c r="AC10" i="5"/>
  <c r="I15" i="5"/>
  <c r="Q18" i="5"/>
  <c r="AA26" i="5"/>
  <c r="F25" i="4" s="1"/>
  <c r="F27" i="5"/>
  <c r="V27" i="5"/>
  <c r="C29" i="5"/>
  <c r="K29" i="5"/>
  <c r="S29" i="5"/>
  <c r="V30" i="5"/>
  <c r="AC31" i="5"/>
  <c r="H35" i="5"/>
  <c r="P35" i="5"/>
  <c r="B41" i="5"/>
  <c r="J41" i="5"/>
  <c r="G46" i="5"/>
  <c r="W46" i="5"/>
  <c r="G50" i="5"/>
  <c r="O50" i="5"/>
  <c r="M49" i="4" s="1"/>
  <c r="S51" i="5"/>
  <c r="H55" i="5"/>
  <c r="X55" i="5"/>
  <c r="M57" i="5"/>
  <c r="H58" i="5"/>
  <c r="P58" i="5"/>
  <c r="Y58" i="5"/>
  <c r="Z57" i="4" s="1"/>
  <c r="C59" i="5"/>
  <c r="S59" i="5"/>
  <c r="Y60" i="5"/>
  <c r="Z59" i="4" s="1"/>
  <c r="C61" i="5"/>
  <c r="AB61" i="5"/>
  <c r="D62" i="5"/>
  <c r="T62" i="5"/>
  <c r="C61" i="4" s="1"/>
  <c r="K63" i="5"/>
  <c r="S63" i="5"/>
  <c r="N55" i="5"/>
  <c r="J20" i="5"/>
  <c r="K8" i="5"/>
  <c r="O7" i="5"/>
  <c r="M6" i="4" s="1"/>
  <c r="T19" i="5"/>
  <c r="Y18" i="4" s="1"/>
  <c r="AB11" i="5"/>
  <c r="R19" i="5"/>
  <c r="U29" i="5"/>
  <c r="Z7" i="5"/>
  <c r="E6" i="4" s="1"/>
  <c r="L18" i="5"/>
  <c r="O22" i="5"/>
  <c r="M21" i="4" s="1"/>
  <c r="L22" i="5"/>
  <c r="G36" i="5"/>
  <c r="B49" i="5"/>
  <c r="Z19" i="5"/>
  <c r="P18" i="4" s="1"/>
  <c r="AA20" i="5"/>
  <c r="F19" i="4" s="1"/>
  <c r="X48" i="5"/>
  <c r="AB13" i="5"/>
  <c r="Y11" i="5"/>
  <c r="O10" i="4" s="1"/>
  <c r="S13" i="5"/>
  <c r="F28" i="5"/>
  <c r="Y21" i="5"/>
  <c r="Z20" i="4" s="1"/>
  <c r="F33" i="5"/>
  <c r="L49" i="5"/>
  <c r="B7" i="5"/>
  <c r="AC9" i="5"/>
  <c r="H11" i="5"/>
  <c r="S12" i="5"/>
  <c r="AA12" i="5"/>
  <c r="F11" i="4" s="1"/>
  <c r="CV21" i="1"/>
  <c r="Q21" i="5" s="1"/>
  <c r="J29" i="5"/>
  <c r="G35" i="5"/>
  <c r="J51" i="5"/>
  <c r="B58" i="5"/>
  <c r="J58" i="5"/>
  <c r="R58" i="5"/>
  <c r="M18" i="5"/>
  <c r="K19" i="5"/>
  <c r="F54" i="5"/>
  <c r="N54" i="5"/>
  <c r="AA55" i="5"/>
  <c r="F54" i="4" s="1"/>
  <c r="E56" i="5"/>
  <c r="U56" i="5"/>
  <c r="H57" i="5"/>
  <c r="P57" i="5"/>
  <c r="C58" i="5"/>
  <c r="K58" i="5"/>
  <c r="S58" i="5"/>
  <c r="F59" i="5"/>
  <c r="G62" i="5"/>
  <c r="O62" i="5"/>
  <c r="M61" i="4" s="1"/>
  <c r="F63" i="5"/>
  <c r="V50" i="5"/>
  <c r="H31" i="5"/>
  <c r="Y34" i="5"/>
  <c r="D33" i="4" s="1"/>
  <c r="X36" i="5"/>
  <c r="H19" i="5"/>
  <c r="V35" i="5"/>
  <c r="BT5" i="2"/>
  <c r="BT4" i="2" s="1"/>
  <c r="N33" i="5"/>
  <c r="H40" i="5"/>
  <c r="F5" i="1"/>
  <c r="F4" i="1" s="1"/>
  <c r="BD5" i="1"/>
  <c r="C7" i="5"/>
  <c r="I8" i="5"/>
  <c r="AA8" i="5"/>
  <c r="Q7" i="4" s="1"/>
  <c r="F9" i="5"/>
  <c r="N9" i="5"/>
  <c r="AD9" i="5"/>
  <c r="G8" i="4" s="1"/>
  <c r="F10" i="5"/>
  <c r="I11" i="5"/>
  <c r="AA11" i="5"/>
  <c r="F10" i="4" s="1"/>
  <c r="C12" i="5"/>
  <c r="K12" i="5"/>
  <c r="T12" i="5"/>
  <c r="N11" i="4" s="1"/>
  <c r="D13" i="5"/>
  <c r="CX21" i="1"/>
  <c r="S21" i="5" s="1"/>
  <c r="Z26" i="5"/>
  <c r="P25" i="4" s="1"/>
  <c r="E27" i="5"/>
  <c r="D41" i="5"/>
  <c r="L41" i="5"/>
  <c r="T41" i="5"/>
  <c r="Y40" i="4" s="1"/>
  <c r="B43" i="5"/>
  <c r="J43" i="5"/>
  <c r="I50" i="5"/>
  <c r="Y50" i="5"/>
  <c r="Z49" i="4" s="1"/>
  <c r="V18" i="5"/>
  <c r="J30" i="5"/>
  <c r="D35" i="5"/>
  <c r="V37" i="5"/>
  <c r="C50" i="5"/>
  <c r="K50" i="5"/>
  <c r="AA50" i="5"/>
  <c r="Q49" i="4" s="1"/>
  <c r="J15" i="5"/>
  <c r="T7" i="5"/>
  <c r="C6" i="4" s="1"/>
  <c r="L42" i="5"/>
  <c r="O36" i="5"/>
  <c r="B35" i="4" s="1"/>
  <c r="R26" i="5"/>
  <c r="I20" i="5"/>
  <c r="I41" i="5"/>
  <c r="N28" i="5"/>
  <c r="AA37" i="5"/>
  <c r="Q36" i="4" s="1"/>
  <c r="K14" i="5"/>
  <c r="D49" i="5"/>
  <c r="Q7" i="5"/>
  <c r="T8" i="5"/>
  <c r="Y7" i="4" s="1"/>
  <c r="W9" i="5"/>
  <c r="L10" i="5"/>
  <c r="S18" i="5"/>
  <c r="G25" i="5"/>
  <c r="E32" i="5"/>
  <c r="M32" i="5"/>
  <c r="C33" i="5"/>
  <c r="K33" i="5"/>
  <c r="S33" i="5"/>
  <c r="C43" i="5"/>
  <c r="F46" i="5"/>
  <c r="V46" i="5"/>
  <c r="E61" i="5"/>
  <c r="U61" i="5"/>
  <c r="R7" i="5"/>
  <c r="AC7" i="5"/>
  <c r="C13" i="5"/>
  <c r="CR14" i="2"/>
  <c r="F14" i="5"/>
  <c r="B16" i="5"/>
  <c r="T16" i="5"/>
  <c r="Y15" i="4" s="1"/>
  <c r="D17" i="5"/>
  <c r="V17" i="5"/>
  <c r="G18" i="5"/>
  <c r="G20" i="5"/>
  <c r="I21" i="5"/>
  <c r="X31" i="5"/>
  <c r="V33" i="5"/>
  <c r="G41" i="5"/>
  <c r="O41" i="5"/>
  <c r="W41" i="5"/>
  <c r="AA42" i="5"/>
  <c r="Q41" i="4" s="1"/>
  <c r="T46" i="5"/>
  <c r="Y45" i="4" s="1"/>
  <c r="D50" i="5"/>
  <c r="K21" i="5"/>
  <c r="W36" i="5"/>
  <c r="P11" i="5"/>
  <c r="R44" i="5"/>
  <c r="AD10" i="5"/>
  <c r="AA9" i="4" s="1"/>
  <c r="G19" i="5"/>
  <c r="P31" i="5"/>
  <c r="H46" i="5"/>
  <c r="K49" i="5"/>
  <c r="F60" i="5"/>
  <c r="AB30" i="5"/>
  <c r="V12" i="5"/>
  <c r="N15" i="5"/>
  <c r="Y17" i="5"/>
  <c r="Z16" i="4" s="1"/>
  <c r="I18" i="5"/>
  <c r="T18" i="5"/>
  <c r="C17" i="4" s="1"/>
  <c r="L20" i="5"/>
  <c r="B26" i="5"/>
  <c r="J26" i="5"/>
  <c r="W27" i="5"/>
  <c r="R28" i="5"/>
  <c r="Z28" i="5"/>
  <c r="E27" i="4" s="1"/>
  <c r="E29" i="5"/>
  <c r="M29" i="5"/>
  <c r="AC29" i="5"/>
  <c r="P30" i="5"/>
  <c r="F31" i="5"/>
  <c r="N31" i="5"/>
  <c r="Y32" i="5"/>
  <c r="O31" i="4" s="1"/>
  <c r="W34" i="5"/>
  <c r="B35" i="5"/>
  <c r="J35" i="5"/>
  <c r="M36" i="5"/>
  <c r="AA60" i="5"/>
  <c r="Q59" i="4" s="1"/>
  <c r="P8" i="5"/>
  <c r="AA9" i="5"/>
  <c r="Q8" i="4" s="1"/>
  <c r="E11" i="5"/>
  <c r="W11" i="5"/>
  <c r="C14" i="5"/>
  <c r="T15" i="5"/>
  <c r="Y14" i="4" s="1"/>
  <c r="C16" i="5"/>
  <c r="X19" i="5"/>
  <c r="DG15" i="2"/>
  <c r="DG5" i="2" s="1"/>
  <c r="BJ5" i="2"/>
  <c r="AB43" i="5"/>
  <c r="AB45" i="5"/>
  <c r="H7" i="5"/>
  <c r="D8" i="5"/>
  <c r="I10" i="5"/>
  <c r="V11" i="5"/>
  <c r="P13" i="5"/>
  <c r="X13" i="5"/>
  <c r="Z58" i="5"/>
  <c r="E57" i="4" s="1"/>
  <c r="X60" i="5"/>
  <c r="AA61" i="5"/>
  <c r="Q60" i="4" s="1"/>
  <c r="K43" i="5"/>
  <c r="F32" i="5"/>
  <c r="N32" i="5"/>
  <c r="B45" i="5"/>
  <c r="V21" i="5"/>
  <c r="C26" i="5"/>
  <c r="U33" i="5"/>
  <c r="K45" i="5"/>
  <c r="S20" i="5"/>
  <c r="G22" i="5"/>
  <c r="J25" i="5"/>
  <c r="Z25" i="5"/>
  <c r="E24" i="4" s="1"/>
  <c r="CW52" i="1"/>
  <c r="R40" i="5"/>
  <c r="J45" i="5"/>
  <c r="DC16" i="2"/>
  <c r="X16" i="5" s="1"/>
  <c r="DA16" i="1"/>
  <c r="DA5" i="1" s="1"/>
  <c r="G31" i="5"/>
  <c r="O32" i="5"/>
  <c r="B31" i="4" s="1"/>
  <c r="E33" i="5"/>
  <c r="M41" i="5"/>
  <c r="H44" i="5"/>
  <c r="M5" i="1"/>
  <c r="M4" i="1" s="1"/>
  <c r="T20" i="5"/>
  <c r="N19" i="4" s="1"/>
  <c r="K37" i="5"/>
  <c r="R62" i="5"/>
  <c r="D63" i="5"/>
  <c r="E8" i="5"/>
  <c r="J9" i="5"/>
  <c r="G28" i="5"/>
  <c r="O28" i="5"/>
  <c r="M27" i="4" s="1"/>
  <c r="D37" i="5"/>
  <c r="L37" i="5"/>
  <c r="T37" i="5"/>
  <c r="C36" i="4" s="1"/>
  <c r="Q41" i="5"/>
  <c r="CR38" i="1"/>
  <c r="U42" i="5"/>
  <c r="R46" i="5"/>
  <c r="E47" i="5"/>
  <c r="M47" i="5"/>
  <c r="U47" i="5"/>
  <c r="P48" i="5"/>
  <c r="S49" i="5"/>
  <c r="AA49" i="5"/>
  <c r="F48" i="4" s="1"/>
  <c r="CH52" i="1"/>
  <c r="I56" i="5"/>
  <c r="L57" i="5"/>
  <c r="T57" i="5"/>
  <c r="N56" i="4" s="1"/>
  <c r="G58" i="5"/>
  <c r="B59" i="5"/>
  <c r="J59" i="5"/>
  <c r="R59" i="5"/>
  <c r="E60" i="5"/>
  <c r="M60" i="5"/>
  <c r="P61" i="5"/>
  <c r="C62" i="5"/>
  <c r="S62" i="5"/>
  <c r="M63" i="5"/>
  <c r="O51" i="5"/>
  <c r="W51" i="5"/>
  <c r="AC62" i="5"/>
  <c r="S37" i="5"/>
  <c r="CU52" i="1"/>
  <c r="P52" i="5" s="1"/>
  <c r="T63" i="5"/>
  <c r="Y62" i="4" s="1"/>
  <c r="W8" i="5"/>
  <c r="P17" i="5"/>
  <c r="CH5" i="1"/>
  <c r="P28" i="5"/>
  <c r="X28" i="5"/>
  <c r="F30" i="5"/>
  <c r="N30" i="5"/>
  <c r="F42" i="5"/>
  <c r="Q48" i="5"/>
  <c r="T49" i="5"/>
  <c r="Y48" i="4" s="1"/>
  <c r="W50" i="5"/>
  <c r="BD38" i="1"/>
  <c r="DA51" i="1"/>
  <c r="V51" i="5" s="1"/>
  <c r="O20" i="5"/>
  <c r="M19" i="4" s="1"/>
  <c r="K27" i="5"/>
  <c r="I33" i="5"/>
  <c r="E34" i="5"/>
  <c r="M34" i="5"/>
  <c r="U34" i="5"/>
  <c r="F43" i="5"/>
  <c r="Y36" i="5"/>
  <c r="Z35" i="4" s="1"/>
  <c r="CM52" i="1"/>
  <c r="H52" i="5" s="1"/>
  <c r="CS52" i="1"/>
  <c r="O61" i="5"/>
  <c r="L63" i="5"/>
  <c r="O8" i="5"/>
  <c r="M7" i="4" s="1"/>
  <c r="B9" i="5"/>
  <c r="I12" i="5"/>
  <c r="N18" i="5"/>
  <c r="U19" i="5"/>
  <c r="AD19" i="5"/>
  <c r="G18" i="4" s="1"/>
  <c r="N21" i="5"/>
  <c r="V22" i="5"/>
  <c r="DA26" i="1"/>
  <c r="V26" i="5" s="1"/>
  <c r="BE26" i="1"/>
  <c r="DB26" i="1" s="1"/>
  <c r="W26" i="5" s="1"/>
  <c r="S56" i="5"/>
  <c r="N57" i="5"/>
  <c r="V57" i="5"/>
  <c r="Q58" i="5"/>
  <c r="B61" i="5"/>
  <c r="J61" i="5"/>
  <c r="Y7" i="5"/>
  <c r="O6" i="4" s="1"/>
  <c r="S8" i="5"/>
  <c r="U14" i="5"/>
  <c r="R17" i="5"/>
  <c r="G15" i="5"/>
  <c r="Y16" i="5"/>
  <c r="Z15" i="4" s="1"/>
  <c r="AD18" i="5"/>
  <c r="G17" i="4" s="1"/>
  <c r="R20" i="5"/>
  <c r="W22" i="5"/>
  <c r="X25" i="5"/>
  <c r="G30" i="5"/>
  <c r="M31" i="5"/>
  <c r="I35" i="5"/>
  <c r="Y35" i="5"/>
  <c r="O34" i="4" s="1"/>
  <c r="D36" i="5"/>
  <c r="T36" i="5"/>
  <c r="Y35" i="4" s="1"/>
  <c r="F37" i="5"/>
  <c r="N37" i="5"/>
  <c r="G42" i="5"/>
  <c r="W42" i="5"/>
  <c r="L46" i="5"/>
  <c r="O47" i="5"/>
  <c r="W47" i="5"/>
  <c r="AC49" i="5"/>
  <c r="AC57" i="5"/>
  <c r="L9" i="5"/>
  <c r="G11" i="5"/>
  <c r="AC14" i="5"/>
  <c r="CR17" i="2"/>
  <c r="M17" i="5" s="1"/>
  <c r="AC20" i="5"/>
  <c r="B31" i="5"/>
  <c r="J31" i="5"/>
  <c r="C34" i="5"/>
  <c r="K34" i="5"/>
  <c r="S34" i="5"/>
  <c r="E41" i="5"/>
  <c r="M45" i="5"/>
  <c r="E54" i="5"/>
  <c r="V54" i="5"/>
  <c r="E59" i="5"/>
  <c r="V59" i="5"/>
  <c r="F62" i="5"/>
  <c r="R57" i="5"/>
  <c r="N59" i="5"/>
  <c r="J7" i="5"/>
  <c r="S15" i="5"/>
  <c r="AA15" i="5"/>
  <c r="Q14" i="4" s="1"/>
  <c r="Y18" i="5"/>
  <c r="O17" i="4" s="1"/>
  <c r="X21" i="5"/>
  <c r="CP23" i="1"/>
  <c r="D26" i="5"/>
  <c r="L26" i="5"/>
  <c r="T26" i="5"/>
  <c r="Y25" i="4" s="1"/>
  <c r="D28" i="5"/>
  <c r="T28" i="5"/>
  <c r="Y27" i="4" s="1"/>
  <c r="G29" i="5"/>
  <c r="O29" i="5"/>
  <c r="B28" i="4" s="1"/>
  <c r="AD33" i="5"/>
  <c r="G32" i="4" s="1"/>
  <c r="F41" i="5"/>
  <c r="N41" i="5"/>
  <c r="V63" i="5"/>
  <c r="CR10" i="2"/>
  <c r="M10" i="5" s="1"/>
  <c r="X14" i="5"/>
  <c r="H20" i="5"/>
  <c r="P20" i="5"/>
  <c r="E36" i="5"/>
  <c r="AC36" i="5"/>
  <c r="H37" i="5"/>
  <c r="E44" i="5"/>
  <c r="U44" i="5"/>
  <c r="P49" i="5"/>
  <c r="I51" i="5"/>
  <c r="Y51" i="5"/>
  <c r="O50" i="4" s="1"/>
  <c r="P38" i="3"/>
  <c r="F11" i="5"/>
  <c r="B14" i="5"/>
  <c r="K20" i="5"/>
  <c r="I22" i="5"/>
  <c r="D25" i="5"/>
  <c r="L25" i="5"/>
  <c r="E26" i="5"/>
  <c r="M26" i="5"/>
  <c r="U26" i="5"/>
  <c r="B27" i="5"/>
  <c r="J27" i="5"/>
  <c r="H29" i="5"/>
  <c r="P29" i="5"/>
  <c r="X29" i="5"/>
  <c r="K30" i="5"/>
  <c r="W33" i="5"/>
  <c r="B34" i="5"/>
  <c r="J34" i="5"/>
  <c r="E35" i="5"/>
  <c r="M35" i="5"/>
  <c r="AC35" i="5"/>
  <c r="H36" i="5"/>
  <c r="P36" i="5"/>
  <c r="R37" i="5"/>
  <c r="F56" i="5"/>
  <c r="I57" i="5"/>
  <c r="D58" i="5"/>
  <c r="L58" i="5"/>
  <c r="T58" i="5"/>
  <c r="N57" i="4" s="1"/>
  <c r="G59" i="5"/>
  <c r="W59" i="5"/>
  <c r="H62" i="5"/>
  <c r="B63" i="5"/>
  <c r="CQ15" i="2"/>
  <c r="L15" i="5" s="1"/>
  <c r="AC27" i="5"/>
  <c r="Y37" i="5"/>
  <c r="O36" i="4" s="1"/>
  <c r="H43" i="5"/>
  <c r="U45" i="5"/>
  <c r="T59" i="5"/>
  <c r="C58" i="4" s="1"/>
  <c r="AB62" i="5"/>
  <c r="AC61" i="5"/>
  <c r="AD55" i="5"/>
  <c r="R54" i="4" s="1"/>
  <c r="AC60" i="5"/>
  <c r="AC46" i="5"/>
  <c r="AD22" i="5"/>
  <c r="R21" i="4" s="1"/>
  <c r="AD15" i="5"/>
  <c r="G14" i="4" s="1"/>
  <c r="AB14" i="5"/>
  <c r="AC15" i="5"/>
  <c r="AB16" i="5"/>
  <c r="AB9" i="5"/>
  <c r="AD63" i="5"/>
  <c r="G62" i="4" s="1"/>
  <c r="AD62" i="5"/>
  <c r="G61" i="4" s="1"/>
  <c r="AD58" i="5"/>
  <c r="G57" i="4" s="1"/>
  <c r="AC56" i="5"/>
  <c r="AB50" i="5"/>
  <c r="AC51" i="5"/>
  <c r="AD36" i="5"/>
  <c r="G35" i="4" s="1"/>
  <c r="AD31" i="5"/>
  <c r="R30" i="4" s="1"/>
  <c r="AC28" i="5"/>
  <c r="AD32" i="5"/>
  <c r="R31" i="4" s="1"/>
  <c r="AB31" i="5"/>
  <c r="AB10" i="5"/>
  <c r="M6" i="6"/>
  <c r="D6" i="6" s="1"/>
  <c r="AB58" i="5"/>
  <c r="AB59" i="5"/>
  <c r="AC44" i="5"/>
  <c r="AB32" i="5"/>
  <c r="AB28" i="5"/>
  <c r="AB26" i="5"/>
  <c r="AB36" i="5"/>
  <c r="AC32" i="5"/>
  <c r="AB7" i="5"/>
  <c r="AB55" i="5"/>
  <c r="AB63" i="5"/>
  <c r="AB51" i="5"/>
  <c r="AB49" i="5"/>
  <c r="AC41" i="5"/>
  <c r="AB42" i="5"/>
  <c r="AB46" i="5"/>
  <c r="AB34" i="5"/>
  <c r="AC30" i="5"/>
  <c r="AB29" i="5"/>
  <c r="AB25" i="5"/>
  <c r="AB17" i="5"/>
  <c r="AB22" i="5"/>
  <c r="AB18" i="5"/>
  <c r="AB12" i="5"/>
  <c r="AB8" i="5"/>
  <c r="AB37" i="5"/>
  <c r="AB44" i="5"/>
  <c r="AB35" i="5"/>
  <c r="AB27" i="5"/>
  <c r="R12" i="4"/>
  <c r="AA12" i="4"/>
  <c r="AA14" i="5"/>
  <c r="Q13" i="4" s="1"/>
  <c r="CP15" i="2"/>
  <c r="K15" i="5" s="1"/>
  <c r="AA44" i="5"/>
  <c r="F43" i="4" s="1"/>
  <c r="CG52" i="2"/>
  <c r="M11" i="5"/>
  <c r="R33" i="5"/>
  <c r="M49" i="5"/>
  <c r="P62" i="5"/>
  <c r="W21" i="5"/>
  <c r="AA27" i="5"/>
  <c r="F26" i="4" s="1"/>
  <c r="AA32" i="5"/>
  <c r="Q31" i="4" s="1"/>
  <c r="AA41" i="5"/>
  <c r="Q40" i="4" s="1"/>
  <c r="AA58" i="5"/>
  <c r="Q57" i="4" s="1"/>
  <c r="P12" i="5"/>
  <c r="R15" i="5"/>
  <c r="M40" i="5"/>
  <c r="Q47" i="5"/>
  <c r="BD14" i="2"/>
  <c r="DA14" i="2" s="1"/>
  <c r="V14" i="5" s="1"/>
  <c r="CR16" i="2"/>
  <c r="M16" i="5" s="1"/>
  <c r="CG23" i="2"/>
  <c r="AA31" i="5"/>
  <c r="Q30" i="4" s="1"/>
  <c r="BF38" i="2"/>
  <c r="DF52" i="2"/>
  <c r="BS52" i="2"/>
  <c r="BU62" i="2"/>
  <c r="DF63" i="2"/>
  <c r="Q12" i="5"/>
  <c r="N27" i="5"/>
  <c r="O31" i="5"/>
  <c r="B30" i="4" s="1"/>
  <c r="P33" i="5"/>
  <c r="M44" i="5"/>
  <c r="R47" i="5"/>
  <c r="R50" i="5"/>
  <c r="M58" i="5"/>
  <c r="Q60" i="5"/>
  <c r="M62" i="5"/>
  <c r="CR8" i="2"/>
  <c r="M8" i="5" s="1"/>
  <c r="CQ21" i="2"/>
  <c r="L21" i="5" s="1"/>
  <c r="CR23" i="2"/>
  <c r="CW60" i="2"/>
  <c r="CW52" i="2" s="1"/>
  <c r="DA62" i="2"/>
  <c r="V62" i="5" s="1"/>
  <c r="Q33" i="5"/>
  <c r="N42" i="5"/>
  <c r="M51" i="5"/>
  <c r="B22" i="5"/>
  <c r="AA21" i="5"/>
  <c r="Q20" i="4" s="1"/>
  <c r="N22" i="5"/>
  <c r="AA16" i="5"/>
  <c r="F15" i="4" s="1"/>
  <c r="AA19" i="5"/>
  <c r="Q18" i="4" s="1"/>
  <c r="P22" i="5"/>
  <c r="W20" i="5"/>
  <c r="F9" i="4"/>
  <c r="Q9" i="4"/>
  <c r="F34" i="4"/>
  <c r="Q55" i="4"/>
  <c r="F55" i="4"/>
  <c r="Q27" i="4"/>
  <c r="F27" i="4"/>
  <c r="Q47" i="4"/>
  <c r="F47" i="4"/>
  <c r="Q12" i="4"/>
  <c r="F12" i="4"/>
  <c r="Q53" i="4"/>
  <c r="F53" i="4"/>
  <c r="Q61" i="4"/>
  <c r="F61" i="4"/>
  <c r="Q29" i="4"/>
  <c r="F29" i="4"/>
  <c r="Q35" i="4"/>
  <c r="F35" i="4"/>
  <c r="Q32" i="4"/>
  <c r="F32" i="4"/>
  <c r="BZ4" i="2"/>
  <c r="T22" i="5"/>
  <c r="N21" i="4" s="1"/>
  <c r="K22" i="5"/>
  <c r="B43" i="6"/>
  <c r="F43" i="6" s="1"/>
  <c r="N32" i="6"/>
  <c r="O32" i="6" s="1"/>
  <c r="B4" i="1"/>
  <c r="J4" i="1"/>
  <c r="AK4" i="1"/>
  <c r="X17" i="5"/>
  <c r="AA18" i="5"/>
  <c r="Q22" i="5"/>
  <c r="W17" i="5"/>
  <c r="DE38" i="1"/>
  <c r="L5" i="1"/>
  <c r="L4" i="1" s="1"/>
  <c r="R34" i="5"/>
  <c r="CI15" i="2"/>
  <c r="D15" i="5" s="1"/>
  <c r="D5" i="2"/>
  <c r="D4" i="2" s="1"/>
  <c r="L16" i="5"/>
  <c r="P23" i="3"/>
  <c r="O27" i="5"/>
  <c r="M26" i="4" s="1"/>
  <c r="O23" i="3"/>
  <c r="R52" i="3"/>
  <c r="N58" i="5"/>
  <c r="P52" i="3"/>
  <c r="Z20" i="5"/>
  <c r="E19" i="4" s="1"/>
  <c r="Q13" i="5"/>
  <c r="Y13" i="5"/>
  <c r="D12" i="4" s="1"/>
  <c r="P16" i="4"/>
  <c r="CR21" i="2"/>
  <c r="M21" i="5" s="1"/>
  <c r="P32" i="4"/>
  <c r="P40" i="4"/>
  <c r="AC42" i="5"/>
  <c r="Q38" i="3"/>
  <c r="O58" i="5"/>
  <c r="B57" i="4" s="1"/>
  <c r="Q59" i="5"/>
  <c r="C55" i="5"/>
  <c r="AK5" i="2"/>
  <c r="AK4" i="2" s="1"/>
  <c r="Z8" i="5"/>
  <c r="P7" i="4" s="1"/>
  <c r="Z13" i="5"/>
  <c r="E12" i="4" s="1"/>
  <c r="G14" i="5"/>
  <c r="E42" i="5"/>
  <c r="CQ38" i="2"/>
  <c r="CL38" i="2"/>
  <c r="CT38" i="2"/>
  <c r="DB38" i="2"/>
  <c r="BC52" i="2"/>
  <c r="Z63" i="5"/>
  <c r="P62" i="4" s="1"/>
  <c r="Y4" i="3"/>
  <c r="AM23" i="1"/>
  <c r="AM4" i="1" s="1"/>
  <c r="CJ30" i="1"/>
  <c r="E30" i="5" s="1"/>
  <c r="Z27" i="5"/>
  <c r="E26" i="4" s="1"/>
  <c r="DB30" i="1"/>
  <c r="W30" i="5" s="1"/>
  <c r="BU30" i="1"/>
  <c r="BU23" i="1" s="1"/>
  <c r="BU4" i="1" s="1"/>
  <c r="BS38" i="1"/>
  <c r="DA41" i="1"/>
  <c r="L5" i="2"/>
  <c r="L4" i="2" s="1"/>
  <c r="P45" i="4"/>
  <c r="AC47" i="5"/>
  <c r="F50" i="5"/>
  <c r="N50" i="5"/>
  <c r="AD50" i="5"/>
  <c r="R49" i="4" s="1"/>
  <c r="S55" i="5"/>
  <c r="M9" i="5"/>
  <c r="M14" i="5"/>
  <c r="R18" i="5"/>
  <c r="Q20" i="5"/>
  <c r="K25" i="5"/>
  <c r="M27" i="5"/>
  <c r="AA29" i="5"/>
  <c r="Z34" i="5"/>
  <c r="E33" i="4" s="1"/>
  <c r="Z6" i="6"/>
  <c r="Z22" i="5"/>
  <c r="E21" i="4" s="1"/>
  <c r="Q25" i="5"/>
  <c r="Z35" i="5"/>
  <c r="E34" i="4" s="1"/>
  <c r="U36" i="5"/>
  <c r="Z4" i="1"/>
  <c r="Z39" i="6"/>
  <c r="AU4" i="1"/>
  <c r="R41" i="5"/>
  <c r="Z32" i="5"/>
  <c r="P31" i="4" s="1"/>
  <c r="D33" i="5"/>
  <c r="L33" i="5"/>
  <c r="T33" i="5"/>
  <c r="Y32" i="4" s="1"/>
  <c r="AC33" i="5"/>
  <c r="H34" i="5"/>
  <c r="P34" i="5"/>
  <c r="X34" i="5"/>
  <c r="DA40" i="2"/>
  <c r="V40" i="5" s="1"/>
  <c r="BD38" i="2"/>
  <c r="DE38" i="2"/>
  <c r="V43" i="2"/>
  <c r="V38" i="2" s="1"/>
  <c r="CV38" i="2"/>
  <c r="CK52" i="2"/>
  <c r="F61" i="5"/>
  <c r="AL23" i="1"/>
  <c r="AL4" i="1" s="1"/>
  <c r="Z59" i="5"/>
  <c r="P58" i="4" s="1"/>
  <c r="Z18" i="5"/>
  <c r="E17" i="4" s="1"/>
  <c r="E40" i="4"/>
  <c r="E45" i="4"/>
  <c r="Z40" i="5"/>
  <c r="E39" i="4" s="1"/>
  <c r="F17" i="5"/>
  <c r="DE23" i="1"/>
  <c r="CH23" i="1"/>
  <c r="CX23" i="1"/>
  <c r="P37" i="5"/>
  <c r="CZ38" i="1"/>
  <c r="AB41" i="5"/>
  <c r="Q45" i="5"/>
  <c r="E47" i="4"/>
  <c r="BG52" i="1"/>
  <c r="BG4" i="1" s="1"/>
  <c r="I55" i="5"/>
  <c r="E56" i="4"/>
  <c r="BD23" i="2"/>
  <c r="O30" i="5"/>
  <c r="B29" i="4" s="1"/>
  <c r="U31" i="2"/>
  <c r="V31" i="2" s="1"/>
  <c r="T23" i="2"/>
  <c r="T4" i="2" s="1"/>
  <c r="CY31" i="2"/>
  <c r="T31" i="5" s="1"/>
  <c r="N30" i="4" s="1"/>
  <c r="B37" i="5"/>
  <c r="J37" i="5"/>
  <c r="Z37" i="5"/>
  <c r="E36" i="4" s="1"/>
  <c r="U38" i="2"/>
  <c r="CG38" i="2"/>
  <c r="CO38" i="2"/>
  <c r="CW38" i="2"/>
  <c r="P47" i="4"/>
  <c r="P50" i="5"/>
  <c r="X50" i="5"/>
  <c r="V58" i="5"/>
  <c r="L63" i="6"/>
  <c r="Z62" i="2"/>
  <c r="E46" i="4"/>
  <c r="CG52" i="1"/>
  <c r="CO52" i="1"/>
  <c r="L62" i="5"/>
  <c r="AD8" i="5"/>
  <c r="R7" i="4" s="1"/>
  <c r="DG23" i="2"/>
  <c r="W29" i="5"/>
  <c r="Z30" i="5"/>
  <c r="P29" i="4" s="1"/>
  <c r="CO23" i="2"/>
  <c r="Z42" i="5"/>
  <c r="E41" i="4" s="1"/>
  <c r="C57" i="5"/>
  <c r="S57" i="5"/>
  <c r="F58" i="5"/>
  <c r="V60" i="5"/>
  <c r="AD60" i="5"/>
  <c r="AA59" i="4" s="1"/>
  <c r="Y61" i="5"/>
  <c r="O60" i="4" s="1"/>
  <c r="E63" i="5"/>
  <c r="U63" i="5"/>
  <c r="AC63" i="5"/>
  <c r="Q14" i="5"/>
  <c r="Q44" i="5"/>
  <c r="P46" i="5"/>
  <c r="W28" i="5"/>
  <c r="CG23" i="1"/>
  <c r="Z29" i="5"/>
  <c r="E28" i="4" s="1"/>
  <c r="Z44" i="5"/>
  <c r="P43" i="4" s="1"/>
  <c r="AC45" i="5"/>
  <c r="C47" i="5"/>
  <c r="K47" i="5"/>
  <c r="S47" i="5"/>
  <c r="AA47" i="5"/>
  <c r="F48" i="5"/>
  <c r="N48" i="5"/>
  <c r="V48" i="5"/>
  <c r="AD48" i="5"/>
  <c r="AA47" i="4" s="1"/>
  <c r="I7" i="5"/>
  <c r="CW5" i="2"/>
  <c r="CQ14" i="2"/>
  <c r="L14" i="5" s="1"/>
  <c r="AD14" i="5"/>
  <c r="AA13" i="4" s="1"/>
  <c r="H18" i="5"/>
  <c r="X18" i="5"/>
  <c r="I19" i="5"/>
  <c r="T21" i="5"/>
  <c r="C20" i="4" s="1"/>
  <c r="AB21" i="5"/>
  <c r="CJ23" i="2"/>
  <c r="CM23" i="2"/>
  <c r="DC23" i="2"/>
  <c r="CX23" i="2"/>
  <c r="L28" i="5"/>
  <c r="D31" i="5"/>
  <c r="W55" i="5"/>
  <c r="CN52" i="2"/>
  <c r="Z56" i="5"/>
  <c r="E55" i="4" s="1"/>
  <c r="D57" i="5"/>
  <c r="AA59" i="5"/>
  <c r="Q61" i="5"/>
  <c r="M28" i="5"/>
  <c r="R30" i="5"/>
  <c r="O34" i="5"/>
  <c r="M33" i="4" s="1"/>
  <c r="E32" i="4"/>
  <c r="D42" i="5"/>
  <c r="T42" i="5"/>
  <c r="N41" i="4" s="1"/>
  <c r="K44" i="5"/>
  <c r="CX38" i="1"/>
  <c r="DF38" i="1"/>
  <c r="F45" i="5"/>
  <c r="N45" i="5"/>
  <c r="V45" i="5"/>
  <c r="I46" i="5"/>
  <c r="Q46" i="5"/>
  <c r="D47" i="5"/>
  <c r="L47" i="5"/>
  <c r="AB47" i="5"/>
  <c r="G48" i="5"/>
  <c r="O48" i="5"/>
  <c r="M47" i="4" s="1"/>
  <c r="W48" i="5"/>
  <c r="J49" i="5"/>
  <c r="R49" i="5"/>
  <c r="Z49" i="5"/>
  <c r="P48" i="4" s="1"/>
  <c r="E50" i="5"/>
  <c r="U50" i="5"/>
  <c r="G51" i="5"/>
  <c r="AD54" i="5"/>
  <c r="R53" i="4" s="1"/>
  <c r="Y55" i="5"/>
  <c r="D54" i="4" s="1"/>
  <c r="P60" i="5"/>
  <c r="K61" i="5"/>
  <c r="S61" i="5"/>
  <c r="Y12" i="5"/>
  <c r="O11" i="4" s="1"/>
  <c r="W14" i="5"/>
  <c r="CG5" i="2"/>
  <c r="CQ17" i="2"/>
  <c r="L17" i="5" s="1"/>
  <c r="S19" i="5"/>
  <c r="E37" i="5"/>
  <c r="U37" i="5"/>
  <c r="P46" i="4"/>
  <c r="B56" i="5"/>
  <c r="J56" i="5"/>
  <c r="R56" i="5"/>
  <c r="K59" i="5"/>
  <c r="DC62" i="2"/>
  <c r="X62" i="5" s="1"/>
  <c r="BU52" i="2"/>
  <c r="BU4" i="2" s="1"/>
  <c r="Q62" i="5"/>
  <c r="I4" i="3"/>
  <c r="N13" i="5"/>
  <c r="O17" i="5"/>
  <c r="M16" i="4" s="1"/>
  <c r="O19" i="5"/>
  <c r="M18" i="4" s="1"/>
  <c r="G7" i="5"/>
  <c r="E16" i="4"/>
  <c r="B18" i="5"/>
  <c r="J18" i="5"/>
  <c r="AC19" i="5"/>
  <c r="AC21" i="5"/>
  <c r="I29" i="5"/>
  <c r="Y29" i="5"/>
  <c r="D28" i="4" s="1"/>
  <c r="H32" i="5"/>
  <c r="R43" i="5"/>
  <c r="Z43" i="5"/>
  <c r="E42" i="4" s="1"/>
  <c r="C54" i="5"/>
  <c r="CJ52" i="1"/>
  <c r="CR52" i="1"/>
  <c r="G60" i="5"/>
  <c r="O60" i="5"/>
  <c r="M59" i="4" s="1"/>
  <c r="W60" i="5"/>
  <c r="R61" i="5"/>
  <c r="Z61" i="5"/>
  <c r="P60" i="4" s="1"/>
  <c r="W63" i="5"/>
  <c r="AW4" i="2"/>
  <c r="CU5" i="2"/>
  <c r="E12" i="5"/>
  <c r="U12" i="5"/>
  <c r="AC12" i="5"/>
  <c r="CR15" i="2"/>
  <c r="M15" i="5" s="1"/>
  <c r="F15" i="5"/>
  <c r="X15" i="5"/>
  <c r="P16" i="5"/>
  <c r="AD27" i="5"/>
  <c r="R26" i="4" s="1"/>
  <c r="AD30" i="5"/>
  <c r="AA29" i="4" s="1"/>
  <c r="DD31" i="2"/>
  <c r="Y31" i="5" s="1"/>
  <c r="D30" i="4" s="1"/>
  <c r="C32" i="5"/>
  <c r="I36" i="5"/>
  <c r="C40" i="5"/>
  <c r="CP38" i="2"/>
  <c r="S40" i="5"/>
  <c r="AA40" i="5"/>
  <c r="AD41" i="5"/>
  <c r="AA40" i="4" s="1"/>
  <c r="X42" i="5"/>
  <c r="AA43" i="5"/>
  <c r="F44" i="5"/>
  <c r="H45" i="5"/>
  <c r="P45" i="5"/>
  <c r="C46" i="5"/>
  <c r="AA46" i="5"/>
  <c r="C49" i="5"/>
  <c r="P54" i="4"/>
  <c r="U59" i="5"/>
  <c r="AC59" i="5"/>
  <c r="CS60" i="2"/>
  <c r="N60" i="5" s="1"/>
  <c r="H4" i="3"/>
  <c r="Q11" i="5"/>
  <c r="Q15" i="5"/>
  <c r="N17" i="5"/>
  <c r="N19" i="5"/>
  <c r="Z4" i="3"/>
  <c r="Q26" i="5"/>
  <c r="R27" i="5"/>
  <c r="Q30" i="5"/>
  <c r="N34" i="5"/>
  <c r="Q35" i="5"/>
  <c r="Q40" i="5"/>
  <c r="P42" i="5"/>
  <c r="O46" i="5"/>
  <c r="B45" i="4" s="1"/>
  <c r="R51" i="5"/>
  <c r="Z9" i="5"/>
  <c r="P8" i="4" s="1"/>
  <c r="E9" i="4"/>
  <c r="Z11" i="5"/>
  <c r="E10" i="4" s="1"/>
  <c r="B12" i="5"/>
  <c r="J12" i="5"/>
  <c r="Z12" i="5"/>
  <c r="P11" i="4" s="1"/>
  <c r="B13" i="5"/>
  <c r="J14" i="5"/>
  <c r="R14" i="5"/>
  <c r="Z14" i="5"/>
  <c r="P13" i="4" s="1"/>
  <c r="Z15" i="5"/>
  <c r="P14" i="4" s="1"/>
  <c r="BS5" i="1"/>
  <c r="Z16" i="5"/>
  <c r="P15" i="4" s="1"/>
  <c r="U18" i="5"/>
  <c r="AC18" i="5"/>
  <c r="S4" i="1"/>
  <c r="BZ4" i="1"/>
  <c r="M39" i="6"/>
  <c r="D39" i="6" s="1"/>
  <c r="G44" i="5"/>
  <c r="W44" i="5"/>
  <c r="Z45" i="5"/>
  <c r="P44" i="4" s="1"/>
  <c r="Q50" i="5"/>
  <c r="C51" i="5"/>
  <c r="K51" i="5"/>
  <c r="AA51" i="5"/>
  <c r="E54" i="4"/>
  <c r="CX5" i="2"/>
  <c r="I9" i="5"/>
  <c r="P9" i="4"/>
  <c r="H15" i="5"/>
  <c r="S17" i="5"/>
  <c r="F4" i="2"/>
  <c r="B25" i="5"/>
  <c r="X27" i="5"/>
  <c r="BS23" i="2"/>
  <c r="X32" i="5"/>
  <c r="J33" i="5"/>
  <c r="F35" i="5"/>
  <c r="X41" i="5"/>
  <c r="B42" i="5"/>
  <c r="R42" i="5"/>
  <c r="X44" i="5"/>
  <c r="CH38" i="2"/>
  <c r="CX38" i="2"/>
  <c r="D51" i="5"/>
  <c r="L51" i="5"/>
  <c r="T51" i="5"/>
  <c r="N50" i="4" s="1"/>
  <c r="U52" i="2"/>
  <c r="CM52" i="2"/>
  <c r="CU52" i="2"/>
  <c r="U57" i="5"/>
  <c r="P56" i="4"/>
  <c r="L61" i="5"/>
  <c r="T61" i="5"/>
  <c r="Y60" i="4" s="1"/>
  <c r="H63" i="5"/>
  <c r="X63" i="5"/>
  <c r="B4" i="3"/>
  <c r="J4" i="3"/>
  <c r="X4" i="3"/>
  <c r="M12" i="5"/>
  <c r="O13" i="5"/>
  <c r="M12" i="4" s="1"/>
  <c r="P19" i="5"/>
  <c r="C15" i="5"/>
  <c r="AC17" i="5"/>
  <c r="X20" i="5"/>
  <c r="E21" i="5"/>
  <c r="CN23" i="1"/>
  <c r="M30" i="5"/>
  <c r="U30" i="5"/>
  <c r="W35" i="5"/>
  <c r="B36" i="5"/>
  <c r="J36" i="5"/>
  <c r="Z36" i="5"/>
  <c r="P35" i="4" s="1"/>
  <c r="CI38" i="1"/>
  <c r="CQ38" i="1"/>
  <c r="CY38" i="1"/>
  <c r="I42" i="5"/>
  <c r="U43" i="5"/>
  <c r="Z50" i="5"/>
  <c r="E49" i="4" s="1"/>
  <c r="CK52" i="1"/>
  <c r="DF52" i="1"/>
  <c r="Y57" i="5"/>
  <c r="O56" i="4" s="1"/>
  <c r="Z60" i="5"/>
  <c r="P59" i="4" s="1"/>
  <c r="AC11" i="5"/>
  <c r="Z31" i="2"/>
  <c r="I31" i="5"/>
  <c r="AB33" i="5"/>
  <c r="DG38" i="2"/>
  <c r="M43" i="5"/>
  <c r="C45" i="5"/>
  <c r="AA45" i="5"/>
  <c r="Y47" i="5"/>
  <c r="O46" i="4" s="1"/>
  <c r="E55" i="5"/>
  <c r="M55" i="5"/>
  <c r="W56" i="5"/>
  <c r="AA57" i="5"/>
  <c r="AC58" i="5"/>
  <c r="X59" i="5"/>
  <c r="K62" i="5"/>
  <c r="N12" i="5"/>
  <c r="Q17" i="5"/>
  <c r="Q19" i="5"/>
  <c r="M33" i="5"/>
  <c r="Q34" i="5"/>
  <c r="Q36" i="5"/>
  <c r="M59" i="5"/>
  <c r="R63" i="5"/>
  <c r="AB4" i="3"/>
  <c r="N38" i="3"/>
  <c r="M38" i="3"/>
  <c r="R38" i="3"/>
  <c r="F4" i="3"/>
  <c r="O52" i="3"/>
  <c r="Q32" i="5"/>
  <c r="U4" i="3"/>
  <c r="AC4" i="3"/>
  <c r="Q5" i="3"/>
  <c r="O38" i="3"/>
  <c r="Q51" i="5"/>
  <c r="M52" i="3"/>
  <c r="O42" i="5"/>
  <c r="M41" i="4" s="1"/>
  <c r="C4" i="3"/>
  <c r="K4" i="3"/>
  <c r="G4" i="3"/>
  <c r="Q52" i="3"/>
  <c r="R9" i="5"/>
  <c r="R11" i="5"/>
  <c r="N49" i="5"/>
  <c r="O55" i="5"/>
  <c r="B54" i="4" s="1"/>
  <c r="D4" i="3"/>
  <c r="L4" i="3"/>
  <c r="M23" i="3"/>
  <c r="Q23" i="3"/>
  <c r="O35" i="5"/>
  <c r="M34" i="4" s="1"/>
  <c r="Q42" i="5"/>
  <c r="P44" i="5"/>
  <c r="Q55" i="5"/>
  <c r="Q57" i="5"/>
  <c r="O59" i="5"/>
  <c r="M58" i="4" s="1"/>
  <c r="E4" i="3"/>
  <c r="R5" i="3"/>
  <c r="N5" i="3"/>
  <c r="R23" i="3"/>
  <c r="N52" i="3"/>
  <c r="T4" i="3"/>
  <c r="W32" i="5"/>
  <c r="W23" i="3"/>
  <c r="W4" i="3" s="1"/>
  <c r="S4" i="3"/>
  <c r="AA4" i="3"/>
  <c r="N40" i="5"/>
  <c r="R8" i="5"/>
  <c r="M25" i="5"/>
  <c r="M42" i="5"/>
  <c r="AD4" i="3"/>
  <c r="O11" i="5"/>
  <c r="B10" i="4" s="1"/>
  <c r="R55" i="5"/>
  <c r="R35" i="5"/>
  <c r="T47" i="5"/>
  <c r="C46" i="4" s="1"/>
  <c r="M50" i="5"/>
  <c r="P55" i="5"/>
  <c r="N23" i="3"/>
  <c r="V23" i="3"/>
  <c r="V4" i="3" s="1"/>
  <c r="Q29" i="5"/>
  <c r="R12" i="5"/>
  <c r="R13" i="5"/>
  <c r="R16" i="5"/>
  <c r="O44" i="5"/>
  <c r="B43" i="4" s="1"/>
  <c r="R45" i="5"/>
  <c r="M46" i="5"/>
  <c r="Q9" i="5"/>
  <c r="P27" i="5"/>
  <c r="Q28" i="5"/>
  <c r="N35" i="5"/>
  <c r="R29" i="5"/>
  <c r="M56" i="5"/>
  <c r="M5" i="3"/>
  <c r="M20" i="5"/>
  <c r="P25" i="5"/>
  <c r="R36" i="5"/>
  <c r="N46" i="5"/>
  <c r="M61" i="5"/>
  <c r="Q31" i="5"/>
  <c r="O21" i="3"/>
  <c r="O21" i="5" s="1"/>
  <c r="B20" i="4" s="1"/>
  <c r="N11" i="5"/>
  <c r="P59" i="5"/>
  <c r="DA7" i="2"/>
  <c r="BE7" i="2"/>
  <c r="I43" i="5"/>
  <c r="CN38" i="2"/>
  <c r="CI52" i="2"/>
  <c r="D54" i="5"/>
  <c r="CQ52" i="2"/>
  <c r="L54" i="5"/>
  <c r="T54" i="5"/>
  <c r="N53" i="4" s="1"/>
  <c r="AB15" i="5"/>
  <c r="CY5" i="2"/>
  <c r="CI5" i="2"/>
  <c r="D7" i="5"/>
  <c r="G8" i="5"/>
  <c r="CV5" i="2"/>
  <c r="Q8" i="5"/>
  <c r="AD11" i="5"/>
  <c r="R10" i="4" s="1"/>
  <c r="CH52" i="2"/>
  <c r="CP52" i="2"/>
  <c r="Q43" i="5"/>
  <c r="B15" i="5"/>
  <c r="CO52" i="2"/>
  <c r="CR7" i="2"/>
  <c r="M7" i="5" s="1"/>
  <c r="M5" i="2"/>
  <c r="M4" i="2" s="1"/>
  <c r="B5" i="2"/>
  <c r="B4" i="2" s="1"/>
  <c r="D44" i="5"/>
  <c r="CI38" i="2"/>
  <c r="T44" i="5"/>
  <c r="Y43" i="4" s="1"/>
  <c r="CY38" i="2"/>
  <c r="DG52" i="2"/>
  <c r="AB54" i="5"/>
  <c r="L57" i="6"/>
  <c r="Y52" i="2"/>
  <c r="CV52" i="2"/>
  <c r="Q56" i="5"/>
  <c r="DD56" i="2"/>
  <c r="DI52" i="2"/>
  <c r="CR13" i="2"/>
  <c r="DE5" i="2"/>
  <c r="CZ5" i="2"/>
  <c r="CQ23" i="2"/>
  <c r="CN23" i="2"/>
  <c r="CV23" i="2"/>
  <c r="DD23" i="2"/>
  <c r="R32" i="2"/>
  <c r="CU32" i="2"/>
  <c r="CU23" i="2" s="1"/>
  <c r="DF38" i="2"/>
  <c r="DD62" i="2"/>
  <c r="Y62" i="5" s="1"/>
  <c r="Z61" i="4" s="1"/>
  <c r="BC23" i="2"/>
  <c r="CZ35" i="2"/>
  <c r="U35" i="5" s="1"/>
  <c r="CM38" i="2"/>
  <c r="P40" i="5"/>
  <c r="CU38" i="2"/>
  <c r="DC38" i="2"/>
  <c r="DH52" i="2"/>
  <c r="K55" i="5"/>
  <c r="CH5" i="2"/>
  <c r="BB60" i="2"/>
  <c r="BA52" i="2"/>
  <c r="BA4" i="2" s="1"/>
  <c r="CX60" i="2"/>
  <c r="S60" i="5" s="1"/>
  <c r="B60" i="5"/>
  <c r="R60" i="5"/>
  <c r="CK7" i="2"/>
  <c r="F7" i="5" s="1"/>
  <c r="P23" i="2"/>
  <c r="P4" i="2" s="1"/>
  <c r="CI23" i="2"/>
  <c r="CP23" i="2"/>
  <c r="K23" i="5" s="1"/>
  <c r="DF23" i="2"/>
  <c r="CR52" i="2"/>
  <c r="AU5" i="2"/>
  <c r="AU4" i="2" s="1"/>
  <c r="AT8" i="2"/>
  <c r="CQ8" i="2" s="1"/>
  <c r="AQ5" i="2"/>
  <c r="AQ4" i="2" s="1"/>
  <c r="AN13" i="2"/>
  <c r="AN5" i="2" s="1"/>
  <c r="AN4" i="2" s="1"/>
  <c r="CN13" i="2"/>
  <c r="CS5" i="2"/>
  <c r="Q23" i="2"/>
  <c r="Q4" i="2" s="1"/>
  <c r="CK23" i="2"/>
  <c r="CS23" i="2"/>
  <c r="CY35" i="2"/>
  <c r="T35" i="5" s="1"/>
  <c r="C34" i="4" s="1"/>
  <c r="BH4" i="2"/>
  <c r="AZ52" i="2"/>
  <c r="AZ4" i="2" s="1"/>
  <c r="J60" i="5"/>
  <c r="CT5" i="2"/>
  <c r="DD5" i="2"/>
  <c r="CJ5" i="2"/>
  <c r="CH23" i="2"/>
  <c r="CK38" i="2"/>
  <c r="CS38" i="2"/>
  <c r="CJ52" i="2"/>
  <c r="CZ54" i="2"/>
  <c r="CZ52" i="2" s="1"/>
  <c r="DA61" i="2"/>
  <c r="V61" i="5" s="1"/>
  <c r="X26" i="5"/>
  <c r="BS5" i="2"/>
  <c r="DF5" i="2"/>
  <c r="AR13" i="2"/>
  <c r="AS13" i="2" s="1"/>
  <c r="AT13" i="2" s="1"/>
  <c r="CQ13" i="2" s="1"/>
  <c r="L13" i="5" s="1"/>
  <c r="AD4" i="2"/>
  <c r="N59" i="7" s="1"/>
  <c r="AY4" i="2"/>
  <c r="CL23" i="2"/>
  <c r="CT23" i="2"/>
  <c r="DA28" i="2"/>
  <c r="V28" i="5" s="1"/>
  <c r="CJ38" i="2"/>
  <c r="E40" i="5"/>
  <c r="CR38" i="2"/>
  <c r="CZ38" i="2"/>
  <c r="DH38" i="2"/>
  <c r="CL52" i="2"/>
  <c r="CT52" i="2"/>
  <c r="DB52" i="2"/>
  <c r="AB19" i="5"/>
  <c r="AB20" i="5"/>
  <c r="U22" i="5"/>
  <c r="AC22" i="5"/>
  <c r="DI23" i="2"/>
  <c r="DD42" i="2"/>
  <c r="N16" i="5"/>
  <c r="AA17" i="5"/>
  <c r="M19" i="5"/>
  <c r="N20" i="5"/>
  <c r="V20" i="5"/>
  <c r="B30" i="5"/>
  <c r="G57" i="5"/>
  <c r="O57" i="5"/>
  <c r="B56" i="4" s="1"/>
  <c r="W57" i="5"/>
  <c r="N62" i="5"/>
  <c r="G63" i="5"/>
  <c r="O63" i="5"/>
  <c r="B62" i="4" s="1"/>
  <c r="L19" i="5"/>
  <c r="Y19" i="5"/>
  <c r="O18" i="4" s="1"/>
  <c r="AC37" i="5"/>
  <c r="AC40" i="5"/>
  <c r="E13" i="5"/>
  <c r="M13" i="5"/>
  <c r="U13" i="5"/>
  <c r="AC16" i="5"/>
  <c r="E17" i="5"/>
  <c r="Z21" i="5"/>
  <c r="P20" i="4" s="1"/>
  <c r="AA22" i="5"/>
  <c r="I49" i="5"/>
  <c r="Q49" i="5"/>
  <c r="Y49" i="5"/>
  <c r="O48" i="4" s="1"/>
  <c r="L50" i="5"/>
  <c r="T50" i="5"/>
  <c r="N49" i="4" s="1"/>
  <c r="H54" i="5"/>
  <c r="K57" i="5"/>
  <c r="D60" i="5"/>
  <c r="L60" i="5"/>
  <c r="AB60" i="5"/>
  <c r="C63" i="5"/>
  <c r="DI5" i="2"/>
  <c r="M11" i="7" s="1"/>
  <c r="DH5" i="2"/>
  <c r="BK4" i="2"/>
  <c r="BX4" i="2"/>
  <c r="M53" i="6"/>
  <c r="D53" i="6" s="1"/>
  <c r="AB4" i="2"/>
  <c r="H4" i="2"/>
  <c r="X4" i="2"/>
  <c r="N4" i="2"/>
  <c r="I4" i="2"/>
  <c r="AL4" i="2"/>
  <c r="AC4" i="2"/>
  <c r="AD43" i="5"/>
  <c r="R42" i="4" s="1"/>
  <c r="J4" i="2"/>
  <c r="AM4" i="2"/>
  <c r="DI38" i="2"/>
  <c r="L6" i="6"/>
  <c r="B6" i="6" s="1"/>
  <c r="BL4" i="2"/>
  <c r="G4" i="2"/>
  <c r="O4" i="2"/>
  <c r="AJ4" i="2"/>
  <c r="BI4" i="2"/>
  <c r="BV4" i="2"/>
  <c r="BY4" i="2"/>
  <c r="CA4" i="2"/>
  <c r="C4" i="2"/>
  <c r="K4" i="2"/>
  <c r="S4" i="2"/>
  <c r="AA4" i="2"/>
  <c r="AV4" i="2"/>
  <c r="E4" i="2"/>
  <c r="AX4" i="2"/>
  <c r="BW4" i="2"/>
  <c r="M24" i="6"/>
  <c r="DH23" i="2"/>
  <c r="AD20" i="5"/>
  <c r="AA19" i="4" s="1"/>
  <c r="AD7" i="5"/>
  <c r="G6" i="4" s="1"/>
  <c r="AD12" i="5"/>
  <c r="H22" i="5"/>
  <c r="AD46" i="5"/>
  <c r="R45" i="4" s="1"/>
  <c r="BG4" i="2"/>
  <c r="AC34" i="5"/>
  <c r="F22" i="5"/>
  <c r="AC13" i="5"/>
  <c r="J22" i="5"/>
  <c r="AC26" i="5"/>
  <c r="AD29" i="5"/>
  <c r="AC55" i="5"/>
  <c r="AC50" i="5"/>
  <c r="CK5" i="1"/>
  <c r="U55" i="5"/>
  <c r="CZ52" i="1"/>
  <c r="DD52" i="1"/>
  <c r="Y54" i="5"/>
  <c r="O53" i="4" s="1"/>
  <c r="CO5" i="1"/>
  <c r="DG38" i="1"/>
  <c r="AB40" i="5"/>
  <c r="AD45" i="5"/>
  <c r="R44" i="4" s="1"/>
  <c r="CS5" i="1"/>
  <c r="CN5" i="1"/>
  <c r="Q16" i="5"/>
  <c r="AN4" i="1"/>
  <c r="DF23" i="1"/>
  <c r="AC43" i="5"/>
  <c r="DH38" i="1"/>
  <c r="CL52" i="1"/>
  <c r="CT52" i="1"/>
  <c r="DB52" i="1"/>
  <c r="CI52" i="1"/>
  <c r="D56" i="5"/>
  <c r="CQ52" i="1"/>
  <c r="L56" i="5"/>
  <c r="CY52" i="1"/>
  <c r="T56" i="5"/>
  <c r="N55" i="4" s="1"/>
  <c r="DG52" i="1"/>
  <c r="AB56" i="5"/>
  <c r="CX5" i="1"/>
  <c r="CQ23" i="1"/>
  <c r="L27" i="5"/>
  <c r="DC52" i="1"/>
  <c r="X54" i="5"/>
  <c r="C22" i="5"/>
  <c r="Y26" i="5"/>
  <c r="D25" i="4" s="1"/>
  <c r="L40" i="5"/>
  <c r="Y46" i="5"/>
  <c r="Z45" i="4" s="1"/>
  <c r="CY5" i="1"/>
  <c r="CZ5" i="1"/>
  <c r="CU5" i="1"/>
  <c r="C4" i="1"/>
  <c r="K4" i="1"/>
  <c r="CL23" i="1"/>
  <c r="CG38" i="1"/>
  <c r="CL38" i="1"/>
  <c r="G38" i="5" s="1"/>
  <c r="G40" i="5"/>
  <c r="O40" i="5"/>
  <c r="M39" i="4" s="1"/>
  <c r="DB38" i="1"/>
  <c r="W40" i="5"/>
  <c r="CW38" i="1"/>
  <c r="CJ38" i="1"/>
  <c r="E45" i="5"/>
  <c r="BH54" i="1"/>
  <c r="CN52" i="1"/>
  <c r="I54" i="5"/>
  <c r="CV52" i="1"/>
  <c r="Q54" i="5"/>
  <c r="CM23" i="1"/>
  <c r="H25" i="5"/>
  <c r="CU23" i="1"/>
  <c r="CK38" i="1"/>
  <c r="X43" i="5"/>
  <c r="DC38" i="1"/>
  <c r="P54" i="5"/>
  <c r="CM5" i="1"/>
  <c r="DD5" i="1"/>
  <c r="CM38" i="1"/>
  <c r="CP38" i="1"/>
  <c r="K54" i="5"/>
  <c r="CP52" i="1"/>
  <c r="S54" i="5"/>
  <c r="CX52" i="1"/>
  <c r="DG5" i="1"/>
  <c r="CQ7" i="1"/>
  <c r="CV23" i="1"/>
  <c r="P43" i="5"/>
  <c r="CU38" i="1"/>
  <c r="CH38" i="1"/>
  <c r="C44" i="5"/>
  <c r="CO23" i="1"/>
  <c r="CW23" i="1"/>
  <c r="R25" i="5"/>
  <c r="CO38" i="1"/>
  <c r="DA55" i="1"/>
  <c r="N5" i="1"/>
  <c r="N4" i="1" s="1"/>
  <c r="AA4" i="1"/>
  <c r="BT23" i="1"/>
  <c r="BT4" i="1" s="1"/>
  <c r="CI30" i="1"/>
  <c r="D30" i="5" s="1"/>
  <c r="BC32" i="1"/>
  <c r="CY32" i="1"/>
  <c r="T32" i="5" s="1"/>
  <c r="N31" i="4" s="1"/>
  <c r="DB5" i="1"/>
  <c r="DG23" i="1"/>
  <c r="CN38" i="1"/>
  <c r="I38" i="5" s="1"/>
  <c r="CV38" i="1"/>
  <c r="DD38" i="1"/>
  <c r="CP5" i="1"/>
  <c r="AZ5" i="1"/>
  <c r="AZ4" i="1" s="1"/>
  <c r="CW21" i="1"/>
  <c r="R21" i="5" s="1"/>
  <c r="CR23" i="1"/>
  <c r="CS43" i="1"/>
  <c r="AW43" i="1"/>
  <c r="AV38" i="1"/>
  <c r="AV4" i="1" s="1"/>
  <c r="CG5" i="1"/>
  <c r="CL5" i="1"/>
  <c r="BX4" i="1"/>
  <c r="CK23" i="1"/>
  <c r="CS23" i="1"/>
  <c r="H4" i="1"/>
  <c r="X4" i="1"/>
  <c r="AD35" i="5"/>
  <c r="R34" i="4" s="1"/>
  <c r="P4" i="1"/>
  <c r="BI4" i="1"/>
  <c r="BA4" i="1"/>
  <c r="F33" i="6"/>
  <c r="BW4" i="1"/>
  <c r="G4" i="1"/>
  <c r="O4" i="1"/>
  <c r="W4" i="1"/>
  <c r="AJ4" i="1"/>
  <c r="AR4" i="1"/>
  <c r="AQ4" i="1"/>
  <c r="AY4" i="1"/>
  <c r="BR4" i="1"/>
  <c r="AO4" i="1"/>
  <c r="BL4" i="1"/>
  <c r="H59" i="7" s="1"/>
  <c r="D62" i="4"/>
  <c r="AI62" i="4" s="1"/>
  <c r="BY4" i="1"/>
  <c r="R4" i="1"/>
  <c r="BK4" i="1"/>
  <c r="C47" i="4"/>
  <c r="Z26" i="4"/>
  <c r="C44" i="4"/>
  <c r="AS4" i="1"/>
  <c r="T4" i="1"/>
  <c r="AB4" i="1"/>
  <c r="I4" i="1"/>
  <c r="Q4" i="1"/>
  <c r="AT4" i="1"/>
  <c r="BB4" i="1"/>
  <c r="BJ4" i="1"/>
  <c r="BM1" i="1" s="1"/>
  <c r="BC5" i="2"/>
  <c r="V4" i="1"/>
  <c r="AC4" i="1"/>
  <c r="AP4" i="1"/>
  <c r="AX4" i="1"/>
  <c r="BF4" i="1"/>
  <c r="CA4" i="1"/>
  <c r="J59" i="7" s="1"/>
  <c r="G12" i="4"/>
  <c r="R24" i="4"/>
  <c r="R50" i="4"/>
  <c r="B55" i="4"/>
  <c r="M55" i="4"/>
  <c r="O42" i="4"/>
  <c r="D42" i="4"/>
  <c r="Z42" i="4"/>
  <c r="R43" i="4"/>
  <c r="O44" i="4"/>
  <c r="Z44" i="4"/>
  <c r="D44" i="4"/>
  <c r="CT23" i="1"/>
  <c r="O25" i="5"/>
  <c r="W25" i="5"/>
  <c r="AD28" i="5"/>
  <c r="AD34" i="5"/>
  <c r="G33" i="4" s="1"/>
  <c r="AD37" i="5"/>
  <c r="L39" i="6"/>
  <c r="Y4" i="1"/>
  <c r="O58" i="4"/>
  <c r="Z58" i="4"/>
  <c r="D58" i="4"/>
  <c r="AA41" i="4"/>
  <c r="R41" i="4"/>
  <c r="N29" i="4"/>
  <c r="C29" i="4"/>
  <c r="Y29" i="4"/>
  <c r="Y54" i="4"/>
  <c r="C54" i="4"/>
  <c r="N54" i="4"/>
  <c r="Y8" i="4"/>
  <c r="C8" i="4"/>
  <c r="N8" i="4"/>
  <c r="B9" i="4"/>
  <c r="M9" i="4"/>
  <c r="Y10" i="4"/>
  <c r="C10" i="4"/>
  <c r="C12" i="4"/>
  <c r="Y12" i="4"/>
  <c r="N12" i="4"/>
  <c r="M13" i="4"/>
  <c r="U16" i="5"/>
  <c r="DH5" i="1"/>
  <c r="B13" i="4"/>
  <c r="B11" i="4"/>
  <c r="Z8" i="4"/>
  <c r="D8" i="4"/>
  <c r="O8" i="4"/>
  <c r="AD16" i="5"/>
  <c r="G15" i="4" s="1"/>
  <c r="AA46" i="4"/>
  <c r="R46" i="4"/>
  <c r="AD4" i="1"/>
  <c r="DE5" i="1"/>
  <c r="DI5" i="1"/>
  <c r="DC5" i="1"/>
  <c r="AD17" i="5"/>
  <c r="G16" i="4" s="1"/>
  <c r="E22" i="5"/>
  <c r="CJ5" i="1"/>
  <c r="M22" i="5"/>
  <c r="CR5" i="1"/>
  <c r="T25" i="5"/>
  <c r="C24" i="4" s="1"/>
  <c r="AD40" i="5"/>
  <c r="DI38" i="1"/>
  <c r="R48" i="4"/>
  <c r="AA48" i="4"/>
  <c r="AC54" i="5"/>
  <c r="DH52" i="1"/>
  <c r="M8" i="4"/>
  <c r="N13" i="4"/>
  <c r="Y13" i="4"/>
  <c r="AD59" i="5"/>
  <c r="G58" i="4" s="1"/>
  <c r="O14" i="4"/>
  <c r="D14" i="4"/>
  <c r="D39" i="4"/>
  <c r="Z39" i="4"/>
  <c r="O39" i="4"/>
  <c r="U4" i="1"/>
  <c r="B8" i="4"/>
  <c r="M15" i="4"/>
  <c r="B15" i="4"/>
  <c r="M17" i="4"/>
  <c r="M44" i="4"/>
  <c r="AD61" i="5"/>
  <c r="CI5" i="1"/>
  <c r="DF5" i="1"/>
  <c r="DH23" i="1"/>
  <c r="AD26" i="5"/>
  <c r="G25" i="4" s="1"/>
  <c r="DI52" i="1"/>
  <c r="D13" i="4"/>
  <c r="R20" i="4"/>
  <c r="Z9" i="4"/>
  <c r="D9" i="4"/>
  <c r="O9" i="4"/>
  <c r="B14" i="4"/>
  <c r="O21" i="4"/>
  <c r="N26" i="4"/>
  <c r="Y26" i="4"/>
  <c r="C26" i="4"/>
  <c r="E4" i="1"/>
  <c r="Y20" i="5"/>
  <c r="D19" i="4" s="1"/>
  <c r="AD56" i="5"/>
  <c r="G24" i="4"/>
  <c r="DI23" i="1"/>
  <c r="N10" i="4"/>
  <c r="Z13" i="4"/>
  <c r="B17" i="4"/>
  <c r="D24" i="4"/>
  <c r="Z24" i="4"/>
  <c r="D32" i="4"/>
  <c r="Z32" i="4"/>
  <c r="N33" i="4"/>
  <c r="C33" i="4"/>
  <c r="Y42" i="4"/>
  <c r="N42" i="4"/>
  <c r="G20" i="4"/>
  <c r="G41" i="4"/>
  <c r="G50" i="4"/>
  <c r="Y47" i="4"/>
  <c r="C39" i="4"/>
  <c r="Y39" i="4"/>
  <c r="M48" i="4"/>
  <c r="B25" i="4"/>
  <c r="D26" i="4"/>
  <c r="M36" i="4"/>
  <c r="B36" i="4"/>
  <c r="Z43" i="4"/>
  <c r="D43" i="4"/>
  <c r="CT5" i="1"/>
  <c r="AD57" i="5"/>
  <c r="C42" i="4"/>
  <c r="Y44" i="4"/>
  <c r="B48" i="4"/>
  <c r="G46" i="4"/>
  <c r="F47" i="6"/>
  <c r="F15" i="6"/>
  <c r="F23" i="6"/>
  <c r="F29" i="6"/>
  <c r="F11" i="6"/>
  <c r="F37" i="6"/>
  <c r="F19" i="6"/>
  <c r="F61" i="6"/>
  <c r="F51" i="6"/>
  <c r="F45" i="6"/>
  <c r="F44" i="6"/>
  <c r="F14" i="6"/>
  <c r="F13" i="6"/>
  <c r="F21" i="6"/>
  <c r="F31" i="6"/>
  <c r="F49" i="6"/>
  <c r="F59" i="6"/>
  <c r="J45" i="6"/>
  <c r="K45" i="6" s="1"/>
  <c r="F32" i="6"/>
  <c r="F50" i="6"/>
  <c r="F12" i="6"/>
  <c r="J13" i="6"/>
  <c r="K13" i="6" s="1"/>
  <c r="J21" i="6"/>
  <c r="K21" i="6" s="1"/>
  <c r="F30" i="6"/>
  <c r="J31" i="6"/>
  <c r="K31" i="6" s="1"/>
  <c r="F38" i="6"/>
  <c r="J39" i="6"/>
  <c r="K39" i="6" s="1"/>
  <c r="F42" i="6"/>
  <c r="F48" i="6"/>
  <c r="J49" i="6"/>
  <c r="K49" i="6" s="1"/>
  <c r="F58" i="6"/>
  <c r="F16" i="6"/>
  <c r="F26" i="6"/>
  <c r="F34" i="6"/>
  <c r="F22" i="6"/>
  <c r="F60" i="6"/>
  <c r="F20" i="6"/>
  <c r="J5" i="6"/>
  <c r="K5" i="6" s="1"/>
  <c r="F41" i="6"/>
  <c r="F64" i="6"/>
  <c r="F55" i="6"/>
  <c r="J55" i="6"/>
  <c r="K55" i="6" s="1"/>
  <c r="D10" i="6"/>
  <c r="F18" i="6"/>
  <c r="F28" i="6"/>
  <c r="F36" i="6"/>
  <c r="F8" i="6"/>
  <c r="F9" i="6"/>
  <c r="F17" i="6"/>
  <c r="F27" i="6"/>
  <c r="F35" i="6"/>
  <c r="F46" i="6"/>
  <c r="F52" i="6"/>
  <c r="J53" i="6"/>
  <c r="K53" i="6" s="1"/>
  <c r="F56" i="6"/>
  <c r="F62" i="6"/>
  <c r="J63" i="6"/>
  <c r="K63" i="6" s="1"/>
  <c r="J8" i="6"/>
  <c r="K8" i="6" s="1"/>
  <c r="J12" i="6"/>
  <c r="K12" i="6" s="1"/>
  <c r="J16" i="6"/>
  <c r="K16" i="6" s="1"/>
  <c r="J20" i="6"/>
  <c r="K20" i="6" s="1"/>
  <c r="J24" i="6"/>
  <c r="K24" i="6" s="1"/>
  <c r="J26" i="6"/>
  <c r="K26" i="6" s="1"/>
  <c r="J30" i="6"/>
  <c r="K30" i="6" s="1"/>
  <c r="J34" i="6"/>
  <c r="K34" i="6" s="1"/>
  <c r="J38" i="6"/>
  <c r="K38" i="6" s="1"/>
  <c r="J44" i="6"/>
  <c r="K44" i="6" s="1"/>
  <c r="J48" i="6"/>
  <c r="K48" i="6" s="1"/>
  <c r="J52" i="6"/>
  <c r="K52" i="6" s="1"/>
  <c r="J58" i="6"/>
  <c r="K58" i="6" s="1"/>
  <c r="J62" i="6"/>
  <c r="K62" i="6" s="1"/>
  <c r="S45" i="7"/>
  <c r="G43" i="4"/>
  <c r="P12" i="7" l="1"/>
  <c r="Q10" i="7"/>
  <c r="Q11" i="4"/>
  <c r="Q33" i="4"/>
  <c r="C16" i="4"/>
  <c r="Z40" i="4"/>
  <c r="Z27" i="4"/>
  <c r="AI27" i="4" s="1"/>
  <c r="R8" i="4"/>
  <c r="M53" i="4"/>
  <c r="D50" i="4"/>
  <c r="Q24" i="4"/>
  <c r="Q6" i="4"/>
  <c r="E50" i="4"/>
  <c r="N9" i="4"/>
  <c r="Y9" i="4"/>
  <c r="Y61" i="4"/>
  <c r="O47" i="4"/>
  <c r="Q25" i="4"/>
  <c r="O27" i="4"/>
  <c r="Z21" i="4"/>
  <c r="M32" i="4"/>
  <c r="AG32" i="4" s="1"/>
  <c r="Y28" i="4"/>
  <c r="AH28" i="4" s="1"/>
  <c r="N16" i="4"/>
  <c r="Z47" i="4"/>
  <c r="B53" i="4"/>
  <c r="O20" i="4"/>
  <c r="C28" i="4"/>
  <c r="C18" i="4"/>
  <c r="CV5" i="1"/>
  <c r="Q5" i="5" s="1"/>
  <c r="F52" i="5"/>
  <c r="BN1" i="1"/>
  <c r="R32" i="4"/>
  <c r="BD5" i="2"/>
  <c r="BD4" i="2" s="1"/>
  <c r="N18" i="4"/>
  <c r="X38" i="5"/>
  <c r="U23" i="2"/>
  <c r="U4" i="2" s="1"/>
  <c r="Y4" i="2"/>
  <c r="L5" i="6" s="1"/>
  <c r="B5" i="6" s="1"/>
  <c r="T38" i="5"/>
  <c r="C37" i="4" s="1"/>
  <c r="D40" i="4"/>
  <c r="DB23" i="1"/>
  <c r="DB4" i="1" s="1"/>
  <c r="BE23" i="1"/>
  <c r="BE4" i="1" s="1"/>
  <c r="L38" i="5"/>
  <c r="R52" i="5"/>
  <c r="D49" i="4"/>
  <c r="M31" i="4"/>
  <c r="AA32" i="4"/>
  <c r="N61" i="4"/>
  <c r="D20" i="4"/>
  <c r="F36" i="4"/>
  <c r="M50" i="4"/>
  <c r="P6" i="4"/>
  <c r="Q48" i="4"/>
  <c r="B49" i="4"/>
  <c r="O7" i="4"/>
  <c r="D57" i="4"/>
  <c r="Z7" i="4"/>
  <c r="Z31" i="4"/>
  <c r="C7" i="4"/>
  <c r="Y17" i="4"/>
  <c r="O57" i="4"/>
  <c r="Q54" i="4"/>
  <c r="D59" i="4"/>
  <c r="Z10" i="4"/>
  <c r="Y21" i="4"/>
  <c r="O59" i="4"/>
  <c r="Z17" i="4"/>
  <c r="N14" i="4"/>
  <c r="B6" i="4"/>
  <c r="D17" i="4"/>
  <c r="N17" i="4"/>
  <c r="C21" i="4"/>
  <c r="C14" i="4"/>
  <c r="C45" i="4"/>
  <c r="B21" i="4"/>
  <c r="N15" i="4"/>
  <c r="G54" i="4"/>
  <c r="O33" i="4"/>
  <c r="E18" i="4"/>
  <c r="C15" i="4"/>
  <c r="Z33" i="4"/>
  <c r="O49" i="4"/>
  <c r="C5" i="5"/>
  <c r="C52" i="5"/>
  <c r="BS4" i="1"/>
  <c r="Q19" i="4"/>
  <c r="Q15" i="4"/>
  <c r="Q10" i="4"/>
  <c r="Q26" i="4"/>
  <c r="Y6" i="4"/>
  <c r="AA8" i="4"/>
  <c r="E25" i="4"/>
  <c r="F59" i="4"/>
  <c r="F13" i="4"/>
  <c r="Q43" i="4"/>
  <c r="B50" i="4"/>
  <c r="M28" i="4"/>
  <c r="Z50" i="4"/>
  <c r="D6" i="4"/>
  <c r="O35" i="4"/>
  <c r="F49" i="4"/>
  <c r="N6" i="4"/>
  <c r="D16" i="4"/>
  <c r="O16" i="4"/>
  <c r="P24" i="4"/>
  <c r="N40" i="4"/>
  <c r="Y58" i="4"/>
  <c r="CO4" i="1"/>
  <c r="N58" i="4"/>
  <c r="N7" i="4"/>
  <c r="Q23" i="5"/>
  <c r="U52" i="5"/>
  <c r="AC52" i="5"/>
  <c r="Y56" i="4"/>
  <c r="C25" i="4"/>
  <c r="M35" i="4"/>
  <c r="B27" i="4"/>
  <c r="Y19" i="4"/>
  <c r="R18" i="4"/>
  <c r="K52" i="5"/>
  <c r="P27" i="4"/>
  <c r="P57" i="4"/>
  <c r="F60" i="4"/>
  <c r="Z38" i="5"/>
  <c r="P37" i="4" s="1"/>
  <c r="C40" i="4"/>
  <c r="AA18" i="4"/>
  <c r="R9" i="4"/>
  <c r="DC30" i="1"/>
  <c r="X30" i="5" s="1"/>
  <c r="D34" i="4"/>
  <c r="M40" i="4"/>
  <c r="C56" i="4"/>
  <c r="N25" i="4"/>
  <c r="C11" i="4"/>
  <c r="C19" i="4"/>
  <c r="F41" i="4"/>
  <c r="F8" i="4"/>
  <c r="F7" i="4"/>
  <c r="D15" i="4"/>
  <c r="AA17" i="4"/>
  <c r="G9" i="4"/>
  <c r="C27" i="4"/>
  <c r="B61" i="4"/>
  <c r="N27" i="4"/>
  <c r="B40" i="4"/>
  <c r="Y11" i="4"/>
  <c r="C62" i="4"/>
  <c r="D35" i="4"/>
  <c r="M30" i="4"/>
  <c r="N45" i="4"/>
  <c r="BJ4" i="2"/>
  <c r="D31" i="4"/>
  <c r="D10" i="4"/>
  <c r="AA31" i="4"/>
  <c r="Y57" i="4"/>
  <c r="L52" i="5"/>
  <c r="Q38" i="5"/>
  <c r="V16" i="5"/>
  <c r="N36" i="4"/>
  <c r="AH36" i="4" s="1"/>
  <c r="O15" i="4"/>
  <c r="G31" i="4"/>
  <c r="E52" i="5"/>
  <c r="B52" i="5"/>
  <c r="F40" i="4"/>
  <c r="B19" i="4"/>
  <c r="C57" i="4"/>
  <c r="B46" i="4"/>
  <c r="B7" i="4"/>
  <c r="AA35" i="4"/>
  <c r="C48" i="4"/>
  <c r="AA54" i="4"/>
  <c r="U38" i="5"/>
  <c r="AA52" i="5"/>
  <c r="Q51" i="4" s="1"/>
  <c r="B23" i="5"/>
  <c r="F14" i="4"/>
  <c r="F20" i="4"/>
  <c r="R14" i="4"/>
  <c r="R17" i="4"/>
  <c r="AA14" i="4"/>
  <c r="Z34" i="4"/>
  <c r="I52" i="5"/>
  <c r="BV30" i="1"/>
  <c r="DD30" i="1" s="1"/>
  <c r="AA61" i="4"/>
  <c r="AA21" i="4"/>
  <c r="D36" i="4"/>
  <c r="AI36" i="4" s="1"/>
  <c r="B60" i="4"/>
  <c r="N62" i="4"/>
  <c r="M46" i="4"/>
  <c r="R35" i="4"/>
  <c r="N48" i="4"/>
  <c r="R57" i="4"/>
  <c r="C35" i="4"/>
  <c r="M23" i="5"/>
  <c r="DA43" i="2"/>
  <c r="V43" i="5" s="1"/>
  <c r="R4" i="3"/>
  <c r="F31" i="4"/>
  <c r="F57" i="4"/>
  <c r="N35" i="4"/>
  <c r="G21" i="4"/>
  <c r="M60" i="4"/>
  <c r="Z6" i="4"/>
  <c r="AA57" i="4"/>
  <c r="G52" i="5"/>
  <c r="R61" i="4"/>
  <c r="R62" i="4"/>
  <c r="G30" i="4"/>
  <c r="AA30" i="4"/>
  <c r="AD52" i="5"/>
  <c r="R51" i="4" s="1"/>
  <c r="G36" i="4"/>
  <c r="AJ12" i="4"/>
  <c r="AB38" i="5"/>
  <c r="D60" i="4"/>
  <c r="AI60" i="4" s="1"/>
  <c r="F30" i="4"/>
  <c r="AA38" i="5"/>
  <c r="Q37" i="4" s="1"/>
  <c r="U54" i="5"/>
  <c r="P32" i="5"/>
  <c r="S38" i="5"/>
  <c r="AA63" i="5"/>
  <c r="CU4" i="2"/>
  <c r="M52" i="5"/>
  <c r="DC52" i="2"/>
  <c r="CG4" i="2"/>
  <c r="G7" i="4"/>
  <c r="C23" i="5"/>
  <c r="F18" i="4"/>
  <c r="P49" i="4"/>
  <c r="Q46" i="4"/>
  <c r="F46" i="4"/>
  <c r="Q17" i="4"/>
  <c r="F17" i="4"/>
  <c r="Q16" i="4"/>
  <c r="F16" i="4"/>
  <c r="Q44" i="4"/>
  <c r="F44" i="4"/>
  <c r="Q50" i="4"/>
  <c r="F50" i="4"/>
  <c r="Q45" i="4"/>
  <c r="F45" i="4"/>
  <c r="Q39" i="4"/>
  <c r="F39" i="4"/>
  <c r="Q21" i="4"/>
  <c r="F21" i="4"/>
  <c r="Q56" i="4"/>
  <c r="F56" i="4"/>
  <c r="Q42" i="4"/>
  <c r="F42" i="4"/>
  <c r="Q58" i="4"/>
  <c r="F58" i="4"/>
  <c r="Q28" i="4"/>
  <c r="F28" i="4"/>
  <c r="E35" i="4"/>
  <c r="G13" i="4"/>
  <c r="C38" i="5"/>
  <c r="E15" i="4"/>
  <c r="P55" i="4"/>
  <c r="M45" i="4"/>
  <c r="D52" i="5"/>
  <c r="E62" i="4"/>
  <c r="B5" i="5"/>
  <c r="D38" i="5"/>
  <c r="B41" i="4"/>
  <c r="P42" i="4"/>
  <c r="Z12" i="4"/>
  <c r="R47" i="4"/>
  <c r="AA53" i="4"/>
  <c r="E7" i="4"/>
  <c r="E44" i="4"/>
  <c r="E14" i="4"/>
  <c r="O12" i="4"/>
  <c r="Z30" i="4"/>
  <c r="G59" i="4"/>
  <c r="O28" i="4"/>
  <c r="O54" i="4"/>
  <c r="R59" i="4"/>
  <c r="Z28" i="4"/>
  <c r="B58" i="4"/>
  <c r="C43" i="4"/>
  <c r="E43" i="4"/>
  <c r="P28" i="4"/>
  <c r="G47" i="4"/>
  <c r="R13" i="4"/>
  <c r="D11" i="4"/>
  <c r="N60" i="4"/>
  <c r="G26" i="4"/>
  <c r="AA49" i="4"/>
  <c r="M29" i="4"/>
  <c r="Z11" i="4"/>
  <c r="AA26" i="4"/>
  <c r="P12" i="4"/>
  <c r="B26" i="4"/>
  <c r="P41" i="4"/>
  <c r="D56" i="4"/>
  <c r="C60" i="4"/>
  <c r="Z56" i="4"/>
  <c r="E59" i="4"/>
  <c r="E11" i="4"/>
  <c r="E60" i="4"/>
  <c r="N32" i="4"/>
  <c r="M54" i="4"/>
  <c r="B47" i="4"/>
  <c r="B16" i="4"/>
  <c r="P26" i="4"/>
  <c r="N20" i="4"/>
  <c r="G49" i="4"/>
  <c r="G53" i="4"/>
  <c r="P21" i="4"/>
  <c r="P39" i="4"/>
  <c r="O30" i="4"/>
  <c r="P17" i="4"/>
  <c r="B59" i="4"/>
  <c r="Z46" i="4"/>
  <c r="B18" i="4"/>
  <c r="Y41" i="4"/>
  <c r="C41" i="4"/>
  <c r="AA7" i="4"/>
  <c r="E48" i="4"/>
  <c r="P19" i="4"/>
  <c r="B12" i="4"/>
  <c r="E31" i="4"/>
  <c r="P6" i="6"/>
  <c r="T6" i="6" s="1"/>
  <c r="AB6" i="6"/>
  <c r="AC6" i="6" s="1"/>
  <c r="L23" i="5"/>
  <c r="Z32" i="6"/>
  <c r="M57" i="4"/>
  <c r="CG4" i="1"/>
  <c r="B38" i="5"/>
  <c r="S23" i="5"/>
  <c r="E58" i="4"/>
  <c r="C32" i="4"/>
  <c r="D46" i="4"/>
  <c r="Y20" i="4"/>
  <c r="CJ23" i="1"/>
  <c r="E23" i="5" s="1"/>
  <c r="J38" i="5"/>
  <c r="W52" i="5"/>
  <c r="AA23" i="5"/>
  <c r="L53" i="6"/>
  <c r="B53" i="6" s="1"/>
  <c r="F53" i="6" s="1"/>
  <c r="DI4" i="2"/>
  <c r="M10" i="7" s="1"/>
  <c r="DE31" i="2"/>
  <c r="Z31" i="5" s="1"/>
  <c r="E30" i="4" s="1"/>
  <c r="CR5" i="2"/>
  <c r="CR4" i="2" s="1"/>
  <c r="M38" i="5"/>
  <c r="P10" i="4"/>
  <c r="CS52" i="2"/>
  <c r="N52" i="5" s="1"/>
  <c r="DE62" i="2"/>
  <c r="Z63" i="6"/>
  <c r="CN4" i="1"/>
  <c r="AB23" i="5"/>
  <c r="K38" i="5"/>
  <c r="G40" i="4"/>
  <c r="B33" i="4"/>
  <c r="Y50" i="4"/>
  <c r="Y46" i="4"/>
  <c r="R29" i="4"/>
  <c r="H23" i="5"/>
  <c r="CY23" i="1"/>
  <c r="CY4" i="1" s="1"/>
  <c r="AB52" i="5"/>
  <c r="BS4" i="2"/>
  <c r="Z23" i="2"/>
  <c r="CH4" i="2"/>
  <c r="E13" i="4"/>
  <c r="E8" i="4"/>
  <c r="P33" i="4"/>
  <c r="P36" i="4"/>
  <c r="E29" i="4"/>
  <c r="P39" i="6"/>
  <c r="AB39" i="6"/>
  <c r="AC39" i="6" s="1"/>
  <c r="P34" i="4"/>
  <c r="DA38" i="1"/>
  <c r="V41" i="5"/>
  <c r="Z52" i="2"/>
  <c r="J52" i="5"/>
  <c r="C50" i="4"/>
  <c r="CH4" i="1"/>
  <c r="DG4" i="2"/>
  <c r="R40" i="4"/>
  <c r="D61" i="4"/>
  <c r="Y30" i="4"/>
  <c r="J23" i="5"/>
  <c r="Q52" i="5"/>
  <c r="W38" i="5"/>
  <c r="CZ31" i="2"/>
  <c r="U31" i="5" s="1"/>
  <c r="CI4" i="2"/>
  <c r="E20" i="4"/>
  <c r="C30" i="4"/>
  <c r="P38" i="5"/>
  <c r="N63" i="6"/>
  <c r="O63" i="6" s="1"/>
  <c r="B63" i="6"/>
  <c r="F63" i="6" s="1"/>
  <c r="CV4" i="1"/>
  <c r="DH4" i="2"/>
  <c r="Z54" i="4"/>
  <c r="G29" i="4"/>
  <c r="B34" i="4"/>
  <c r="X52" i="5"/>
  <c r="I23" i="5"/>
  <c r="N4" i="3"/>
  <c r="Y49" i="4"/>
  <c r="N46" i="4"/>
  <c r="M4" i="3"/>
  <c r="R38" i="5"/>
  <c r="N5" i="5"/>
  <c r="Q4" i="3"/>
  <c r="O52" i="5"/>
  <c r="B51" i="4" s="1"/>
  <c r="N43" i="4"/>
  <c r="AA45" i="4"/>
  <c r="Z18" i="4"/>
  <c r="G10" i="4"/>
  <c r="O61" i="4"/>
  <c r="M20" i="4"/>
  <c r="P21" i="3"/>
  <c r="C49" i="4"/>
  <c r="M43" i="4"/>
  <c r="M10" i="4"/>
  <c r="AA10" i="4"/>
  <c r="O5" i="3"/>
  <c r="O4" i="3" s="1"/>
  <c r="Y34" i="4"/>
  <c r="M56" i="4"/>
  <c r="M62" i="4"/>
  <c r="AA42" i="4"/>
  <c r="R19" i="4"/>
  <c r="C53" i="4"/>
  <c r="P23" i="5"/>
  <c r="DD38" i="2"/>
  <c r="CJ4" i="2"/>
  <c r="CK13" i="2"/>
  <c r="F13" i="5" s="1"/>
  <c r="AO13" i="2"/>
  <c r="DA31" i="2"/>
  <c r="V31" i="5" s="1"/>
  <c r="W31" i="2"/>
  <c r="V23" i="2"/>
  <c r="V4" i="2" s="1"/>
  <c r="DD52" i="2"/>
  <c r="Y56" i="5"/>
  <c r="Y53" i="4"/>
  <c r="Z48" i="4"/>
  <c r="H38" i="5"/>
  <c r="E38" i="5"/>
  <c r="G23" i="5"/>
  <c r="AR5" i="2"/>
  <c r="AR4" i="2" s="1"/>
  <c r="CO13" i="2"/>
  <c r="DA38" i="2"/>
  <c r="DA52" i="2"/>
  <c r="BB52" i="2"/>
  <c r="BB4" i="2" s="1"/>
  <c r="CY60" i="2"/>
  <c r="N34" i="4"/>
  <c r="N24" i="6"/>
  <c r="O24" i="6" s="1"/>
  <c r="DF4" i="2"/>
  <c r="CT4" i="2"/>
  <c r="AT5" i="2"/>
  <c r="AT4" i="2" s="1"/>
  <c r="CX52" i="2"/>
  <c r="CX4" i="2" s="1"/>
  <c r="CP13" i="2"/>
  <c r="AS5" i="2"/>
  <c r="AS4" i="2" s="1"/>
  <c r="N57" i="6"/>
  <c r="O57" i="6" s="1"/>
  <c r="B57" i="6"/>
  <c r="F57" i="6" s="1"/>
  <c r="BE5" i="2"/>
  <c r="BE4" i="2" s="1"/>
  <c r="BF7" i="2"/>
  <c r="DB7" i="2"/>
  <c r="CV4" i="2"/>
  <c r="DA5" i="2"/>
  <c r="V5" i="5" s="1"/>
  <c r="V7" i="5"/>
  <c r="D48" i="4"/>
  <c r="U5" i="5"/>
  <c r="AC38" i="5"/>
  <c r="Y52" i="5"/>
  <c r="D51" i="4" s="1"/>
  <c r="DE23" i="2"/>
  <c r="L8" i="5"/>
  <c r="CQ5" i="2"/>
  <c r="CQ4" i="2" s="1"/>
  <c r="D18" i="4"/>
  <c r="Y5" i="5"/>
  <c r="D4" i="4" s="1"/>
  <c r="BC4" i="2"/>
  <c r="F38" i="5"/>
  <c r="CY23" i="2"/>
  <c r="I13" i="5"/>
  <c r="CN5" i="2"/>
  <c r="R23" i="2"/>
  <c r="R4" i="2" s="1"/>
  <c r="CW32" i="2"/>
  <c r="Y42" i="5"/>
  <c r="D24" i="6"/>
  <c r="F24" i="6" s="1"/>
  <c r="F6" i="6"/>
  <c r="G42" i="4"/>
  <c r="O25" i="4"/>
  <c r="Y31" i="4"/>
  <c r="R11" i="4"/>
  <c r="P45" i="7"/>
  <c r="P30" i="7"/>
  <c r="AA11" i="4"/>
  <c r="G11" i="4"/>
  <c r="G19" i="4"/>
  <c r="P59" i="7"/>
  <c r="B39" i="4"/>
  <c r="G28" i="4"/>
  <c r="N12" i="7"/>
  <c r="AA44" i="4"/>
  <c r="AJ24" i="4"/>
  <c r="R6" i="4"/>
  <c r="N6" i="6"/>
  <c r="O6" i="6" s="1"/>
  <c r="D53" i="4"/>
  <c r="R28" i="4"/>
  <c r="G44" i="4"/>
  <c r="AA28" i="4"/>
  <c r="N30" i="7"/>
  <c r="N45" i="7"/>
  <c r="AH33" i="4"/>
  <c r="AA6" i="4"/>
  <c r="L59" i="7"/>
  <c r="D45" i="4"/>
  <c r="O45" i="4"/>
  <c r="AC23" i="5"/>
  <c r="C31" i="4"/>
  <c r="Z53" i="4"/>
  <c r="G45" i="4"/>
  <c r="AG8" i="4"/>
  <c r="N23" i="5"/>
  <c r="DG4" i="1"/>
  <c r="AB5" i="5"/>
  <c r="CM4" i="1"/>
  <c r="CX4" i="1"/>
  <c r="S5" i="5"/>
  <c r="CL4" i="1"/>
  <c r="CU4" i="1"/>
  <c r="CP4" i="1"/>
  <c r="V55" i="5"/>
  <c r="DA52" i="1"/>
  <c r="V52" i="5" s="1"/>
  <c r="CT43" i="1"/>
  <c r="AW38" i="1"/>
  <c r="AW4" i="1" s="1"/>
  <c r="CW5" i="1"/>
  <c r="N43" i="5"/>
  <c r="CS38" i="1"/>
  <c r="N38" i="5" s="1"/>
  <c r="BC23" i="1"/>
  <c r="BC4" i="1" s="1"/>
  <c r="BD32" i="1"/>
  <c r="CZ32" i="1"/>
  <c r="DE54" i="1"/>
  <c r="BH52" i="1"/>
  <c r="CK4" i="1"/>
  <c r="F23" i="5"/>
  <c r="T5" i="5"/>
  <c r="C55" i="4"/>
  <c r="Z25" i="4"/>
  <c r="CI23" i="1"/>
  <c r="D23" i="5" s="1"/>
  <c r="Y55" i="4"/>
  <c r="AG11" i="4"/>
  <c r="H12" i="7"/>
  <c r="L7" i="5"/>
  <c r="CQ5" i="1"/>
  <c r="DC23" i="1"/>
  <c r="X23" i="5" s="1"/>
  <c r="AA34" i="4"/>
  <c r="G34" i="4"/>
  <c r="H45" i="7"/>
  <c r="AH47" i="4"/>
  <c r="AI43" i="4"/>
  <c r="AJ41" i="4"/>
  <c r="AG44" i="4"/>
  <c r="AJ50" i="4"/>
  <c r="AG17" i="4"/>
  <c r="AI24" i="4"/>
  <c r="AI26" i="4"/>
  <c r="AI21" i="4"/>
  <c r="AG25" i="4"/>
  <c r="AJ46" i="4"/>
  <c r="H30" i="7"/>
  <c r="AI42" i="4"/>
  <c r="AJ43" i="4"/>
  <c r="AH13" i="4"/>
  <c r="AH44" i="4"/>
  <c r="AI58" i="4"/>
  <c r="AJ48" i="4"/>
  <c r="J12" i="7"/>
  <c r="AI9" i="4"/>
  <c r="AI14" i="4"/>
  <c r="AG9" i="4"/>
  <c r="AI44" i="4"/>
  <c r="R55" i="4"/>
  <c r="AA55" i="4"/>
  <c r="R60" i="4"/>
  <c r="D5" i="5"/>
  <c r="O23" i="5"/>
  <c r="B22" i="4" s="1"/>
  <c r="AD38" i="5"/>
  <c r="R27" i="4"/>
  <c r="AA27" i="4"/>
  <c r="AI32" i="4"/>
  <c r="AA39" i="4"/>
  <c r="R39" i="4"/>
  <c r="G39" i="4"/>
  <c r="Z5" i="5"/>
  <c r="E4" i="4" s="1"/>
  <c r="AI8" i="4"/>
  <c r="G55" i="4"/>
  <c r="AH54" i="4"/>
  <c r="AG55" i="4"/>
  <c r="DH4" i="1"/>
  <c r="AC5" i="5"/>
  <c r="AH8" i="4"/>
  <c r="M24" i="4"/>
  <c r="AH39" i="4"/>
  <c r="DI4" i="1"/>
  <c r="AD5" i="5"/>
  <c r="AH29" i="4"/>
  <c r="B24" i="4"/>
  <c r="AD23" i="5"/>
  <c r="AI13" i="4"/>
  <c r="E5" i="5"/>
  <c r="M5" i="6"/>
  <c r="AG13" i="4"/>
  <c r="DF4" i="1"/>
  <c r="AA5" i="5"/>
  <c r="Y24" i="4"/>
  <c r="N24" i="4"/>
  <c r="N39" i="6"/>
  <c r="O39" i="6" s="1"/>
  <c r="B39" i="6"/>
  <c r="R56" i="4"/>
  <c r="G56" i="4"/>
  <c r="AG36" i="4"/>
  <c r="AG14" i="4"/>
  <c r="AG15" i="4"/>
  <c r="AI39" i="4"/>
  <c r="G60" i="4"/>
  <c r="R36" i="4"/>
  <c r="G27" i="4"/>
  <c r="AA58" i="4"/>
  <c r="R58" i="4"/>
  <c r="AA33" i="4"/>
  <c r="R33" i="4"/>
  <c r="AH42" i="4"/>
  <c r="AA25" i="4"/>
  <c r="R25" i="4"/>
  <c r="AH10" i="4"/>
  <c r="CR4" i="1"/>
  <c r="AA15" i="4"/>
  <c r="R15" i="4"/>
  <c r="AG48" i="4"/>
  <c r="AJ20" i="4"/>
  <c r="Z19" i="4"/>
  <c r="O19" i="4"/>
  <c r="AH26" i="4"/>
  <c r="AA16" i="4"/>
  <c r="R16" i="4"/>
  <c r="AH12" i="4"/>
  <c r="F10" i="6"/>
  <c r="S59" i="7"/>
  <c r="S12" i="7"/>
  <c r="S30" i="7"/>
  <c r="AI20" i="4" l="1"/>
  <c r="AG53" i="4"/>
  <c r="AH9" i="4"/>
  <c r="AH16" i="4"/>
  <c r="AJ8" i="4"/>
  <c r="AH61" i="4"/>
  <c r="AJ32" i="4"/>
  <c r="Y37" i="4"/>
  <c r="AH18" i="4"/>
  <c r="E37" i="4"/>
  <c r="AI50" i="4"/>
  <c r="AI40" i="4"/>
  <c r="AI47" i="4"/>
  <c r="N37" i="4"/>
  <c r="V38" i="5"/>
  <c r="AG31" i="4"/>
  <c r="CZ23" i="2"/>
  <c r="CZ4" i="2" s="1"/>
  <c r="AG49" i="4"/>
  <c r="AI49" i="4"/>
  <c r="AG50" i="4"/>
  <c r="AG35" i="4"/>
  <c r="AI59" i="4"/>
  <c r="AG7" i="4"/>
  <c r="AI17" i="4"/>
  <c r="AG28" i="4"/>
  <c r="AH45" i="4"/>
  <c r="AH7" i="4"/>
  <c r="AH14" i="4"/>
  <c r="AI7" i="4"/>
  <c r="AH21" i="4"/>
  <c r="AG6" i="4"/>
  <c r="AI57" i="4"/>
  <c r="AH6" i="4"/>
  <c r="AH15" i="4"/>
  <c r="AH17" i="4"/>
  <c r="AI31" i="4"/>
  <c r="AG21" i="4"/>
  <c r="AJ31" i="4"/>
  <c r="AI6" i="4"/>
  <c r="AJ54" i="4"/>
  <c r="AI35" i="4"/>
  <c r="AG40" i="4"/>
  <c r="AJ18" i="4"/>
  <c r="AI33" i="4"/>
  <c r="DC4" i="1"/>
  <c r="AJ61" i="4"/>
  <c r="AG61" i="4"/>
  <c r="AI16" i="4"/>
  <c r="AI10" i="4"/>
  <c r="AH58" i="4"/>
  <c r="AH27" i="4"/>
  <c r="AG60" i="4"/>
  <c r="AJ17" i="4"/>
  <c r="AH48" i="4"/>
  <c r="AH62" i="4"/>
  <c r="AH19" i="4"/>
  <c r="AH56" i="4"/>
  <c r="AJ30" i="4"/>
  <c r="AJ57" i="4"/>
  <c r="AG46" i="4"/>
  <c r="AI34" i="4"/>
  <c r="AJ9" i="4"/>
  <c r="AH25" i="4"/>
  <c r="AH40" i="4"/>
  <c r="AG27" i="4"/>
  <c r="AG19" i="4"/>
  <c r="AH11" i="4"/>
  <c r="AH34" i="4"/>
  <c r="F51" i="4"/>
  <c r="AJ21" i="4"/>
  <c r="AH35" i="4"/>
  <c r="AJ14" i="4"/>
  <c r="AJ35" i="4"/>
  <c r="G51" i="4"/>
  <c r="AI15" i="4"/>
  <c r="AG30" i="4"/>
  <c r="CS4" i="2"/>
  <c r="AH57" i="4"/>
  <c r="DA23" i="2"/>
  <c r="DA4" i="2" s="1"/>
  <c r="BV23" i="1"/>
  <c r="BV4" i="1" s="1"/>
  <c r="M5" i="5"/>
  <c r="CJ4" i="1"/>
  <c r="E4" i="5" s="1"/>
  <c r="AI54" i="4"/>
  <c r="AA51" i="4"/>
  <c r="B4" i="5"/>
  <c r="AC4" i="5"/>
  <c r="AJ47" i="4"/>
  <c r="F37" i="4"/>
  <c r="AJ7" i="4"/>
  <c r="DD4" i="2"/>
  <c r="Q62" i="4"/>
  <c r="F62" i="4"/>
  <c r="AG41" i="4"/>
  <c r="AA4" i="5"/>
  <c r="Q3" i="4" s="1"/>
  <c r="AJ29" i="4"/>
  <c r="Q4" i="4"/>
  <c r="F4" i="4"/>
  <c r="Q22" i="4"/>
  <c r="F22" i="4"/>
  <c r="AB4" i="5"/>
  <c r="AJ13" i="4"/>
  <c r="AG45" i="4"/>
  <c r="AI28" i="4"/>
  <c r="AI12" i="4"/>
  <c r="AG54" i="4"/>
  <c r="C4" i="5"/>
  <c r="AG33" i="4"/>
  <c r="AI56" i="4"/>
  <c r="AH60" i="4"/>
  <c r="AH20" i="4"/>
  <c r="AI46" i="4"/>
  <c r="AG29" i="4"/>
  <c r="AI11" i="4"/>
  <c r="AG26" i="4"/>
  <c r="AI30" i="4"/>
  <c r="AG16" i="4"/>
  <c r="AG58" i="4"/>
  <c r="AG56" i="4"/>
  <c r="AH49" i="4"/>
  <c r="AH46" i="4"/>
  <c r="AJ53" i="4"/>
  <c r="AJ59" i="4"/>
  <c r="AJ49" i="4"/>
  <c r="AH41" i="4"/>
  <c r="AG47" i="4"/>
  <c r="AH43" i="4"/>
  <c r="AJ26" i="4"/>
  <c r="AH32" i="4"/>
  <c r="AG57" i="4"/>
  <c r="AG18" i="4"/>
  <c r="AG59" i="4"/>
  <c r="AJ40" i="4"/>
  <c r="M51" i="4"/>
  <c r="AG12" i="4"/>
  <c r="AH30" i="4"/>
  <c r="CI4" i="1"/>
  <c r="D4" i="5" s="1"/>
  <c r="AH50" i="4"/>
  <c r="AG62" i="4"/>
  <c r="E36" i="6"/>
  <c r="T39" i="6"/>
  <c r="Z4" i="2"/>
  <c r="Z53" i="6"/>
  <c r="N53" i="6"/>
  <c r="O53" i="6" s="1"/>
  <c r="DE52" i="2"/>
  <c r="Z62" i="5"/>
  <c r="E61" i="4" s="1"/>
  <c r="M4" i="5"/>
  <c r="Y38" i="5"/>
  <c r="Z37" i="4" s="1"/>
  <c r="BH4" i="1"/>
  <c r="AJ42" i="4"/>
  <c r="AI61" i="4"/>
  <c r="AG34" i="4"/>
  <c r="P4" i="4"/>
  <c r="AB63" i="6"/>
  <c r="AC63" i="6" s="1"/>
  <c r="P63" i="6"/>
  <c r="P32" i="6"/>
  <c r="AB32" i="6"/>
  <c r="AC32" i="6" s="1"/>
  <c r="Z23" i="5"/>
  <c r="E22" i="4" s="1"/>
  <c r="Z24" i="6"/>
  <c r="P30" i="4"/>
  <c r="E55" i="6"/>
  <c r="E31" i="6"/>
  <c r="E53" i="6"/>
  <c r="E24" i="6"/>
  <c r="E48" i="6"/>
  <c r="E28" i="6"/>
  <c r="E61" i="6"/>
  <c r="E21" i="6"/>
  <c r="E41" i="6"/>
  <c r="E8" i="6"/>
  <c r="E12" i="6"/>
  <c r="E51" i="6"/>
  <c r="E9" i="6"/>
  <c r="E15" i="6"/>
  <c r="E20" i="6"/>
  <c r="E10" i="6"/>
  <c r="E64" i="6"/>
  <c r="E58" i="6"/>
  <c r="E50" i="6"/>
  <c r="E63" i="6"/>
  <c r="E59" i="6"/>
  <c r="E39" i="6"/>
  <c r="E57" i="6"/>
  <c r="E30" i="6"/>
  <c r="E43" i="6"/>
  <c r="E13" i="6"/>
  <c r="E17" i="6"/>
  <c r="E23" i="6"/>
  <c r="E45" i="6"/>
  <c r="E27" i="6"/>
  <c r="E32" i="6"/>
  <c r="E62" i="6"/>
  <c r="E37" i="6"/>
  <c r="E14" i="6"/>
  <c r="AG10" i="4"/>
  <c r="AI48" i="4"/>
  <c r="AH53" i="4"/>
  <c r="AJ10" i="4"/>
  <c r="AJ45" i="4"/>
  <c r="Q4" i="5"/>
  <c r="AI18" i="4"/>
  <c r="AG20" i="4"/>
  <c r="AG43" i="4"/>
  <c r="AJ44" i="4"/>
  <c r="Z4" i="4"/>
  <c r="P21" i="5"/>
  <c r="P5" i="3"/>
  <c r="O5" i="5"/>
  <c r="B4" i="4" s="1"/>
  <c r="Z51" i="4"/>
  <c r="O51" i="4"/>
  <c r="E42" i="6"/>
  <c r="E44" i="6"/>
  <c r="E26" i="6"/>
  <c r="E29" i="6"/>
  <c r="E46" i="6"/>
  <c r="E38" i="6"/>
  <c r="AJ19" i="4"/>
  <c r="E56" i="6"/>
  <c r="E16" i="6"/>
  <c r="E49" i="6"/>
  <c r="E47" i="6"/>
  <c r="E60" i="6"/>
  <c r="E52" i="6"/>
  <c r="O4" i="4"/>
  <c r="CK5" i="2"/>
  <c r="D55" i="4"/>
  <c r="Z55" i="4"/>
  <c r="O55" i="4"/>
  <c r="O41" i="4"/>
  <c r="Z41" i="4"/>
  <c r="D41" i="4"/>
  <c r="S4" i="5"/>
  <c r="K13" i="5"/>
  <c r="CP5" i="2"/>
  <c r="T60" i="5"/>
  <c r="CY52" i="2"/>
  <c r="CY4" i="2" s="1"/>
  <c r="T4" i="5" s="1"/>
  <c r="C3" i="4" s="1"/>
  <c r="R32" i="5"/>
  <c r="CW23" i="2"/>
  <c r="W7" i="5"/>
  <c r="DB5" i="2"/>
  <c r="J13" i="5"/>
  <c r="CO5" i="2"/>
  <c r="DC7" i="2"/>
  <c r="BF5" i="2"/>
  <c r="BF4" i="2" s="1"/>
  <c r="W23" i="2"/>
  <c r="W4" i="2" s="1"/>
  <c r="DB31" i="2"/>
  <c r="CN4" i="2"/>
  <c r="I4" i="5" s="1"/>
  <c r="I5" i="5"/>
  <c r="S52" i="5"/>
  <c r="T23" i="5"/>
  <c r="CL13" i="2"/>
  <c r="AO5" i="2"/>
  <c r="AO4" i="2" s="1"/>
  <c r="AP13" i="2"/>
  <c r="E33" i="6"/>
  <c r="E18" i="6"/>
  <c r="E35" i="6"/>
  <c r="E19" i="6"/>
  <c r="E11" i="6"/>
  <c r="E22" i="6"/>
  <c r="E34" i="6"/>
  <c r="AH31" i="4"/>
  <c r="AJ11" i="4"/>
  <c r="AI25" i="4"/>
  <c r="L30" i="7"/>
  <c r="L45" i="7"/>
  <c r="AG39" i="4"/>
  <c r="AI53" i="4"/>
  <c r="AJ6" i="4"/>
  <c r="AJ28" i="4"/>
  <c r="AI45" i="4"/>
  <c r="L12" i="7"/>
  <c r="AH55" i="4"/>
  <c r="DE52" i="1"/>
  <c r="Z54" i="5"/>
  <c r="P53" i="4" s="1"/>
  <c r="O43" i="5"/>
  <c r="B42" i="4" s="1"/>
  <c r="CT38" i="1"/>
  <c r="U32" i="5"/>
  <c r="CZ23" i="1"/>
  <c r="Y4" i="4"/>
  <c r="N4" i="4"/>
  <c r="C4" i="4"/>
  <c r="DA32" i="1"/>
  <c r="BD23" i="1"/>
  <c r="BD4" i="1" s="1"/>
  <c r="Y30" i="5"/>
  <c r="DD23" i="1"/>
  <c r="CQ4" i="1"/>
  <c r="L4" i="5" s="1"/>
  <c r="L5" i="5"/>
  <c r="CW4" i="1"/>
  <c r="R5" i="5"/>
  <c r="CS4" i="1"/>
  <c r="AJ34" i="4"/>
  <c r="AJ25" i="4"/>
  <c r="AH24" i="4"/>
  <c r="AI19" i="4"/>
  <c r="AJ33" i="4"/>
  <c r="AJ58" i="4"/>
  <c r="AJ39" i="4"/>
  <c r="AJ15" i="4"/>
  <c r="R4" i="4"/>
  <c r="AA4" i="4"/>
  <c r="F12" i="7"/>
  <c r="F45" i="7"/>
  <c r="F30" i="7"/>
  <c r="F59" i="7"/>
  <c r="AJ27" i="4"/>
  <c r="R22" i="4"/>
  <c r="AA22" i="4"/>
  <c r="C44" i="6"/>
  <c r="C39" i="6"/>
  <c r="C30" i="6"/>
  <c r="C58" i="6"/>
  <c r="C9" i="6"/>
  <c r="C18" i="6"/>
  <c r="C13" i="6"/>
  <c r="C47" i="6"/>
  <c r="C11" i="6"/>
  <c r="C24" i="6"/>
  <c r="C42" i="6"/>
  <c r="C20" i="6"/>
  <c r="C57" i="6"/>
  <c r="C36" i="6"/>
  <c r="C17" i="6"/>
  <c r="C59" i="6"/>
  <c r="C27" i="6"/>
  <c r="C22" i="6"/>
  <c r="C43" i="6"/>
  <c r="C8" i="6"/>
  <c r="C55" i="6"/>
  <c r="C26" i="6"/>
  <c r="C62" i="6"/>
  <c r="C49" i="6"/>
  <c r="C12" i="6"/>
  <c r="C64" i="6"/>
  <c r="C23" i="6"/>
  <c r="C45" i="6"/>
  <c r="C51" i="6"/>
  <c r="C46" i="6"/>
  <c r="C38" i="6"/>
  <c r="C21" i="6"/>
  <c r="C28" i="6"/>
  <c r="C32" i="6"/>
  <c r="C37" i="6"/>
  <c r="C34" i="6"/>
  <c r="C56" i="6"/>
  <c r="C29" i="6"/>
  <c r="C50" i="6"/>
  <c r="C61" i="6"/>
  <c r="C10" i="6"/>
  <c r="C16" i="6"/>
  <c r="C15" i="6"/>
  <c r="C60" i="6"/>
  <c r="F39" i="6"/>
  <c r="G39" i="6" s="1"/>
  <c r="C31" i="6"/>
  <c r="C53" i="6"/>
  <c r="C35" i="6"/>
  <c r="C33" i="6"/>
  <c r="C41" i="6"/>
  <c r="C63" i="6"/>
  <c r="C48" i="6"/>
  <c r="C19" i="6"/>
  <c r="C14" i="6"/>
  <c r="C52" i="6"/>
  <c r="D5" i="6"/>
  <c r="F5" i="6" s="1"/>
  <c r="N5" i="6"/>
  <c r="O5" i="6" s="1"/>
  <c r="D30" i="7"/>
  <c r="AD4" i="5"/>
  <c r="AJ55" i="4"/>
  <c r="R37" i="4"/>
  <c r="G37" i="4"/>
  <c r="AA37" i="4"/>
  <c r="G22" i="4"/>
  <c r="AG24" i="4"/>
  <c r="G4" i="4"/>
  <c r="AJ16" i="4"/>
  <c r="M22" i="4"/>
  <c r="AH37" i="4" l="1"/>
  <c r="N4" i="5"/>
  <c r="M4" i="4"/>
  <c r="AJ51" i="4"/>
  <c r="AG51" i="4"/>
  <c r="F3" i="4"/>
  <c r="P61" i="4"/>
  <c r="P22" i="4"/>
  <c r="D37" i="4"/>
  <c r="O37" i="4"/>
  <c r="E53" i="4"/>
  <c r="P24" i="6"/>
  <c r="AB24" i="6"/>
  <c r="AC24" i="6" s="1"/>
  <c r="T32" i="6"/>
  <c r="P53" i="6"/>
  <c r="AB53" i="6"/>
  <c r="AC53" i="6" s="1"/>
  <c r="T63" i="6"/>
  <c r="Z5" i="6"/>
  <c r="DE4" i="2"/>
  <c r="AI51" i="4"/>
  <c r="AI4" i="4"/>
  <c r="P4" i="3"/>
  <c r="P4" i="5" s="1"/>
  <c r="P5" i="5"/>
  <c r="W5" i="5"/>
  <c r="Y22" i="4"/>
  <c r="C22" i="4"/>
  <c r="W31" i="5"/>
  <c r="DB23" i="2"/>
  <c r="W23" i="5" s="1"/>
  <c r="CW4" i="2"/>
  <c r="R4" i="5" s="1"/>
  <c r="R23" i="5"/>
  <c r="AI55" i="4"/>
  <c r="G13" i="5"/>
  <c r="CL5" i="2"/>
  <c r="CK4" i="2"/>
  <c r="F4" i="5" s="1"/>
  <c r="F5" i="5"/>
  <c r="CP4" i="2"/>
  <c r="K4" i="5" s="1"/>
  <c r="K5" i="5"/>
  <c r="DC5" i="2"/>
  <c r="X7" i="5"/>
  <c r="T52" i="5"/>
  <c r="N51" i="4" s="1"/>
  <c r="AI41" i="4"/>
  <c r="N22" i="4"/>
  <c r="C59" i="4"/>
  <c r="Y59" i="4"/>
  <c r="CM13" i="2"/>
  <c r="AP5" i="2"/>
  <c r="AP4" i="2" s="1"/>
  <c r="CO4" i="2"/>
  <c r="J4" i="5" s="1"/>
  <c r="J5" i="5"/>
  <c r="N59" i="4"/>
  <c r="G64" i="6"/>
  <c r="G10" i="6"/>
  <c r="Y23" i="5"/>
  <c r="D22" i="4" s="1"/>
  <c r="DD4" i="1"/>
  <c r="O29" i="4"/>
  <c r="Z29" i="4"/>
  <c r="Y3" i="4"/>
  <c r="N3" i="4"/>
  <c r="O38" i="5"/>
  <c r="B37" i="4" s="1"/>
  <c r="CT4" i="1"/>
  <c r="O4" i="5" s="1"/>
  <c r="M3" i="4" s="1"/>
  <c r="V32" i="5"/>
  <c r="DA23" i="1"/>
  <c r="M42" i="4"/>
  <c r="U23" i="5"/>
  <c r="CZ4" i="1"/>
  <c r="U4" i="5" s="1"/>
  <c r="D29" i="4"/>
  <c r="AH4" i="4"/>
  <c r="Z52" i="5"/>
  <c r="E51" i="4" s="1"/>
  <c r="DE4" i="1"/>
  <c r="G38" i="6"/>
  <c r="G13" i="6"/>
  <c r="G55" i="6"/>
  <c r="G11" i="6"/>
  <c r="G16" i="6"/>
  <c r="G63" i="6"/>
  <c r="G17" i="6"/>
  <c r="AJ4" i="4"/>
  <c r="G58" i="6"/>
  <c r="G60" i="6"/>
  <c r="G36" i="6"/>
  <c r="G53" i="6"/>
  <c r="G24" i="6"/>
  <c r="G35" i="6"/>
  <c r="G27" i="6"/>
  <c r="G57" i="6"/>
  <c r="G44" i="6"/>
  <c r="G23" i="6"/>
  <c r="G52" i="6"/>
  <c r="G48" i="6"/>
  <c r="G29" i="6"/>
  <c r="G14" i="6"/>
  <c r="G32" i="6"/>
  <c r="G22" i="6"/>
  <c r="AG22" i="4"/>
  <c r="G51" i="6"/>
  <c r="G12" i="6"/>
  <c r="G49" i="6"/>
  <c r="G47" i="6"/>
  <c r="G9" i="6"/>
  <c r="G42" i="6"/>
  <c r="AJ22" i="4"/>
  <c r="G62" i="6"/>
  <c r="G61" i="6"/>
  <c r="D45" i="7"/>
  <c r="D59" i="7"/>
  <c r="G34" i="6"/>
  <c r="G21" i="6"/>
  <c r="G20" i="6"/>
  <c r="G19" i="6"/>
  <c r="G46" i="6"/>
  <c r="G45" i="6"/>
  <c r="G41" i="6"/>
  <c r="G15" i="6"/>
  <c r="G31" i="6"/>
  <c r="G8" i="6"/>
  <c r="G28" i="6"/>
  <c r="G56" i="6"/>
  <c r="G33" i="6"/>
  <c r="G26" i="6"/>
  <c r="G37" i="6"/>
  <c r="G59" i="6"/>
  <c r="G50" i="6"/>
  <c r="AJ37" i="4"/>
  <c r="D12" i="7"/>
  <c r="AA3" i="4"/>
  <c r="R3" i="4"/>
  <c r="G3" i="4"/>
  <c r="G43" i="6"/>
  <c r="G30" i="6"/>
  <c r="G18" i="6"/>
  <c r="AG4" i="4" l="1"/>
  <c r="AI37" i="4"/>
  <c r="P51" i="4"/>
  <c r="Q53" i="6"/>
  <c r="T53" i="6"/>
  <c r="P5" i="6"/>
  <c r="T5" i="6" s="1"/>
  <c r="AB5" i="6"/>
  <c r="AC5" i="6" s="1"/>
  <c r="Q32" i="6"/>
  <c r="Z4" i="5"/>
  <c r="P3" i="4" s="1"/>
  <c r="Q36" i="6"/>
  <c r="Q23" i="6"/>
  <c r="Q51" i="6"/>
  <c r="Q31" i="6"/>
  <c r="Q62" i="6"/>
  <c r="Q17" i="6"/>
  <c r="Q10" i="6"/>
  <c r="Q43" i="6"/>
  <c r="Q26" i="6"/>
  <c r="Q27" i="6"/>
  <c r="Q46" i="6"/>
  <c r="Q22" i="6"/>
  <c r="Q24" i="6"/>
  <c r="Q35" i="6"/>
  <c r="Q15" i="6"/>
  <c r="Q60" i="6"/>
  <c r="Q56" i="6"/>
  <c r="Q55" i="6"/>
  <c r="Q29" i="6"/>
  <c r="Q20" i="6"/>
  <c r="Q45" i="6"/>
  <c r="Q57" i="6"/>
  <c r="Q52" i="6"/>
  <c r="Q9" i="6"/>
  <c r="Q19" i="6"/>
  <c r="Q8" i="6"/>
  <c r="Q44" i="6"/>
  <c r="Q50" i="6"/>
  <c r="Q18" i="6"/>
  <c r="Q30" i="6"/>
  <c r="Q41" i="6"/>
  <c r="Q34" i="6"/>
  <c r="Q16" i="6"/>
  <c r="Q47" i="6"/>
  <c r="Q61" i="6"/>
  <c r="Q49" i="6"/>
  <c r="Q37" i="6"/>
  <c r="Q13" i="6"/>
  <c r="Q58" i="6"/>
  <c r="Q11" i="6"/>
  <c r="Q12" i="6"/>
  <c r="Q21" i="6"/>
  <c r="Q38" i="6"/>
  <c r="Q42" i="6"/>
  <c r="Q14" i="6"/>
  <c r="Q33" i="6"/>
  <c r="Q28" i="6"/>
  <c r="Q48" i="6"/>
  <c r="Q64" i="6"/>
  <c r="Q59" i="6"/>
  <c r="T24" i="6"/>
  <c r="Q39" i="6"/>
  <c r="Q63" i="6"/>
  <c r="AH22" i="4"/>
  <c r="AH59" i="4"/>
  <c r="Y51" i="4"/>
  <c r="C51" i="4"/>
  <c r="CL4" i="2"/>
  <c r="G4" i="5" s="1"/>
  <c r="G5" i="5"/>
  <c r="H13" i="5"/>
  <c r="CM5" i="2"/>
  <c r="DC4" i="2"/>
  <c r="X4" i="5" s="1"/>
  <c r="X5" i="5"/>
  <c r="DB4" i="2"/>
  <c r="W4" i="5" s="1"/>
  <c r="AH3" i="4"/>
  <c r="AG42" i="4"/>
  <c r="AI29" i="4"/>
  <c r="V23" i="5"/>
  <c r="DA4" i="1"/>
  <c r="V4" i="5" s="1"/>
  <c r="Y4" i="5"/>
  <c r="B3" i="4"/>
  <c r="M37" i="4"/>
  <c r="O22" i="4"/>
  <c r="Z22" i="4"/>
  <c r="AJ3" i="4"/>
  <c r="C45" i="7"/>
  <c r="C12" i="7"/>
  <c r="C30" i="7"/>
  <c r="C59" i="7"/>
  <c r="U32" i="6" l="1"/>
  <c r="E3" i="4"/>
  <c r="U63" i="6"/>
  <c r="AH51" i="4"/>
  <c r="U19" i="6"/>
  <c r="U16" i="6"/>
  <c r="U45" i="6"/>
  <c r="U55" i="6"/>
  <c r="U13" i="6"/>
  <c r="U9" i="6"/>
  <c r="U20" i="6"/>
  <c r="U15" i="6"/>
  <c r="U33" i="6"/>
  <c r="U46" i="6"/>
  <c r="U42" i="6"/>
  <c r="U51" i="6"/>
  <c r="U62" i="6"/>
  <c r="U61" i="6"/>
  <c r="U26" i="6"/>
  <c r="U60" i="6"/>
  <c r="U24" i="6"/>
  <c r="U17" i="6"/>
  <c r="U64" i="6"/>
  <c r="U44" i="6"/>
  <c r="U8" i="6"/>
  <c r="U10" i="6"/>
  <c r="U12" i="6"/>
  <c r="U38" i="6"/>
  <c r="U31" i="6"/>
  <c r="U48" i="6"/>
  <c r="U23" i="6"/>
  <c r="U22" i="6"/>
  <c r="U59" i="6"/>
  <c r="U29" i="6"/>
  <c r="U57" i="6"/>
  <c r="U28" i="6"/>
  <c r="U37" i="6"/>
  <c r="U52" i="6"/>
  <c r="U56" i="6"/>
  <c r="U43" i="6"/>
  <c r="U27" i="6"/>
  <c r="U18" i="6"/>
  <c r="U36" i="6"/>
  <c r="U41" i="6"/>
  <c r="U34" i="6"/>
  <c r="U35" i="6"/>
  <c r="U50" i="6"/>
  <c r="U49" i="6"/>
  <c r="U11" i="6"/>
  <c r="U30" i="6"/>
  <c r="U21" i="6"/>
  <c r="U14" i="6"/>
  <c r="U47" i="6"/>
  <c r="U58" i="6"/>
  <c r="U39" i="6"/>
  <c r="U53" i="6"/>
  <c r="CM4" i="2"/>
  <c r="H4" i="5" s="1"/>
  <c r="H5" i="5"/>
  <c r="AI22" i="4"/>
  <c r="AG37" i="4"/>
  <c r="AG3" i="4"/>
  <c r="D3" i="4"/>
  <c r="Z3" i="4"/>
  <c r="O3" i="4"/>
  <c r="AI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Cowan</author>
    <author>Christiana Datubo-Brown</author>
    <author>Samantha Durrance</author>
  </authors>
  <commentList>
    <comment ref="S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M14" authorId="1" shapeId="0" xr:uid="{905EADEC-67A3-4E17-B939-104A403380CC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the formula
</t>
        </r>
      </text>
    </comment>
    <comment ref="O14" authorId="1" shapeId="0" xr:uid="{F30FCE43-1410-416B-A9CF-52FE1A3D71F3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
</t>
        </r>
      </text>
    </comment>
    <comment ref="P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Q19" authorId="1" shapeId="0" xr:uid="{918B46BE-1E4C-4EA8-9DD1-DF443F49886F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S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1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Q20" authorId="1" shapeId="0" xr:uid="{05F0E095-8EA5-43A3-B5BF-8AAD87C4F357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2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I27" authorId="1" shapeId="0" xr:uid="{11BE4763-FF9B-45CB-8692-74D01661620F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formula
</t>
        </r>
      </text>
    </comment>
    <comment ref="J3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O3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O3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Q4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S4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4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J4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4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N4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M51" authorId="1" shapeId="0" xr:uid="{611AFBF3-039B-4187-A413-4E62003E2C1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formula</t>
        </r>
      </text>
    </comment>
    <comment ref="O51" authorId="1" shapeId="0" xr:uid="{CCDB56BB-EFB6-4076-A1F8-A07C74B54B23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
</t>
        </r>
      </text>
    </comment>
    <comment ref="Q51" authorId="2" shapeId="0" xr:uid="{00000000-0006-0000-0000-000015000000}">
      <text>
        <r>
          <rPr>
            <b/>
            <sz val="9"/>
            <color indexed="81"/>
            <rFont val="Tahoma"/>
            <family val="2"/>
          </rPr>
          <t>Samantha Durrance: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5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Q52" authorId="1" shapeId="0" xr:uid="{9BFF0F05-84C4-4B30-8E18-BFC6F7369B9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S5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52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M53" authorId="1" shapeId="0" xr:uid="{E3F44D44-4D37-4BB6-AB4B-79D56E5AABF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
</t>
        </r>
      </text>
    </comment>
    <comment ref="O53" authorId="1" shapeId="0" xr:uid="{6697E8CF-1A49-4CE8-85FB-32B74E62C63E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
</t>
        </r>
      </text>
    </comment>
    <comment ref="Q53" authorId="1" shapeId="0" xr:uid="{D833748F-0976-40B4-9D06-F47704CEDA9B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I54" authorId="1" shapeId="0" xr:uid="{CE36DAD7-ACC3-4940-B046-A7909E37E393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 formula
</t>
        </r>
      </text>
    </comment>
    <comment ref="M54" authorId="1" shapeId="0" xr:uid="{7115DBF0-F5EB-45A1-9A3D-A92D9F0DF3A5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
</t>
        </r>
      </text>
    </comment>
    <comment ref="O54" authorId="1" shapeId="0" xr:uid="{28185C2A-477D-464E-95CA-BE9A24A80FA1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Q54" authorId="2" shapeId="0" xr:uid="{00000000-0006-0000-0000-000019000000}">
      <text>
        <r>
          <rPr>
            <b/>
            <sz val="9"/>
            <color indexed="81"/>
            <rFont val="Tahoma"/>
            <family val="2"/>
          </rPr>
          <t>Samantha Durrance: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55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D63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E6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F63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G63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M63" authorId="1" shapeId="0" xr:uid="{6CD136A6-E2A5-4886-AEC8-28AE1308491E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S63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63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65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O66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67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S67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67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68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69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S69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69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H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I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L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M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V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W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Z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AA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U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year, the formula has additional columns because a new column became reported.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CZ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 the formula has an additional new column of data
</t>
        </r>
      </text>
    </comment>
    <comment ref="AO10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P10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Q10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U10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V10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S16" authorId="0" shapeId="0" xr:uid="{00000000-0006-0000-0300-00000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S19" authorId="0" shapeId="0" xr:uid="{00000000-0006-0000-0300-00000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20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W21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X21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Y21" authorId="0" shapeId="0" xr:uid="{00000000-0006-0000-0300-00000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Z21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A21" authorId="0" shapeId="0" xr:uid="{00000000-0006-0000-03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D26" authorId="0" shapeId="0" xr:uid="{00000000-0006-0000-0300-00000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E26" authorId="0" shapeId="0" xr:uid="{00000000-0006-0000-0300-00001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L30" authorId="0" shapeId="0" xr:uid="{00000000-0006-0000-03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M30" authorId="0" shapeId="0" xr:uid="{00000000-0006-0000-0300-00001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T30" authorId="0" shapeId="0" xr:uid="{00000000-0006-0000-0300-00001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U30" authorId="0" shapeId="0" xr:uid="{00000000-0006-0000-03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V30" authorId="0" shapeId="0" xr:uid="{00000000-0006-0000-03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2" authorId="0" shapeId="0" xr:uid="{00000000-0006-0000-0300-00001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32" authorId="0" shapeId="0" xr:uid="{00000000-0006-0000-0300-00001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C32" authorId="0" shapeId="0" xr:uid="{00000000-0006-0000-0300-00001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32" authorId="0" shapeId="0" xr:uid="{00000000-0006-0000-0300-00001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S32" authorId="0" shapeId="0" xr:uid="{00000000-0006-0000-0300-00001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S37" authorId="0" shapeId="0" xr:uid="{00000000-0006-0000-0300-00001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BS41" authorId="0" shapeId="0" xr:uid="{00000000-0006-0000-0300-00001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V43" authorId="0" shapeId="0" xr:uid="{00000000-0006-0000-03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W43" authorId="0" shapeId="0" xr:uid="{00000000-0006-0000-03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51" authorId="0" shapeId="0" xr:uid="{00000000-0006-0000-03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G54" authorId="0" shapeId="0" xr:uid="{00000000-0006-0000-0300-00002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H54" authorId="0" shapeId="0" xr:uid="{00000000-0006-0000-0300-00002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W55" authorId="0" shapeId="0" xr:uid="{00000000-0006-0000-03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C55" authorId="0" shapeId="0" xr:uid="{00000000-0006-0000-0300-00002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D55" authorId="0" shapeId="0" xr:uid="{00000000-0006-0000-0300-00002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V63" authorId="0" shapeId="0" xr:uid="{00000000-0006-0000-0300-00002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27.572 reported. But  based on subsequent report I've moved it to non need-b ased and extrapolated the figure here.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CZ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 the formula has an additional new column of data
</t>
        </r>
      </text>
    </comment>
    <comment ref="BD7" authorId="0" shapeId="0" xr:uid="{00000000-0006-0000-04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E7" authorId="0" shapeId="0" xr:uid="{00000000-0006-0000-04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F7" authorId="0" shapeId="0" xr:uid="{00000000-0006-0000-04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T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BS9" authorId="0" shapeId="0" xr:uid="{00000000-0006-0000-04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N13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O13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P13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R13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S13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T13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BC14" authorId="0" shapeId="0" xr:uid="{00000000-0006-0000-04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14" authorId="0" shapeId="0" xr:uid="{00000000-0006-0000-04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R15" authorId="0" shapeId="0" xr:uid="{00000000-0006-0000-0400-00000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J15" authorId="0" shapeId="0" xr:uid="{00000000-0006-0000-0400-00001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C16" authorId="0" shapeId="0" xr:uid="{00000000-0006-0000-0400-00001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F16" authorId="0" shapeId="0" xr:uid="{00000000-0006-0000-0400-00001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E17" authorId="0" shapeId="0" xr:uid="{00000000-0006-0000-0400-00001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T21" authorId="0" shapeId="0" xr:uid="{00000000-0006-0000-04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28" authorId="0" shapeId="0" xr:uid="{00000000-0006-0000-04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S28" authorId="0" shapeId="0" xr:uid="{00000000-0006-0000-0400-00001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T31" authorId="0" shapeId="0" xr:uid="{00000000-0006-0000-0400-00001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1" authorId="0" shapeId="0" xr:uid="{00000000-0006-0000-0400-00001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31" authorId="0" shapeId="0" xr:uid="{00000000-0006-0000-0400-00001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1" authorId="0" shapeId="0" xr:uid="{00000000-0006-0000-0400-00001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31" authorId="0" shapeId="0" xr:uid="{00000000-0006-0000-0400-00001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Z31" authorId="0" shapeId="0" xr:uid="{00000000-0006-0000-0400-00001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P32" authorId="0" shapeId="0" xr:uid="{00000000-0006-0000-04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Q32" authorId="0" shapeId="0" xr:uid="{00000000-0006-0000-04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R32" authorId="0" shapeId="0" xr:uid="{00000000-0006-0000-04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2" authorId="0" shapeId="0" xr:uid="{00000000-0006-0000-04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33" authorId="0" shapeId="0" xr:uid="{00000000-0006-0000-04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5" authorId="0" shapeId="0" xr:uid="{00000000-0006-0000-04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35" authorId="0" shapeId="0" xr:uid="{00000000-0006-0000-04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C35" authorId="0" shapeId="0" xr:uid="{00000000-0006-0000-04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S35" authorId="0" shapeId="0" xr:uid="{00000000-0006-0000-04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40" authorId="0" shapeId="0" xr:uid="{00000000-0006-0000-04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42" authorId="0" shapeId="0" xr:uid="{00000000-0006-0000-04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43" authorId="0" shapeId="0" xr:uid="{00000000-0006-0000-04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43" authorId="0" shapeId="0" xr:uid="{00000000-0006-0000-0400-00002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45" authorId="0" shapeId="0" xr:uid="{00000000-0006-0000-0400-00002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F49" authorId="0" shapeId="0" xr:uid="{00000000-0006-0000-04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54" authorId="0" shapeId="0" xr:uid="{00000000-0006-0000-04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T54" authorId="0" shapeId="0" xr:uid="{00000000-0006-0000-04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56" authorId="0" shapeId="0" xr:uid="{00000000-0006-0000-0400-00002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57" authorId="0" shapeId="0" xr:uid="{00000000-0006-0000-04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C58" authorId="0" shapeId="0" xr:uid="{00000000-0006-0000-0400-00003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59" authorId="0" shapeId="0" xr:uid="{00000000-0006-0000-04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60" authorId="0" shapeId="0" xr:uid="{00000000-0006-0000-04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Z60" authorId="0" shapeId="0" xr:uid="{00000000-0006-0000-04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60" authorId="0" shapeId="0" xr:uid="{00000000-0006-0000-0400-00003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60" authorId="0" shapeId="0" xr:uid="{00000000-0006-0000-04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S61" authorId="0" shapeId="0" xr:uid="{00000000-0006-0000-04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62" authorId="0" shapeId="0" xr:uid="{00000000-0006-0000-0400-00003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62" authorId="0" shapeId="0" xr:uid="{00000000-0006-0000-0400-00003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Z62" authorId="0" shapeId="0" xr:uid="{00000000-0006-0000-0400-00003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S62" authorId="0" shapeId="0" xr:uid="{00000000-0006-0000-04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T62" authorId="0" shapeId="0" xr:uid="{00000000-0006-0000-0400-00003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U62" authorId="0" shapeId="0" xr:uid="{00000000-0006-0000-0400-00003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63" authorId="0" shapeId="0" xr:uid="{00000000-0006-0000-0400-00003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Reported in need-based. But  based on subsequent report I've moved it here.
</t>
        </r>
      </text>
    </comment>
    <comment ref="AA63" authorId="0" shapeId="0" xr:uid="{00000000-0006-0000-0400-00003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N11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federal loan amount subtracted
</t>
        </r>
      </text>
    </comment>
    <comment ref="O11" authorId="1" shapeId="0" xr:uid="{00000000-0006-0000-0500-00000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2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federal loan amounts subtracted
</t>
        </r>
      </text>
    </comment>
    <comment ref="P12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federal loan amounts subtracted</t>
        </r>
      </text>
    </comment>
    <comment ref="N13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3" authorId="1" shapeId="0" xr:uid="{00000000-0006-0000-0500-000006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13" authorId="1" shapeId="0" xr:uid="{00000000-0006-0000-0500-000007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14" authorId="1" shapeId="0" xr:uid="{00000000-0006-0000-0500-000008000000}">
      <text>
        <r>
          <rPr>
            <b/>
            <sz val="8"/>
            <color indexed="81"/>
            <rFont val="Tahoma"/>
            <family val="2"/>
          </rPr>
          <t>three new programs reported</t>
        </r>
      </text>
    </comment>
    <comment ref="R15" authorId="1" shapeId="0" xr:uid="{00000000-0006-0000-0500-000009000000}">
      <text>
        <r>
          <rPr>
            <b/>
            <sz val="8"/>
            <color indexed="81"/>
            <rFont val="Tahoma"/>
            <family val="2"/>
          </rPr>
          <t xml:space="preserve">three programs previously reported in this category are now reported in total aid </t>
        </r>
      </text>
    </comment>
    <comment ref="N16" authorId="1" shapeId="0" xr:uid="{00000000-0006-0000-0500-00000A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6" authorId="1" shapeId="0" xr:uid="{00000000-0006-0000-0500-00000B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7" authorId="1" shapeId="0" xr:uid="{00000000-0006-0000-0500-00000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8" authorId="0" shapeId="0" xr:uid="{00000000-0006-0000-0500-00000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exlcudes $185.344 reported; assumed to be Federal loans</t>
        </r>
      </text>
    </comment>
    <comment ref="O18" authorId="0" shapeId="0" xr:uid="{00000000-0006-0000-05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excludes $219.379 reported; assumed to be loans</t>
        </r>
      </text>
    </comment>
    <comment ref="P18" authorId="0" shapeId="0" xr:uid="{00000000-0006-0000-0500-00000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exludes $236.789 reported; assumed to be loans</t>
        </r>
      </text>
    </comment>
    <comment ref="Q18" authorId="1" shapeId="0" xr:uid="{00000000-0006-0000-0500-000010000000}">
      <text>
        <r>
          <rPr>
            <b/>
            <sz val="8"/>
            <color indexed="81"/>
            <rFont val="Tahoma"/>
            <family val="2"/>
          </rPr>
          <t>includes funds from new program previously unreported</t>
        </r>
      </text>
    </comment>
    <comment ref="R18" authorId="1" shapeId="0" xr:uid="{00000000-0006-0000-0500-000011000000}">
      <text>
        <r>
          <rPr>
            <b/>
            <sz val="8"/>
            <color indexed="81"/>
            <rFont val="Tahoma"/>
            <family val="2"/>
          </rPr>
          <t xml:space="preserve">three programs previously reported in this category are now reported in total aid </t>
        </r>
      </text>
    </comment>
    <comment ref="N19" authorId="1" shapeId="0" xr:uid="{00000000-0006-0000-0500-00001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9" authorId="1" shapeId="0" xr:uid="{00000000-0006-0000-0500-000013000000}">
      <text>
        <r>
          <rPr>
            <sz val="8"/>
            <color indexed="81"/>
            <rFont val="Tahoma"/>
            <family val="2"/>
          </rPr>
          <t>Federal loan amounts subtracted</t>
        </r>
      </text>
    </comment>
    <comment ref="O21" authorId="2" shapeId="0" xr:uid="{00000000-0006-0000-05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nothing reported but extrapolated figure generated
</t>
        </r>
      </text>
    </comment>
    <comment ref="P21" authorId="2" shapeId="0" xr:uid="{00000000-0006-0000-05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nothing reported but extrapolated figure generated
</t>
        </r>
      </text>
    </comment>
    <comment ref="P25" authorId="1" shapeId="0" xr:uid="{00000000-0006-0000-0500-000016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W26" authorId="0" shapeId="0" xr:uid="{00000000-0006-0000-0500-00001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27" authorId="1" shapeId="0" xr:uid="{00000000-0006-0000-0500-000018000000}">
      <text>
        <r>
          <rPr>
            <b/>
            <sz val="8"/>
            <color indexed="81"/>
            <rFont val="Tahoma"/>
            <family val="2"/>
          </rPr>
          <t>Federal loan amounts subtracted and 386.781M in aid awarded by other state agencies or institutions</t>
        </r>
      </text>
    </comment>
    <comment ref="O27" authorId="1" shapeId="0" xr:uid="{00000000-0006-0000-0500-000019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27" authorId="1" shapeId="0" xr:uid="{00000000-0006-0000-0500-00001A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AA29" authorId="0" shapeId="0" xr:uid="{00000000-0006-0000-0500-00001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31" authorId="1" shapeId="0" xr:uid="{00000000-0006-0000-0500-00001C000000}">
      <text>
        <r>
          <rPr>
            <b/>
            <sz val="8"/>
            <color indexed="81"/>
            <rFont val="Tahoma"/>
            <family val="2"/>
          </rPr>
          <t>All amounts were Federal loans and they were subtracted</t>
        </r>
      </text>
    </comment>
    <comment ref="O31" authorId="1" shapeId="0" xr:uid="{00000000-0006-0000-0500-00001D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1" authorId="1" shapeId="0" xr:uid="{00000000-0006-0000-0500-00001E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32" authorId="0" shapeId="0" xr:uid="{00000000-0006-0000-05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aid awarded by other state agencies reported for the first time
</t>
        </r>
      </text>
    </comment>
    <comment ref="P32" authorId="1" shapeId="0" xr:uid="{00000000-0006-0000-0500-000020000000}">
      <text>
        <r>
          <rPr>
            <b/>
            <sz val="8"/>
            <color indexed="81"/>
            <rFont val="Tahoma"/>
            <family val="2"/>
          </rPr>
          <t>funding levels have increased significantly due to additional funding</t>
        </r>
      </text>
    </comment>
    <comment ref="Q32" authorId="1" shapeId="0" xr:uid="{00000000-0006-0000-0500-000021000000}">
      <text>
        <r>
          <rPr>
            <b/>
            <sz val="8"/>
            <color indexed="81"/>
            <rFont val="Tahoma"/>
            <family val="2"/>
          </rPr>
          <t>funding levels have increased significantly due to additional funding</t>
        </r>
      </text>
    </comment>
    <comment ref="R32" authorId="1" shapeId="0" xr:uid="{00000000-0006-0000-0500-000022000000}">
      <text>
        <r>
          <rPr>
            <b/>
            <sz val="8"/>
            <color indexed="81"/>
            <rFont val="Tahoma"/>
            <family val="2"/>
          </rPr>
          <t>aid awarded by other state agencies or institutions</t>
        </r>
      </text>
    </comment>
    <comment ref="V32" authorId="0" shapeId="0" xr:uid="{00000000-0006-0000-05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2" authorId="0" shapeId="0" xr:uid="{00000000-0006-0000-05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P33" authorId="0" shapeId="0" xr:uid="{00000000-0006-0000-05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suspected typo; raw data one decimal place off
</t>
        </r>
      </text>
    </comment>
    <comment ref="R33" authorId="1" shapeId="0" xr:uid="{00000000-0006-0000-0500-000026000000}">
      <text>
        <r>
          <rPr>
            <b/>
            <sz val="8"/>
            <color indexed="81"/>
            <rFont val="Tahoma"/>
            <family val="2"/>
          </rPr>
          <t>aid awarded by other state agencies or institutions</t>
        </r>
      </text>
    </comment>
    <comment ref="N34" authorId="1" shapeId="0" xr:uid="{00000000-0006-0000-0500-000027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34" authorId="1" shapeId="0" xr:uid="{00000000-0006-0000-0500-000028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4" authorId="1" shapeId="0" xr:uid="{00000000-0006-0000-0500-000029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35" authorId="1" shapeId="0" xr:uid="{00000000-0006-0000-0500-00002A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5" authorId="1" shapeId="0" xr:uid="{00000000-0006-0000-0500-00002B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40" authorId="1" shapeId="0" xr:uid="{00000000-0006-0000-0500-00002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0" authorId="1" shapeId="0" xr:uid="{00000000-0006-0000-0500-00002D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0" authorId="1" shapeId="0" xr:uid="{00000000-0006-0000-0500-00002E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42" authorId="1" shapeId="0" xr:uid="{00000000-0006-0000-0500-00002F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2" authorId="1" shapeId="0" xr:uid="{00000000-0006-0000-0500-000030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2" authorId="1" shapeId="0" xr:uid="{00000000-0006-0000-0500-000031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44" authorId="1" shapeId="0" xr:uid="{00000000-0006-0000-0500-00003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4" authorId="1" shapeId="0" xr:uid="{00000000-0006-0000-0500-000033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4" authorId="1" shapeId="0" xr:uid="{00000000-0006-0000-0500-000034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44" authorId="0" shapeId="0" xr:uid="{00000000-0006-0000-0500-00003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major new merit program</t>
        </r>
      </text>
    </comment>
    <comment ref="N45" authorId="0" shapeId="0" xr:uid="{00000000-0006-0000-05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SELF program intitiated
</t>
        </r>
      </text>
    </comment>
    <comment ref="N46" authorId="1" shapeId="0" xr:uid="{00000000-0006-0000-0500-000037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6" authorId="1" shapeId="0" xr:uid="{00000000-0006-0000-0500-000038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6" authorId="1" shapeId="0" xr:uid="{00000000-0006-0000-0500-000039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T47" authorId="0" shapeId="0" xr:uid="{00000000-0006-0000-05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49" authorId="1" shapeId="0" xr:uid="{00000000-0006-0000-0500-00003B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0" authorId="1" shapeId="0" xr:uid="{00000000-0006-0000-0500-00003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55" authorId="1" shapeId="0" xr:uid="{00000000-0006-0000-0500-00003D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O55" authorId="1" shapeId="0" xr:uid="{00000000-0006-0000-0500-00003E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5" authorId="1" shapeId="0" xr:uid="{00000000-0006-0000-0500-00003F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56" authorId="1" shapeId="0" xr:uid="{00000000-0006-0000-0500-000040000000}">
      <text>
        <r>
          <rPr>
            <b/>
            <sz val="8"/>
            <color indexed="81"/>
            <rFont val="Tahoma"/>
            <family val="2"/>
          </rPr>
          <t>new program reported for the first time</t>
        </r>
      </text>
    </comment>
    <comment ref="N58" authorId="1" shapeId="0" xr:uid="{00000000-0006-0000-0500-000041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8" authorId="1" shapeId="0" xr:uid="{00000000-0006-0000-0500-00004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8" authorId="1" shapeId="0" xr:uid="{00000000-0006-0000-0500-000043000000}">
      <text>
        <r>
          <rPr>
            <b/>
            <sz val="8"/>
            <color indexed="81"/>
            <rFont val="Tahoma"/>
            <family val="2"/>
          </rPr>
          <t>Federal loan amounts subtracted and NJCLASS Loan doubled from 96-97</t>
        </r>
      </text>
    </comment>
    <comment ref="N59" authorId="1" shapeId="0" xr:uid="{00000000-0006-0000-0500-000044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9" authorId="1" shapeId="0" xr:uid="{00000000-0006-0000-0500-000045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9" authorId="1" shapeId="0" xr:uid="{00000000-0006-0000-0500-000046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60" authorId="1" shapeId="0" xr:uid="{00000000-0006-0000-0500-000047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0" authorId="1" shapeId="0" xr:uid="{00000000-0006-0000-0500-000048000000}">
      <text>
        <r>
          <rPr>
            <b/>
            <sz val="8"/>
            <color indexed="81"/>
            <rFont val="Tahoma"/>
            <family val="2"/>
          </rPr>
          <t>Federal loan amounts subtracted &amp; HEAL program went from 6m to 60m.</t>
        </r>
      </text>
    </comment>
    <comment ref="P60" authorId="1" shapeId="0" xr:uid="{00000000-0006-0000-0500-000049000000}">
      <text>
        <r>
          <rPr>
            <b/>
            <sz val="8"/>
            <color indexed="81"/>
            <rFont val="Tahoma"/>
            <family val="2"/>
          </rPr>
          <t>HEAL program dropped from 95M in 97-98 to 1.2M in 98-99 and Federal loan amounts subtracted</t>
        </r>
      </text>
    </comment>
    <comment ref="Q60" authorId="1" shapeId="0" xr:uid="{00000000-0006-0000-0500-00004A000000}">
      <text>
        <r>
          <rPr>
            <b/>
            <sz val="8"/>
            <color indexed="81"/>
            <rFont val="Tahoma"/>
            <family val="2"/>
          </rPr>
          <t>HEAL program dropped from 95M in 97-98 to 1.2M in 98-99</t>
        </r>
      </text>
    </comment>
    <comment ref="S60" authorId="0" shapeId="0" xr:uid="{00000000-0006-0000-05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61" authorId="1" shapeId="0" xr:uid="{00000000-0006-0000-0500-00004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1" authorId="1" shapeId="0" xr:uid="{00000000-0006-0000-0500-00004D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61" authorId="1" shapeId="0" xr:uid="{00000000-0006-0000-0500-00004E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62" authorId="1" shapeId="0" xr:uid="{00000000-0006-0000-0500-00004F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2" authorId="1" shapeId="0" xr:uid="{00000000-0006-0000-0500-000050000000}">
      <text>
        <r>
          <rPr>
            <b/>
            <sz val="8"/>
            <color indexed="81"/>
            <rFont val="Tahoma"/>
            <family val="2"/>
          </rPr>
          <t>need to subtract  Federal loan amounts (totaling 115M) but this figure is too low</t>
        </r>
      </text>
    </comment>
    <comment ref="P62" authorId="1" shapeId="0" xr:uid="{00000000-0006-0000-0500-000051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Cowan</author>
    <author>jmarks</author>
  </authors>
  <commentList>
    <comment ref="AK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L6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J12" authorId="1" shapeId="0" xr:uid="{00000000-0006-0000-06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
</t>
        </r>
      </text>
    </comment>
    <comment ref="AK12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L12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J43" authorId="1" shapeId="0" xr:uid="{00000000-0006-0000-06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
</t>
        </r>
      </text>
    </comment>
    <comment ref="AK45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L45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J56" authorId="1" shapeId="0" xr:uid="{00000000-0006-0000-0600-000009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
</t>
        </r>
      </text>
    </comment>
    <comment ref="AK56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entry</t>
        </r>
      </text>
    </comment>
    <comment ref="AL56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entry</t>
        </r>
      </text>
    </comment>
    <comment ref="AI60" authorId="1" shapeId="0" xr:uid="{00000000-0006-0000-0600-00000C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</t>
        </r>
      </text>
    </comment>
  </commentList>
</comments>
</file>

<file path=xl/sharedStrings.xml><?xml version="1.0" encoding="utf-8"?>
<sst xmlns="http://schemas.openxmlformats.org/spreadsheetml/2006/main" count="5306" uniqueCount="231">
  <si>
    <t>Need-Based</t>
  </si>
  <si>
    <t>Sub-Total Need-Based Grants</t>
  </si>
  <si>
    <t>Undergraduate Grant Aid (need-based) (millions)</t>
  </si>
  <si>
    <t>Graduate Grant Aid (Need-Based) (millions)</t>
  </si>
  <si>
    <t>Uncategorized Grant Aid (need-based)  (millions)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</si>
  <si>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</si>
  <si>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</si>
  <si>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</si>
  <si>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</si>
  <si>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</si>
  <si>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</si>
  <si>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</si>
  <si>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</si>
  <si>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</si>
  <si>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</si>
  <si>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</si>
  <si>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</si>
  <si>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</si>
  <si>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</si>
  <si>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</si>
  <si>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</si>
  <si>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</si>
  <si>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</si>
  <si>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</si>
  <si>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</si>
  <si>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</si>
  <si>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</si>
  <si>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</si>
  <si>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</si>
  <si>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</si>
  <si>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</si>
  <si>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</si>
  <si>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 xml:space="preserve"> 2007-08</t>
  </si>
  <si>
    <t>50 states and D.C.</t>
  </si>
  <si>
    <t>SREB states</t>
  </si>
  <si>
    <t xml:space="preserve">   as a percent of U.S.</t>
  </si>
  <si>
    <t>Alabama</t>
  </si>
  <si>
    <t>NA</t>
  </si>
  <si>
    <t>Arkansas</t>
  </si>
  <si>
    <t>Delaware</t>
  </si>
  <si>
    <t>Florida</t>
  </si>
  <si>
    <t>Georgia</t>
  </si>
  <si>
    <t>Kentucky</t>
  </si>
  <si>
    <t>Louisiana</t>
  </si>
  <si>
    <t>Maryland</t>
  </si>
  <si>
    <t>—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</si>
  <si>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</si>
  <si>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</si>
  <si>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</si>
  <si>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</si>
  <si>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</si>
  <si>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</si>
  <si>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</si>
  <si>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</si>
  <si>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</si>
  <si>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</si>
  <si>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</si>
  <si>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</si>
  <si>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</si>
  <si>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</si>
  <si>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</si>
  <si>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</si>
  <si>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</si>
  <si>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</si>
  <si>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</si>
  <si>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</si>
  <si>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</si>
  <si>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</si>
  <si>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</si>
  <si>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</si>
  <si>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</si>
  <si>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</si>
  <si>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</si>
  <si>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</si>
  <si>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</si>
  <si>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</si>
  <si>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</si>
  <si>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</si>
  <si>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</si>
  <si>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</si>
  <si>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</si>
  <si>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</si>
  <si>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</si>
  <si>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</si>
  <si>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</si>
  <si>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</si>
  <si>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</si>
  <si>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</si>
  <si>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</si>
  <si>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</si>
  <si>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</si>
  <si>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</si>
  <si>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Source: 15th Annual Survey Report 1983-84 Academic Year. National Association of State Student Grant and Aid Programs, 1983). Table 1</t>
  </si>
  <si>
    <t>Source: 16th Annual Survey Report 1984-85 Academic Year. National Association of State Student Grant and Aid Programs, 1985). Table 1</t>
  </si>
  <si>
    <t>Source: 17th Annual Survey Report 1985-86 Academic Year. National Association of State Student Grant and Aid Programs, 1986). Table 1</t>
  </si>
  <si>
    <t>Source: 18th Annual Survey Report 1986-87 Academic Year. National Association of State Student Grant and Aid Programs, 1987). Table 1</t>
  </si>
  <si>
    <t>Source: 19th Annual Survey Report 1987-88 Academic Year. National Association of State Student Grant and Aid Programs, 1988). Table 1</t>
  </si>
  <si>
    <t>Source: '20th Annual Survey Report 1988-89 Academic Year. National Association of State Student Grant and Aid Programs, 1989). Table 1</t>
  </si>
  <si>
    <t>Source: '21st Annual Survey Report 1989-90 Academic Year. National Association of State Student Grant and Aid Programs, 1990). Table 1</t>
  </si>
  <si>
    <t>Source: '22nd Annual Survey Report 1990-91 Academic Year. National Association of State Student Grant and Aid Programs, 1991). Table 1</t>
  </si>
  <si>
    <t>Source: '23rd Annual Survey Report 1991-92 Academic Year. National Association of State Student Grant and Aid Programs, 1992). Table 1</t>
  </si>
  <si>
    <t>Source: '24th Annual Survey Report 1992-93 Academic Year. National Association of State Student Grant and Aid Programs, 1993). Table 1</t>
  </si>
  <si>
    <t>Source: '25th Annual Survey Report 1993-94 Academic Year. National Association of State Student Grant and Aid Programs, 1994). Table 1</t>
  </si>
  <si>
    <t>Source: '26th Annual Survey Report 1994-95 Academic Year. National Association of State Student Grant and Aid Programs, 1996). Table 1</t>
  </si>
  <si>
    <t>Source: '27th Annual Survey Report 1995-96 Academic Year. National Association of State Student Grant and Aid Programs, 1997). Table 1</t>
  </si>
  <si>
    <t>Source: '28th Annual Survey Report 1996-97 Academic Year. National Association of State Student Grant and Aid Programs, 1998). Table 1</t>
  </si>
  <si>
    <t>Source: '29th Annual Survey Report 1997-98 Academic Year. National Association of State Student Grant and Aid Programs, 1999). Table 1</t>
  </si>
  <si>
    <t>Source: '30th Annual Survey Report '1998-99 Academic Year. National Association of State Student Grant and Aid Programs, '2000). Table 1</t>
  </si>
  <si>
    <t>Source: '31st Annual Survey Report '1999-00 Academic Year. National Association of State Student Grant and Aid Programs, '2001). Table 1</t>
  </si>
  <si>
    <t>Source: '32nd Annual Survey Report '2000-01 Academic Year. National Association of State Student Grant and Aid Programs, '2002). Table 1</t>
  </si>
  <si>
    <t>Source: '33th Annual Survey Report '2001-02 Academic Year. National Association of State Student Grant and Aid Programs, '2003). Table 1</t>
  </si>
  <si>
    <t>Source: '34th Annual Survey Report '2002-03 Academic Year. National Association of State Student Grant and Aid Programs, '2003). Table 1</t>
  </si>
  <si>
    <t>Source: '35th Annual Survey Report '2003-04 Academic Year. National Association of State Student Grant and Aid Programs, '2005). Table 1</t>
  </si>
  <si>
    <t>Source: '36th Annual Survey Report '2004-05 Academic Year. National Association of State Student Grant and Aid Programs, '2006). Table 1</t>
  </si>
  <si>
    <t>Source: '37th Annual Survey Report '2005-06 Academic Year. National Association of State Student Grant and Aid Programs, '2007). Table 1</t>
  </si>
  <si>
    <t>Source: '38th Annual Survey Report '2006-07 Academic Year. National Association of State Student Grant and Aid Programs, '2008). Table 1</t>
  </si>
  <si>
    <t>Source: '39th Annual Survey Report '2007-08 Academic Year. National Association of State Student Grant and Aid Programs, '2009). Table 1</t>
  </si>
  <si>
    <t>Source: '40th Annual Survey Report '2008-09 Academic Year. National Association of State Student Grant and Aid Programs, '2010). Table 1</t>
  </si>
  <si>
    <t>Non Need-Based</t>
  </si>
  <si>
    <t>`</t>
  </si>
  <si>
    <t>Undergraduate Grant Aid (non-need-based)  (millions)</t>
  </si>
  <si>
    <t>Graduate Grant Aid (non-need-based)  (millions)</t>
  </si>
  <si>
    <t>Uncategorized Grant Aid (non-need-based)  (millions)</t>
  </si>
  <si>
    <t>Sub-Total Non Need-Based Grants (formulas)</t>
  </si>
  <si>
    <t>2002-2003</t>
  </si>
  <si>
    <t>2003-2004</t>
  </si>
  <si>
    <t>2004-2005</t>
  </si>
  <si>
    <t>Source: '41st Annual Survey Report '2009-10 Academic Year. National Association of State Student Grant and Aid Programs, '2011). Table 1</t>
  </si>
  <si>
    <t>T1</t>
  </si>
  <si>
    <t>T4</t>
  </si>
  <si>
    <t>T3</t>
  </si>
  <si>
    <t>T2</t>
  </si>
  <si>
    <t>2000-2001</t>
  </si>
  <si>
    <t>2001-2002</t>
  </si>
  <si>
    <t>Source: 15th Annual Survey Report 1983-84 Academic Year. tiol Association of State Student Grant and Aid Programs, 1983). Table 1</t>
  </si>
  <si>
    <t>Source: 16th Annual Survey Report 1984-85 Academic Year. tiol Association of State Student Grant and Aid Programs, 1985). Table 1</t>
  </si>
  <si>
    <t>Source: 17th Annual Survey Report 1985-86 Academic Year. tiol Association of State Student Grant and Aid Programs, 1986). Table 1</t>
  </si>
  <si>
    <t>Source: 18th Annual Survey Report 1986-87 Academic Year. tiol Association of State Student Grant and Aid Programs, 1987). Table 1</t>
  </si>
  <si>
    <t>Source: 19th Annual Survey Report 1987-88 Academic Year. tiol Association of State Student Grant and Aid Programs, 1988). Table 1</t>
  </si>
  <si>
    <t>Source: 20th Annual Survey Report 1988-89 Academic Year. tiol Association of State Student Grant and Aid Programs, 1989). Table 1</t>
  </si>
  <si>
    <t>Source: 21st Annual Survey Report 1989-90 Academic Year. tiol Association of State Student Grant and Aid Programs, 1990). Table 1</t>
  </si>
  <si>
    <t>Source: 22nd Annual Survey Report 1990-91 Academic Year. tiol Association of State Student Grant and Aid Programs, 1991). Table 1</t>
  </si>
  <si>
    <t>Source: 23rd Annual Survey Report 1991-92 Academic Year. tiol Association of State Student Grant and Aid Programs, 1992). Table 1</t>
  </si>
  <si>
    <t>Source: 24th Annual Survey Report 1992-93 Academic Year. tiol Association of State Student Grant and Aid Programs, 1993). Table 1</t>
  </si>
  <si>
    <t>Source: 25th Annual Survey Report 1993-94 Academic Year. tiol Association of State Student Grant and Aid Programs, 1994). Table 1</t>
  </si>
  <si>
    <t>Source: 26th Annual Survey Report 1994-95 Academic Year. tiol Association of State Student Grant and Aid Programs, 1996). Table 4</t>
  </si>
  <si>
    <t>Source: 27th Annual Survey Report 1995-96 Academic Year. tiol Association of State Student Grant and Aid Programs, 1997). Table 3</t>
  </si>
  <si>
    <t>Source: 28th Annual Survey Report 1996-97 Academic Year. tiol Association of State Student Grant and Aid Programs, 1998). Table 3</t>
  </si>
  <si>
    <t>Source: 29th Annual Survey Report 1997-98 Academic Year. tiol Association of State Student Grant and Aid Programs, 1999). Table 3</t>
  </si>
  <si>
    <t>Source: 30th Annual Survey Report 1998-99 Academic Year. tiol Association of State Student Grant and Aid Programs, 2000). Table 3</t>
  </si>
  <si>
    <t>Source: 31st Annual Survey Report 1999-00 Academic Year. tiol Association of State Student Grant and Aid Programs, 2001). Table 3</t>
  </si>
  <si>
    <t>Source: 32nd Annual Survey Report 2000-01 Academic Year. tiol Association of State Student Grant and Aid Programs, 2002). Table 3</t>
  </si>
  <si>
    <t>Source: 33th Annual Survey Report 2001-02 Academic Year. tiol Association of State Student Grant and Aid Programs, 2003). Table 3</t>
  </si>
  <si>
    <t>Source: 34th Annual Survey Report 2002-03 Academic Year. tiol Association of State Student Grant and Aid Programs, 2003). Table 2</t>
  </si>
  <si>
    <t>Source: 35th Annual Survey Report 2003-04 Academic Year. tiol Association of State Student Grant and Aid Programs, 2005). Table 2</t>
  </si>
  <si>
    <t>Source: 36th Annual Survey Report 2004-05 Academic Year. tiol Association of State Student Grant and Aid Programs, 2006). Table 2</t>
  </si>
  <si>
    <t>Source: 37th Annual Survey Report 2005-06 Academic Year. tiol Association of State Student Grant and Aid Programs, 2007). Table 2</t>
  </si>
  <si>
    <t>Source: 38th Annual Survey Report 2006-07 Academic Year. tiol Association of State Student Grant and Aid Programs, 2008). Table 2</t>
  </si>
  <si>
    <t>Source: 39th Annual Survey Report 2007-08 Academic Year. tiol Association of State Student Grant and Aid Programs, 2009). Table 2</t>
  </si>
  <si>
    <t>Source: 40th Annual Survey Report 2008-09 Academic Year. tiol Association of State Student Grant and Aid Programs, 2010). Table 2</t>
  </si>
  <si>
    <t>Source: 41st Annual Survey Report 2009-10 Academic Year. tiol Association of State Student Grant and Aid Programs, 2011). Table 2</t>
  </si>
  <si>
    <t>(see T5 for</t>
  </si>
  <si>
    <t>(see T7 for</t>
  </si>
  <si>
    <t xml:space="preserve"> loan amt.)</t>
  </si>
  <si>
    <t>Grand Total (millions)</t>
  </si>
  <si>
    <t>Non-Need-Based</t>
  </si>
  <si>
    <t>Other</t>
  </si>
  <si>
    <t>Total</t>
  </si>
  <si>
    <t>continued</t>
  </si>
  <si>
    <t>State Scholarships, Grants and Other Financial Aid Funds</t>
  </si>
  <si>
    <t>Scholarships and Grants Based on Need</t>
  </si>
  <si>
    <t xml:space="preserve"> </t>
  </si>
  <si>
    <t>Scholarships and Grants Not Based on Need</t>
  </si>
  <si>
    <r>
      <t>Other Financial Aid</t>
    </r>
    <r>
      <rPr>
        <vertAlign val="superscript"/>
        <sz val="10"/>
        <rFont val="Arial"/>
        <family val="2"/>
      </rPr>
      <t>1</t>
    </r>
  </si>
  <si>
    <t>Subtotal</t>
  </si>
  <si>
    <t>Undergraduate</t>
  </si>
  <si>
    <t>Graduate</t>
  </si>
  <si>
    <t>Uncategorized</t>
  </si>
  <si>
    <r>
      <t>Total</t>
    </r>
    <r>
      <rPr>
        <vertAlign val="superscript"/>
        <sz val="10"/>
        <rFont val="Arial"/>
        <family val="2"/>
      </rPr>
      <t>1</t>
    </r>
  </si>
  <si>
    <t>Percent</t>
  </si>
  <si>
    <t>Change</t>
  </si>
  <si>
    <t>Percent of</t>
  </si>
  <si>
    <t xml:space="preserve">(in </t>
  </si>
  <si>
    <t>thousands)</t>
  </si>
  <si>
    <t>Sources:</t>
  </si>
  <si>
    <t>Total State Student Financial Aid as a Percent of Federal Pell Grants Awarded</t>
  </si>
  <si>
    <t>Undergraduate State Student Financial Aid as a Percent of Federal Pell Grants Awarded in the State</t>
  </si>
  <si>
    <t>Federal Pell Grants to Undergraduates Awarded in State</t>
  </si>
  <si>
    <t>State Aid to Undergraduates</t>
  </si>
  <si>
    <t>rank</t>
  </si>
  <si>
    <t>Increase</t>
  </si>
  <si>
    <t>National Association of State Scholarship and Grant Programs.</t>
  </si>
  <si>
    <t>Office of Postsecondary Education, U.S. Department of Education.</t>
  </si>
  <si>
    <t>2010-11</t>
  </si>
  <si>
    <t>Source: 42nd Annual Survey Report 2010-11 Academic Year. tiol Association of State Student Grant and Aid Programs, 2011). Table 2</t>
  </si>
  <si>
    <t>Source: '41st Annual Survey Report '2008-09 Academic Year. National Association of State Student Grant and Aid Programs, '2011). Table 1</t>
  </si>
  <si>
    <t>Source: '42nd Annual Survey Report '2010-11 Academic Year. National Association of State Student Grant and Aid Programs, '2012). Table 1</t>
  </si>
  <si>
    <t>Other Aid: Total Non-Grant</t>
  </si>
  <si>
    <t>2011-12</t>
  </si>
  <si>
    <t>Source: '43rd Annual Survey Report '2011-12 Academic Year. National Association of State Student Grant and Aid Programs, '2013). Table 1</t>
  </si>
  <si>
    <t>Source: 43rd Annual Survey Report 2011-12 Academic Year. tiol Association of State Student Grant and Aid Programs, 2012). Table 2</t>
  </si>
  <si>
    <t>Points Change</t>
  </si>
  <si>
    <t>2012-13</t>
  </si>
  <si>
    <t>Source: '44th Annual Survey Report '2012-13 Academic Year. National Association of State Student Grant and Aid Programs, '2014). Table 1</t>
  </si>
  <si>
    <t>Source: 44th Annual Survey Report 2012-13 Academic Year. National Association of State Student Grant and Aid Programs, 2014). Table 2</t>
  </si>
  <si>
    <t>Start Here</t>
  </si>
  <si>
    <r>
      <t>1</t>
    </r>
    <r>
      <rPr>
        <sz val="10"/>
        <rFont val="Arial"/>
        <family val="2"/>
      </rPr>
      <t>Reports on "Other Financial Aid" amounts are not consistent over time, so change statistics are not shown for Other Financial Aid or for Total.</t>
    </r>
  </si>
  <si>
    <t>2013-14</t>
  </si>
  <si>
    <t>Source: '45th Annual Survey Report '2013-14 Academic Year. National Association of State Student Grant and Aid Programs, '2015). Table 1</t>
  </si>
  <si>
    <t>Source: 45th Annual Survey Report 2013-14 Academic Year. National Association of State Student Grant and Aid Programs, 2015). Table 2</t>
  </si>
  <si>
    <t>2014-15</t>
  </si>
  <si>
    <t>Source: '46th Annual Survey Report '2014-15 Academic Year. National Association of State Student Grant and Aid Programs, '2016). Table 1</t>
  </si>
  <si>
    <r>
      <rPr>
        <b/>
        <sz val="10"/>
        <color rgb="FFC00000"/>
        <rFont val="Arial"/>
        <family val="2"/>
      </rPr>
      <t>COMPARE CALCULATED  NUMBERS TO:</t>
    </r>
    <r>
      <rPr>
        <sz val="10"/>
        <rFont val="Arial"/>
        <family val="2"/>
      </rPr>
      <t xml:space="preserve"> '46th Annual Survey Report '2014-15 Academic Year. National Association of State Student Grant and Aid Programs, '2016). Table 3</t>
    </r>
  </si>
  <si>
    <r>
      <t xml:space="preserve">Percent Change in Scholarships and Grants </t>
    </r>
    <r>
      <rPr>
        <b/>
        <u/>
        <sz val="12"/>
        <rFont val="Arial"/>
        <family val="2"/>
      </rPr>
      <t>Based on Need</t>
    </r>
    <r>
      <rPr>
        <b/>
        <sz val="12"/>
        <rFont val="Arial"/>
        <family val="2"/>
      </rPr>
      <t>, 2009-10 to 2014-15</t>
    </r>
  </si>
  <si>
    <r>
      <t xml:space="preserve">Percent Change in Scholarships and Grants </t>
    </r>
    <r>
      <rPr>
        <b/>
        <u/>
        <sz val="12"/>
        <rFont val="Arial"/>
        <family val="2"/>
      </rPr>
      <t>Not Based on Need</t>
    </r>
    <r>
      <rPr>
        <b/>
        <sz val="12"/>
        <rFont val="Arial"/>
        <family val="2"/>
      </rPr>
      <t>, 2009-10 to 2014-15</t>
    </r>
  </si>
  <si>
    <t>"—" indicates not reported. There was not a program of this type in at least one of the years included in this table.</t>
  </si>
  <si>
    <t>COMPARE CALCULATED  NUMBERS TO: '46th Annual Survey Report '2014-15 Academic Year. National Association of State Student Grant and Aid Programs, '2016). Table 3</t>
  </si>
  <si>
    <t>2015-16</t>
  </si>
  <si>
    <t>Source: '47th Annual Survey Report '2015-16 Academic Year. National Association of State Student Grant and Aid Programs, '2017). Table 1</t>
  </si>
  <si>
    <t>Source: 46th Annual Survey Report 2014-15 Academic Year. National Association of State Student Grant and Aid Programs, 2016). Table 2</t>
  </si>
  <si>
    <t>Source: 46th Annual Survey Report 2015-16 Academic Year. National Association of State Student Grant and Aid Programs, 2017). Table 2</t>
  </si>
  <si>
    <t>2016-17</t>
  </si>
  <si>
    <t>COMPARE CALCULATED  NUMBERS TO: '47th Annual Survey Report '2015-16 Academic Year. National Association of State Student Grant and Aid Programs, '2017). Table 3</t>
  </si>
  <si>
    <t>Source: '48th Annual Survey Report '2016-17 Academic Year. National Association of State Student Grant and Aid Programs, '2018). Table 1</t>
  </si>
  <si>
    <t>Source: 46th Annual Survey Report 2016-17 Academic Year. National Association of State Student Grant and Aid Programs, 2018. Table 2</t>
  </si>
  <si>
    <t>2011-12 to</t>
  </si>
  <si>
    <r>
      <rPr>
        <i/>
        <sz val="10"/>
        <rFont val="Arial"/>
        <family val="2"/>
      </rPr>
      <t xml:space="preserve">42nd Annual Survey Report, Academic Year 2011-12 </t>
    </r>
    <r>
      <rPr>
        <sz val="10"/>
        <rFont val="Arial"/>
        <family val="2"/>
      </rPr>
      <t xml:space="preserve">(2013) and </t>
    </r>
    <r>
      <rPr>
        <i/>
        <sz val="10"/>
        <rFont val="Arial"/>
        <family val="2"/>
      </rPr>
      <t xml:space="preserve">47th Annual Survey Report on State-Sponsored Student Financial Aid, </t>
    </r>
    <r>
      <rPr>
        <sz val="10"/>
        <rFont val="Arial"/>
        <family val="2"/>
      </rPr>
      <t>2016-17</t>
    </r>
    <r>
      <rPr>
        <i/>
        <sz val="10"/>
        <rFont val="Arial"/>
        <family val="2"/>
      </rPr>
      <t xml:space="preserve"> Academic Year </t>
    </r>
    <r>
      <rPr>
        <sz val="10"/>
        <rFont val="Arial"/>
        <family val="2"/>
      </rPr>
      <t>(2018), National Association of State Student Grant and Aid Programs  — www.nassgap.org.</t>
    </r>
  </si>
  <si>
    <t>*Indicates greater than 500 percent increase.</t>
  </si>
  <si>
    <t>Table 67 (OLD Table 68)</t>
  </si>
  <si>
    <t>Table 67</t>
  </si>
  <si>
    <t>Feb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</si>
</sst>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#,##0.000"/>
    <numFmt numFmtId="165" formatCode="#,##0.000_);\(#,##0.000\)"/>
    <numFmt numFmtId="166" formatCode="0.0%"/>
    <numFmt numFmtId="167" formatCode="&quot;$&quot;#,##0"/>
    <numFmt numFmtId="168" formatCode="#,##0.0"/>
    <numFmt numFmtId="169" formatCode="_(* #,##0_);_(* \(#,##0\);_(* &quot;-&quot;??_);_(@_)"/>
    <numFmt numFmtId="170" formatCode="#,##0.0_);\(#,##0.0\)"/>
    <numFmt numFmtId="171" formatCode="0.000"/>
  </numFmts>
  <fonts count="25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12"/>
      <name val="Arial"/>
      <family val="2"/>
    </font>
    <font>
      <sz val="10"/>
      <name val="SWISS-C"/>
    </font>
    <font>
      <vertAlign val="superscript"/>
      <sz val="10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FF"/>
      <name val="Arial"/>
      <family val="2"/>
    </font>
    <font>
      <b/>
      <sz val="10"/>
      <color rgb="FFC0000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CDD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wrapText="1"/>
    </xf>
    <xf numFmtId="0" fontId="18" fillId="0" borderId="0"/>
  </cellStyleXfs>
  <cellXfs count="303">
    <xf numFmtId="0" fontId="0" fillId="0" borderId="0" xfId="0"/>
    <xf numFmtId="37" fontId="2" fillId="0" borderId="1" xfId="0" applyNumberFormat="1" applyFont="1" applyBorder="1" applyAlignment="1">
      <alignment horizontal="left"/>
    </xf>
    <xf numFmtId="37" fontId="2" fillId="0" borderId="1" xfId="0" applyNumberFormat="1" applyFont="1" applyBorder="1" applyAlignment="1">
      <alignment horizontal="right"/>
    </xf>
    <xf numFmtId="37" fontId="3" fillId="2" borderId="1" xfId="0" applyNumberFormat="1" applyFont="1" applyFill="1" applyBorder="1" applyAlignment="1">
      <alignment horizontal="left"/>
    </xf>
    <xf numFmtId="37" fontId="3" fillId="2" borderId="1" xfId="0" applyNumberFormat="1" applyFont="1" applyFill="1" applyBorder="1" applyAlignment="1">
      <alignment horizontal="right"/>
    </xf>
    <xf numFmtId="37" fontId="0" fillId="0" borderId="0" xfId="0" applyNumberFormat="1"/>
    <xf numFmtId="37" fontId="0" fillId="0" borderId="1" xfId="0" applyNumberFormat="1" applyBorder="1" applyAlignment="1">
      <alignment horizontal="righ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0" borderId="2" xfId="0" applyNumberFormat="1" applyFont="1" applyBorder="1" applyAlignment="1">
      <alignment horizontal="left"/>
    </xf>
    <xf numFmtId="37" fontId="3" fillId="2" borderId="3" xfId="0" applyNumberFormat="1" applyFont="1" applyFill="1" applyBorder="1" applyAlignment="1">
      <alignment horizontal="left"/>
    </xf>
    <xf numFmtId="37" fontId="3" fillId="2" borderId="0" xfId="0" applyNumberFormat="1" applyFont="1" applyFill="1" applyAlignment="1">
      <alignment horizontal="right"/>
    </xf>
    <xf numFmtId="37" fontId="0" fillId="0" borderId="0" xfId="0" applyNumberFormat="1" applyAlignment="1">
      <alignment horizontal="right"/>
    </xf>
    <xf numFmtId="37" fontId="2" fillId="0" borderId="4" xfId="0" applyNumberFormat="1" applyFont="1" applyBorder="1" applyAlignment="1">
      <alignment horizontal="right"/>
    </xf>
    <xf numFmtId="37" fontId="2" fillId="0" borderId="2" xfId="0" applyNumberFormat="1" applyFont="1" applyBorder="1" applyAlignment="1">
      <alignment horizontal="right"/>
    </xf>
    <xf numFmtId="37" fontId="3" fillId="2" borderId="2" xfId="0" applyNumberFormat="1" applyFont="1" applyFill="1" applyBorder="1" applyAlignment="1">
      <alignment horizontal="right"/>
    </xf>
    <xf numFmtId="37" fontId="3" fillId="2" borderId="4" xfId="0" applyNumberFormat="1" applyFont="1" applyFill="1" applyBorder="1" applyAlignment="1">
      <alignment horizontal="right"/>
    </xf>
    <xf numFmtId="37" fontId="2" fillId="0" borderId="5" xfId="0" applyNumberFormat="1" applyFont="1" applyBorder="1"/>
    <xf numFmtId="164" fontId="3" fillId="0" borderId="5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37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37" fontId="2" fillId="0" borderId="6" xfId="0" applyNumberFormat="1" applyFont="1" applyBorder="1" applyAlignment="1">
      <alignment horizontal="right"/>
    </xf>
    <xf numFmtId="37" fontId="3" fillId="2" borderId="6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6" xfId="0" applyNumberFormat="1" applyFont="1" applyBorder="1" applyAlignment="1">
      <alignment horizontal="right"/>
    </xf>
    <xf numFmtId="37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5" fontId="3" fillId="2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164" fontId="2" fillId="0" borderId="0" xfId="0" quotePrefix="1" applyNumberFormat="1" applyFont="1" applyAlignment="1">
      <alignment horizontal="right"/>
    </xf>
    <xf numFmtId="164" fontId="2" fillId="0" borderId="6" xfId="0" quotePrefix="1" applyNumberFormat="1" applyFont="1" applyBorder="1" applyAlignment="1">
      <alignment horizontal="right"/>
    </xf>
    <xf numFmtId="164" fontId="3" fillId="2" borderId="6" xfId="0" quotePrefix="1" applyNumberFormat="1" applyFont="1" applyFill="1" applyBorder="1" applyAlignment="1">
      <alignment horizontal="right"/>
    </xf>
    <xf numFmtId="164" fontId="3" fillId="2" borderId="0" xfId="0" quotePrefix="1" applyNumberFormat="1" applyFont="1" applyFill="1" applyAlignment="1">
      <alignment horizontal="right"/>
    </xf>
    <xf numFmtId="37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2" fillId="0" borderId="5" xfId="0" applyFont="1" applyBorder="1"/>
    <xf numFmtId="164" fontId="2" fillId="0" borderId="5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49" fontId="2" fillId="0" borderId="0" xfId="0" applyNumberFormat="1" applyFont="1" applyAlignment="1">
      <alignment vertical="top" wrapText="1"/>
    </xf>
    <xf numFmtId="49" fontId="3" fillId="2" borderId="0" xfId="0" applyNumberFormat="1" applyFont="1" applyFill="1" applyAlignment="1">
      <alignment vertical="top" wrapText="1"/>
    </xf>
    <xf numFmtId="37" fontId="3" fillId="2" borderId="0" xfId="0" applyNumberFormat="1" applyFont="1" applyFill="1"/>
    <xf numFmtId="0" fontId="2" fillId="0" borderId="0" xfId="0" applyFont="1"/>
    <xf numFmtId="165" fontId="2" fillId="0" borderId="1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4" xfId="0" quotePrefix="1" applyNumberFormat="1" applyFont="1" applyBorder="1" applyAlignment="1">
      <alignment horizontal="right"/>
    </xf>
    <xf numFmtId="37" fontId="2" fillId="0" borderId="4" xfId="0" quotePrefix="1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/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/>
    <xf numFmtId="164" fontId="2" fillId="3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164" fontId="8" fillId="0" borderId="0" xfId="0" quotePrefix="1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/>
    <xf numFmtId="164" fontId="3" fillId="0" borderId="0" xfId="0" quotePrefix="1" applyNumberFormat="1" applyFont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5" xfId="0" quotePrefix="1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 vertical="center"/>
    </xf>
    <xf numFmtId="49" fontId="2" fillId="0" borderId="0" xfId="0" applyNumberFormat="1" applyFont="1"/>
    <xf numFmtId="37" fontId="9" fillId="0" borderId="0" xfId="0" applyNumberFormat="1" applyFont="1"/>
    <xf numFmtId="37" fontId="2" fillId="5" borderId="0" xfId="0" applyNumberFormat="1" applyFont="1" applyFill="1" applyAlignment="1">
      <alignment horizontal="left"/>
    </xf>
    <xf numFmtId="37" fontId="2" fillId="5" borderId="0" xfId="0" applyNumberFormat="1" applyFont="1" applyFill="1" applyAlignment="1">
      <alignment horizontal="right"/>
    </xf>
    <xf numFmtId="165" fontId="2" fillId="5" borderId="0" xfId="0" applyNumberFormat="1" applyFont="1" applyFill="1" applyAlignment="1">
      <alignment horizontal="right"/>
    </xf>
    <xf numFmtId="37" fontId="2" fillId="5" borderId="1" xfId="0" applyNumberFormat="1" applyFont="1" applyFill="1" applyBorder="1" applyAlignment="1">
      <alignment horizontal="right"/>
    </xf>
    <xf numFmtId="37" fontId="2" fillId="5" borderId="5" xfId="0" applyNumberFormat="1" applyFont="1" applyFill="1" applyBorder="1" applyAlignment="1">
      <alignment horizontal="right"/>
    </xf>
    <xf numFmtId="165" fontId="2" fillId="5" borderId="5" xfId="0" quotePrefix="1" applyNumberFormat="1" applyFont="1" applyFill="1" applyBorder="1" applyAlignment="1">
      <alignment horizontal="right"/>
    </xf>
    <xf numFmtId="37" fontId="2" fillId="5" borderId="5" xfId="0" quotePrefix="1" applyNumberFormat="1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164" fontId="8" fillId="5" borderId="0" xfId="0" applyNumberFormat="1" applyFont="1" applyFill="1" applyAlignment="1">
      <alignment horizontal="right"/>
    </xf>
    <xf numFmtId="164" fontId="8" fillId="5" borderId="5" xfId="0" applyNumberFormat="1" applyFont="1" applyFill="1" applyBorder="1" applyAlignment="1">
      <alignment horizontal="right"/>
    </xf>
    <xf numFmtId="49" fontId="2" fillId="0" borderId="0" xfId="0" quotePrefix="1" applyNumberFormat="1" applyFont="1"/>
    <xf numFmtId="37" fontId="9" fillId="0" borderId="0" xfId="0" applyNumberFormat="1" applyFont="1" applyAlignment="1">
      <alignment horizontal="right"/>
    </xf>
    <xf numFmtId="49" fontId="2" fillId="5" borderId="0" xfId="0" applyNumberFormat="1" applyFont="1" applyFill="1" applyAlignment="1">
      <alignment horizontal="left"/>
    </xf>
    <xf numFmtId="37" fontId="2" fillId="5" borderId="0" xfId="0" applyNumberFormat="1" applyFont="1" applyFill="1"/>
    <xf numFmtId="49" fontId="2" fillId="5" borderId="1" xfId="0" applyNumberFormat="1" applyFont="1" applyFill="1" applyBorder="1" applyAlignment="1">
      <alignment horizontal="left"/>
    </xf>
    <xf numFmtId="49" fontId="2" fillId="5" borderId="5" xfId="0" applyNumberFormat="1" applyFont="1" applyFill="1" applyBorder="1"/>
    <xf numFmtId="166" fontId="3" fillId="2" borderId="3" xfId="2" applyNumberFormat="1" applyFont="1" applyFill="1" applyBorder="1" applyAlignment="1">
      <alignment horizontal="right"/>
    </xf>
    <xf numFmtId="166" fontId="3" fillId="2" borderId="5" xfId="2" applyNumberFormat="1" applyFont="1" applyFill="1" applyBorder="1" applyAlignment="1">
      <alignment horizontal="right"/>
    </xf>
    <xf numFmtId="49" fontId="2" fillId="5" borderId="0" xfId="0" applyNumberFormat="1" applyFont="1" applyFill="1"/>
    <xf numFmtId="166" fontId="3" fillId="2" borderId="6" xfId="2" applyNumberFormat="1" applyFont="1" applyFill="1" applyBorder="1" applyAlignment="1">
      <alignment horizontal="right"/>
    </xf>
    <xf numFmtId="166" fontId="3" fillId="2" borderId="0" xfId="2" applyNumberFormat="1" applyFont="1" applyFill="1" applyAlignment="1">
      <alignment horizontal="right"/>
    </xf>
    <xf numFmtId="9" fontId="2" fillId="5" borderId="0" xfId="2" applyFont="1" applyFill="1"/>
    <xf numFmtId="37" fontId="2" fillId="5" borderId="1" xfId="0" applyNumberFormat="1" applyFont="1" applyFill="1" applyBorder="1"/>
    <xf numFmtId="166" fontId="3" fillId="2" borderId="7" xfId="2" applyNumberFormat="1" applyFont="1" applyFill="1" applyBorder="1" applyAlignment="1">
      <alignment horizontal="right"/>
    </xf>
    <xf numFmtId="166" fontId="3" fillId="2" borderId="1" xfId="2" applyNumberFormat="1" applyFont="1" applyFill="1" applyBorder="1" applyAlignment="1">
      <alignment horizontal="right"/>
    </xf>
    <xf numFmtId="49" fontId="2" fillId="5" borderId="0" xfId="0" applyNumberFormat="1" applyFont="1" applyFill="1" applyAlignment="1">
      <alignment horizontal="center"/>
    </xf>
    <xf numFmtId="166" fontId="3" fillId="2" borderId="6" xfId="2" quotePrefix="1" applyNumberFormat="1" applyFont="1" applyFill="1" applyBorder="1" applyAlignment="1">
      <alignment horizontal="right"/>
    </xf>
    <xf numFmtId="166" fontId="3" fillId="2" borderId="0" xfId="2" quotePrefix="1" applyNumberFormat="1" applyFont="1" applyFill="1" applyAlignment="1">
      <alignment horizontal="right"/>
    </xf>
    <xf numFmtId="37" fontId="2" fillId="5" borderId="8" xfId="0" applyNumberFormat="1" applyFont="1" applyFill="1" applyBorder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right"/>
    </xf>
    <xf numFmtId="49" fontId="2" fillId="0" borderId="4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Continuous"/>
    </xf>
    <xf numFmtId="49" fontId="2" fillId="0" borderId="4" xfId="0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centerContinuous"/>
    </xf>
    <xf numFmtId="49" fontId="2" fillId="0" borderId="18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5" xfId="0" applyNumberFormat="1" applyFont="1" applyBorder="1"/>
    <xf numFmtId="49" fontId="2" fillId="0" borderId="15" xfId="0" applyNumberFormat="1" applyFont="1" applyBorder="1" applyAlignment="1">
      <alignment horizontal="right"/>
    </xf>
    <xf numFmtId="3" fontId="2" fillId="0" borderId="1" xfId="3" applyNumberFormat="1" applyFont="1" applyBorder="1" applyAlignment="1"/>
    <xf numFmtId="168" fontId="2" fillId="0" borderId="22" xfId="3" applyNumberFormat="1" applyFont="1" applyBorder="1" applyAlignment="1">
      <alignment horizontal="right"/>
    </xf>
    <xf numFmtId="168" fontId="2" fillId="0" borderId="1" xfId="3" applyNumberFormat="1" applyFont="1" applyBorder="1" applyAlignment="1">
      <alignment horizontal="right"/>
    </xf>
    <xf numFmtId="3" fontId="2" fillId="0" borderId="0" xfId="3" applyNumberFormat="1" applyFont="1" applyAlignment="1"/>
    <xf numFmtId="168" fontId="2" fillId="0" borderId="0" xfId="3" applyNumberFormat="1" applyFont="1" applyAlignment="1"/>
    <xf numFmtId="168" fontId="2" fillId="0" borderId="0" xfId="3" applyNumberFormat="1" applyFont="1" applyAlignment="1">
      <alignment horizontal="right"/>
    </xf>
    <xf numFmtId="3" fontId="2" fillId="0" borderId="6" xfId="3" applyNumberFormat="1" applyFont="1" applyBorder="1" applyAlignment="1">
      <alignment horizontal="right"/>
    </xf>
    <xf numFmtId="168" fontId="2" fillId="0" borderId="6" xfId="3" applyNumberFormat="1" applyFont="1" applyBorder="1" applyAlignment="1">
      <alignment horizontal="right"/>
    </xf>
    <xf numFmtId="3" fontId="2" fillId="6" borderId="0" xfId="3" applyNumberFormat="1" applyFont="1" applyFill="1" applyAlignment="1"/>
    <xf numFmtId="3" fontId="2" fillId="6" borderId="6" xfId="3" applyNumberFormat="1" applyFont="1" applyFill="1" applyBorder="1" applyAlignment="1">
      <alignment horizontal="right"/>
    </xf>
    <xf numFmtId="3" fontId="2" fillId="0" borderId="0" xfId="3" applyNumberFormat="1" applyFont="1" applyAlignment="1">
      <alignment horizontal="right"/>
    </xf>
    <xf numFmtId="3" fontId="2" fillId="0" borderId="1" xfId="3" applyNumberFormat="1" applyFont="1" applyBorder="1" applyAlignment="1">
      <alignment horizontal="right"/>
    </xf>
    <xf numFmtId="3" fontId="2" fillId="6" borderId="1" xfId="3" applyNumberFormat="1" applyFont="1" applyFill="1" applyBorder="1" applyAlignment="1"/>
    <xf numFmtId="168" fontId="2" fillId="6" borderId="1" xfId="3" applyNumberFormat="1" applyFont="1" applyFill="1" applyBorder="1" applyAlignment="1">
      <alignment horizontal="right"/>
    </xf>
    <xf numFmtId="3" fontId="2" fillId="6" borderId="7" xfId="3" applyNumberFormat="1" applyFont="1" applyFill="1" applyBorder="1" applyAlignment="1">
      <alignment horizontal="right"/>
    </xf>
    <xf numFmtId="3" fontId="2" fillId="6" borderId="1" xfId="3" applyNumberFormat="1" applyFont="1" applyFill="1" applyBorder="1" applyAlignment="1">
      <alignment horizontal="right"/>
    </xf>
    <xf numFmtId="3" fontId="2" fillId="0" borderId="4" xfId="3" applyNumberFormat="1" applyFont="1" applyBorder="1" applyAlignment="1"/>
    <xf numFmtId="3" fontId="2" fillId="0" borderId="4" xfId="3" applyNumberFormat="1" applyFont="1" applyBorder="1" applyAlignment="1">
      <alignment horizontal="right"/>
    </xf>
    <xf numFmtId="3" fontId="2" fillId="0" borderId="7" xfId="3" applyNumberFormat="1" applyFont="1" applyBorder="1" applyAlignment="1">
      <alignment horizontal="right"/>
    </xf>
    <xf numFmtId="3" fontId="2" fillId="6" borderId="5" xfId="3" applyNumberFormat="1" applyFont="1" applyFill="1" applyBorder="1" applyAlignment="1"/>
    <xf numFmtId="3" fontId="2" fillId="0" borderId="5" xfId="3" applyNumberFormat="1" applyFont="1" applyBorder="1" applyAlignment="1"/>
    <xf numFmtId="3" fontId="2" fillId="6" borderId="5" xfId="3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69" fontId="2" fillId="0" borderId="0" xfId="1" applyNumberFormat="1" applyFont="1" applyAlignment="1">
      <alignment horizontal="right"/>
    </xf>
    <xf numFmtId="37" fontId="2" fillId="0" borderId="0" xfId="0" applyNumberFormat="1" applyFont="1" applyAlignment="1">
      <alignment vertical="top" wrapText="1"/>
    </xf>
    <xf numFmtId="37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Continuous" wrapText="1"/>
    </xf>
    <xf numFmtId="49" fontId="2" fillId="0" borderId="1" xfId="0" applyNumberFormat="1" applyFont="1" applyBorder="1"/>
    <xf numFmtId="49" fontId="2" fillId="0" borderId="5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Continuous" wrapText="1"/>
    </xf>
    <xf numFmtId="49" fontId="2" fillId="0" borderId="23" xfId="0" applyNumberFormat="1" applyFont="1" applyBorder="1" applyAlignment="1">
      <alignment horizontal="centerContinuous" wrapText="1"/>
    </xf>
    <xf numFmtId="49" fontId="2" fillId="0" borderId="0" xfId="0" applyNumberFormat="1" applyFont="1" applyAlignment="1">
      <alignment horizontal="centerContinuous" wrapText="1"/>
    </xf>
    <xf numFmtId="37" fontId="2" fillId="0" borderId="5" xfId="0" applyNumberFormat="1" applyFont="1" applyBorder="1" applyAlignment="1">
      <alignment horizontal="right"/>
    </xf>
    <xf numFmtId="165" fontId="2" fillId="0" borderId="25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37" fontId="13" fillId="0" borderId="0" xfId="0" applyNumberFormat="1" applyFont="1"/>
    <xf numFmtId="37" fontId="14" fillId="0" borderId="26" xfId="0" applyNumberFormat="1" applyFont="1" applyBorder="1"/>
    <xf numFmtId="37" fontId="14" fillId="0" borderId="0" xfId="0" applyNumberFormat="1" applyFont="1"/>
    <xf numFmtId="37" fontId="14" fillId="0" borderId="27" xfId="0" applyNumberFormat="1" applyFont="1" applyBorder="1"/>
    <xf numFmtId="9" fontId="2" fillId="0" borderId="0" xfId="2" applyFont="1"/>
    <xf numFmtId="37" fontId="13" fillId="0" borderId="1" xfId="0" applyNumberFormat="1" applyFont="1" applyBorder="1"/>
    <xf numFmtId="37" fontId="14" fillId="0" borderId="25" xfId="0" applyNumberFormat="1" applyFont="1" applyBorder="1"/>
    <xf numFmtId="37" fontId="14" fillId="0" borderId="1" xfId="0" applyNumberFormat="1" applyFont="1" applyBorder="1"/>
    <xf numFmtId="37" fontId="2" fillId="0" borderId="0" xfId="0" applyNumberFormat="1" applyFont="1" applyAlignment="1">
      <alignment vertical="top"/>
    </xf>
    <xf numFmtId="37" fontId="2" fillId="0" borderId="0" xfId="0" applyNumberFormat="1" applyFont="1" applyAlignment="1">
      <alignment horizontal="left" vertical="top" wrapText="1"/>
    </xf>
    <xf numFmtId="164" fontId="3" fillId="0" borderId="1" xfId="0" applyNumberFormat="1" applyFont="1" applyBorder="1" applyAlignment="1">
      <alignment horizontal="right"/>
    </xf>
    <xf numFmtId="49" fontId="2" fillId="0" borderId="20" xfId="0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right"/>
    </xf>
    <xf numFmtId="168" fontId="2" fillId="6" borderId="0" xfId="3" applyNumberFormat="1" applyFont="1" applyFill="1" applyAlignment="1">
      <alignment horizontal="right"/>
    </xf>
    <xf numFmtId="49" fontId="2" fillId="0" borderId="9" xfId="0" applyNumberFormat="1" applyFont="1" applyBorder="1" applyAlignment="1">
      <alignment horizontal="centerContinuous"/>
    </xf>
    <xf numFmtId="49" fontId="2" fillId="0" borderId="10" xfId="0" applyNumberFormat="1" applyFont="1" applyBorder="1" applyAlignment="1">
      <alignment horizontal="centerContinuous"/>
    </xf>
    <xf numFmtId="49" fontId="2" fillId="0" borderId="13" xfId="0" applyNumberFormat="1" applyFont="1" applyBorder="1" applyAlignment="1">
      <alignment horizontal="centerContinuous"/>
    </xf>
    <xf numFmtId="49" fontId="2" fillId="0" borderId="14" xfId="0" applyNumberFormat="1" applyFont="1" applyBorder="1" applyAlignment="1">
      <alignment horizontal="centerContinuous"/>
    </xf>
    <xf numFmtId="49" fontId="2" fillId="0" borderId="15" xfId="0" applyNumberFormat="1" applyFont="1" applyBorder="1" applyAlignment="1">
      <alignment horizontal="centerContinuous"/>
    </xf>
    <xf numFmtId="49" fontId="2" fillId="0" borderId="17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left" wrapText="1"/>
    </xf>
    <xf numFmtId="3" fontId="2" fillId="0" borderId="28" xfId="3" applyNumberFormat="1" applyFont="1" applyBorder="1" applyAlignment="1">
      <alignment horizontal="right"/>
    </xf>
    <xf numFmtId="168" fontId="2" fillId="0" borderId="28" xfId="3" applyNumberFormat="1" applyFont="1" applyBorder="1" applyAlignment="1">
      <alignment horizontal="right"/>
    </xf>
    <xf numFmtId="3" fontId="2" fillId="6" borderId="28" xfId="3" applyNumberFormat="1" applyFont="1" applyFill="1" applyBorder="1" applyAlignment="1">
      <alignment horizontal="right"/>
    </xf>
    <xf numFmtId="37" fontId="2" fillId="0" borderId="0" xfId="0" applyNumberFormat="1" applyFont="1" applyAlignment="1">
      <alignment horizontal="right" vertical="top"/>
    </xf>
    <xf numFmtId="37" fontId="2" fillId="0" borderId="0" xfId="0" applyNumberFormat="1" applyFont="1" applyAlignment="1">
      <alignment horizontal="left" vertical="top"/>
    </xf>
    <xf numFmtId="37" fontId="2" fillId="0" borderId="0" xfId="0" quotePrefix="1" applyNumberFormat="1" applyFont="1" applyAlignment="1">
      <alignment horizontal="right"/>
    </xf>
    <xf numFmtId="168" fontId="2" fillId="0" borderId="0" xfId="0" applyNumberFormat="1" applyFont="1"/>
    <xf numFmtId="3" fontId="2" fillId="6" borderId="0" xfId="3" applyNumberFormat="1" applyFont="1" applyFill="1" applyAlignment="1">
      <alignment horizontal="right"/>
    </xf>
    <xf numFmtId="37" fontId="10" fillId="0" borderId="0" xfId="0" quotePrefix="1" applyNumberFormat="1" applyFont="1" applyAlignment="1">
      <alignment horizontal="right" vertical="top"/>
    </xf>
    <xf numFmtId="37" fontId="14" fillId="0" borderId="4" xfId="0" applyNumberFormat="1" applyFont="1" applyBorder="1"/>
    <xf numFmtId="3" fontId="3" fillId="0" borderId="6" xfId="0" applyNumberFormat="1" applyFont="1" applyBorder="1"/>
    <xf numFmtId="9" fontId="3" fillId="0" borderId="0" xfId="2" applyFont="1"/>
    <xf numFmtId="37" fontId="8" fillId="0" borderId="4" xfId="0" quotePrefix="1" applyNumberFormat="1" applyFont="1" applyBorder="1"/>
    <xf numFmtId="37" fontId="8" fillId="0" borderId="0" xfId="0" quotePrefix="1" applyNumberFormat="1" applyFont="1"/>
    <xf numFmtId="3" fontId="3" fillId="0" borderId="7" xfId="0" applyNumberFormat="1" applyFont="1" applyBorder="1"/>
    <xf numFmtId="9" fontId="3" fillId="0" borderId="1" xfId="2" applyFont="1" applyBorder="1"/>
    <xf numFmtId="37" fontId="8" fillId="0" borderId="1" xfId="0" quotePrefix="1" applyNumberFormat="1" applyFont="1" applyBorder="1"/>
    <xf numFmtId="37" fontId="3" fillId="0" borderId="0" xfId="0" applyNumberFormat="1" applyFont="1" applyAlignment="1">
      <alignment horizontal="centerContinuous" wrapText="1"/>
    </xf>
    <xf numFmtId="37" fontId="3" fillId="0" borderId="1" xfId="0" applyNumberFormat="1" applyFont="1" applyBorder="1" applyAlignment="1">
      <alignment horizontal="centerContinuous" wrapText="1"/>
    </xf>
    <xf numFmtId="165" fontId="3" fillId="7" borderId="1" xfId="0" applyNumberFormat="1" applyFont="1" applyFill="1" applyBorder="1" applyAlignment="1">
      <alignment horizontal="right"/>
    </xf>
    <xf numFmtId="37" fontId="3" fillId="0" borderId="5" xfId="0" applyNumberFormat="1" applyFont="1" applyBorder="1" applyAlignment="1">
      <alignment horizontal="right"/>
    </xf>
    <xf numFmtId="168" fontId="3" fillId="0" borderId="0" xfId="0" applyNumberFormat="1" applyFont="1" applyAlignment="1">
      <alignment horizontal="right"/>
    </xf>
    <xf numFmtId="168" fontId="3" fillId="7" borderId="0" xfId="0" applyNumberFormat="1" applyFont="1" applyFill="1" applyAlignment="1">
      <alignment horizontal="right"/>
    </xf>
    <xf numFmtId="170" fontId="3" fillId="7" borderId="0" xfId="0" applyNumberFormat="1" applyFont="1" applyFill="1"/>
    <xf numFmtId="3" fontId="3" fillId="7" borderId="0" xfId="0" applyNumberFormat="1" applyFont="1" applyFill="1" applyAlignment="1">
      <alignment horizontal="right"/>
    </xf>
    <xf numFmtId="168" fontId="3" fillId="0" borderId="1" xfId="0" applyNumberFormat="1" applyFont="1" applyBorder="1" applyAlignment="1">
      <alignment horizontal="right"/>
    </xf>
    <xf numFmtId="3" fontId="3" fillId="7" borderId="1" xfId="0" applyNumberFormat="1" applyFont="1" applyFill="1" applyBorder="1" applyAlignment="1">
      <alignment horizontal="right"/>
    </xf>
    <xf numFmtId="37" fontId="3" fillId="0" borderId="0" xfId="0" applyNumberFormat="1" applyFont="1" applyAlignment="1">
      <alignment vertical="top"/>
    </xf>
    <xf numFmtId="37" fontId="3" fillId="0" borderId="0" xfId="0" applyNumberFormat="1" applyFont="1"/>
    <xf numFmtId="37" fontId="3" fillId="0" borderId="0" xfId="0" applyNumberFormat="1" applyFont="1" applyAlignment="1">
      <alignment horizontal="center"/>
    </xf>
    <xf numFmtId="168" fontId="3" fillId="0" borderId="0" xfId="0" applyNumberFormat="1" applyFont="1"/>
    <xf numFmtId="168" fontId="3" fillId="0" borderId="0" xfId="0" applyNumberFormat="1" applyFont="1" applyAlignment="1">
      <alignment vertical="top"/>
    </xf>
    <xf numFmtId="168" fontId="3" fillId="0" borderId="1" xfId="0" applyNumberFormat="1" applyFont="1" applyBorder="1"/>
    <xf numFmtId="37" fontId="3" fillId="7" borderId="0" xfId="0" applyNumberFormat="1" applyFont="1" applyFill="1" applyAlignment="1">
      <alignment vertical="top"/>
    </xf>
    <xf numFmtId="37" fontId="3" fillId="7" borderId="0" xfId="0" applyNumberFormat="1" applyFont="1" applyFill="1"/>
    <xf numFmtId="37" fontId="3" fillId="7" borderId="1" xfId="0" applyNumberFormat="1" applyFont="1" applyFill="1" applyBorder="1"/>
    <xf numFmtId="37" fontId="3" fillId="0" borderId="0" xfId="0" applyNumberFormat="1" applyFont="1" applyAlignment="1">
      <alignment horizontal="right" wrapText="1"/>
    </xf>
    <xf numFmtId="37" fontId="3" fillId="0" borderId="1" xfId="0" applyNumberFormat="1" applyFont="1" applyBorder="1" applyAlignment="1">
      <alignment horizontal="right" wrapText="1"/>
    </xf>
    <xf numFmtId="170" fontId="3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/>
    </xf>
    <xf numFmtId="170" fontId="3" fillId="0" borderId="1" xfId="0" applyNumberFormat="1" applyFont="1" applyBorder="1" applyAlignment="1">
      <alignment horizontal="right"/>
    </xf>
    <xf numFmtId="167" fontId="2" fillId="0" borderId="22" xfId="3" applyNumberFormat="1" applyFont="1" applyBorder="1" applyAlignment="1">
      <alignment horizontal="right"/>
    </xf>
    <xf numFmtId="167" fontId="2" fillId="0" borderId="3" xfId="3" applyNumberFormat="1" applyFont="1" applyBorder="1" applyAlignment="1">
      <alignment horizontal="right"/>
    </xf>
    <xf numFmtId="49" fontId="3" fillId="0" borderId="0" xfId="0" applyNumberFormat="1" applyFont="1" applyAlignment="1">
      <alignment vertical="top" wrapText="1"/>
    </xf>
    <xf numFmtId="37" fontId="3" fillId="2" borderId="3" xfId="0" applyNumberFormat="1" applyFont="1" applyFill="1" applyBorder="1" applyAlignment="1">
      <alignment horizontal="right"/>
    </xf>
    <xf numFmtId="168" fontId="2" fillId="0" borderId="5" xfId="3" applyNumberFormat="1" applyFont="1" applyBorder="1" applyAlignment="1">
      <alignment horizontal="right"/>
    </xf>
    <xf numFmtId="167" fontId="2" fillId="0" borderId="24" xfId="3" applyNumberFormat="1" applyFont="1" applyBorder="1" applyAlignment="1">
      <alignment horizontal="right"/>
    </xf>
    <xf numFmtId="0" fontId="0" fillId="0" borderId="0" xfId="0" applyAlignment="1">
      <alignment horizontal="centerContinuous" wrapText="1"/>
    </xf>
    <xf numFmtId="0" fontId="0" fillId="0" borderId="30" xfId="0" applyBorder="1" applyAlignment="1">
      <alignment horizontal="centerContinuous" wrapText="1"/>
    </xf>
    <xf numFmtId="37" fontId="16" fillId="0" borderId="0" xfId="0" applyNumberFormat="1" applyFont="1" applyAlignment="1">
      <alignment horizontal="centerContinuous" vertical="top"/>
    </xf>
    <xf numFmtId="49" fontId="16" fillId="0" borderId="0" xfId="0" applyNumberFormat="1" applyFont="1" applyAlignment="1">
      <alignment horizontal="centerContinuous" vertical="top"/>
    </xf>
    <xf numFmtId="165" fontId="3" fillId="0" borderId="29" xfId="0" applyNumberFormat="1" applyFont="1" applyBorder="1" applyAlignment="1">
      <alignment horizontal="right"/>
    </xf>
    <xf numFmtId="37" fontId="3" fillId="0" borderId="24" xfId="0" applyNumberFormat="1" applyFont="1" applyBorder="1" applyAlignment="1">
      <alignment horizontal="right" wrapText="1"/>
    </xf>
    <xf numFmtId="49" fontId="21" fillId="0" borderId="0" xfId="0" applyNumberFormat="1" applyFont="1" applyAlignment="1">
      <alignment horizontal="centerContinuous" wrapText="1"/>
    </xf>
    <xf numFmtId="49" fontId="2" fillId="0" borderId="31" xfId="0" applyNumberFormat="1" applyFont="1" applyBorder="1" applyAlignment="1">
      <alignment horizontal="centerContinuous" wrapText="1"/>
    </xf>
    <xf numFmtId="165" fontId="2" fillId="0" borderId="32" xfId="0" applyNumberFormat="1" applyFont="1" applyBorder="1" applyAlignment="1">
      <alignment horizontal="right"/>
    </xf>
    <xf numFmtId="37" fontId="8" fillId="0" borderId="33" xfId="0" quotePrefix="1" applyNumberFormat="1" applyFont="1" applyBorder="1"/>
    <xf numFmtId="37" fontId="8" fillId="0" borderId="34" xfId="0" quotePrefix="1" applyNumberFormat="1" applyFont="1" applyBorder="1"/>
    <xf numFmtId="37" fontId="8" fillId="0" borderId="32" xfId="0" quotePrefix="1" applyNumberFormat="1" applyFont="1" applyBorder="1"/>
    <xf numFmtId="37" fontId="2" fillId="8" borderId="4" xfId="0" applyNumberFormat="1" applyFont="1" applyFill="1" applyBorder="1" applyAlignment="1">
      <alignment horizontal="right"/>
    </xf>
    <xf numFmtId="37" fontId="3" fillId="8" borderId="0" xfId="0" applyNumberFormat="1" applyFont="1" applyFill="1" applyAlignment="1">
      <alignment horizontal="right"/>
    </xf>
    <xf numFmtId="171" fontId="2" fillId="0" borderId="0" xfId="0" applyNumberFormat="1" applyFont="1"/>
    <xf numFmtId="171" fontId="2" fillId="0" borderId="1" xfId="0" applyNumberFormat="1" applyFont="1" applyBorder="1"/>
    <xf numFmtId="171" fontId="0" fillId="0" borderId="0" xfId="0" applyNumberFormat="1" applyAlignment="1">
      <alignment vertical="center" wrapText="1"/>
    </xf>
    <xf numFmtId="37" fontId="3" fillId="8" borderId="4" xfId="0" applyNumberFormat="1" applyFont="1" applyFill="1" applyBorder="1" applyAlignment="1">
      <alignment horizontal="right"/>
    </xf>
    <xf numFmtId="166" fontId="3" fillId="2" borderId="22" xfId="2" applyNumberFormat="1" applyFont="1" applyFill="1" applyBorder="1" applyAlignment="1">
      <alignment horizontal="right"/>
    </xf>
    <xf numFmtId="165" fontId="2" fillId="8" borderId="32" xfId="0" applyNumberFormat="1" applyFont="1" applyFill="1" applyBorder="1" applyAlignment="1">
      <alignment horizontal="right"/>
    </xf>
    <xf numFmtId="49" fontId="2" fillId="8" borderId="0" xfId="0" applyNumberFormat="1" applyFont="1" applyFill="1"/>
    <xf numFmtId="37" fontId="14" fillId="0" borderId="6" xfId="0" applyNumberFormat="1" applyFont="1" applyBorder="1"/>
    <xf numFmtId="165" fontId="2" fillId="8" borderId="25" xfId="0" applyNumberFormat="1" applyFont="1" applyFill="1" applyBorder="1" applyAlignment="1">
      <alignment horizontal="right"/>
    </xf>
    <xf numFmtId="3" fontId="3" fillId="0" borderId="0" xfId="0" applyNumberFormat="1" applyFont="1"/>
    <xf numFmtId="37" fontId="14" fillId="0" borderId="28" xfId="0" applyNumberFormat="1" applyFont="1" applyBorder="1"/>
    <xf numFmtId="37" fontId="14" fillId="0" borderId="8" xfId="0" applyNumberFormat="1" applyFont="1" applyBorder="1"/>
    <xf numFmtId="37" fontId="2" fillId="8" borderId="5" xfId="0" applyNumberFormat="1" applyFont="1" applyFill="1" applyBorder="1" applyAlignment="1">
      <alignment horizontal="right"/>
    </xf>
    <xf numFmtId="49" fontId="2" fillId="8" borderId="3" xfId="0" applyNumberFormat="1" applyFont="1" applyFill="1" applyBorder="1" applyAlignment="1">
      <alignment horizontal="right"/>
    </xf>
    <xf numFmtId="49" fontId="2" fillId="8" borderId="5" xfId="0" applyNumberFormat="1" applyFont="1" applyFill="1" applyBorder="1" applyAlignment="1">
      <alignment horizontal="right"/>
    </xf>
    <xf numFmtId="37" fontId="3" fillId="8" borderId="5" xfId="0" applyNumberFormat="1" applyFont="1" applyFill="1" applyBorder="1" applyAlignment="1">
      <alignment horizontal="right"/>
    </xf>
    <xf numFmtId="165" fontId="3" fillId="8" borderId="1" xfId="0" applyNumberFormat="1" applyFont="1" applyFill="1" applyBorder="1" applyAlignment="1">
      <alignment horizontal="right"/>
    </xf>
    <xf numFmtId="37" fontId="8" fillId="0" borderId="8" xfId="0" quotePrefix="1" applyNumberFormat="1" applyFont="1" applyBorder="1"/>
    <xf numFmtId="37" fontId="3" fillId="8" borderId="24" xfId="0" applyNumberFormat="1" applyFont="1" applyFill="1" applyBorder="1" applyAlignment="1">
      <alignment horizontal="right" wrapText="1"/>
    </xf>
    <xf numFmtId="3" fontId="3" fillId="7" borderId="35" xfId="0" applyNumberFormat="1" applyFont="1" applyFill="1" applyBorder="1" applyAlignment="1">
      <alignment horizontal="right"/>
    </xf>
    <xf numFmtId="168" fontId="2" fillId="6" borderId="8" xfId="3" applyNumberFormat="1" applyFont="1" applyFill="1" applyBorder="1" applyAlignment="1">
      <alignment horizontal="right"/>
    </xf>
    <xf numFmtId="168" fontId="2" fillId="0" borderId="8" xfId="3" applyNumberFormat="1" applyFont="1" applyBorder="1" applyAlignment="1">
      <alignment horizontal="right"/>
    </xf>
    <xf numFmtId="3" fontId="2" fillId="6" borderId="36" xfId="3" applyNumberFormat="1" applyFont="1" applyFill="1" applyBorder="1" applyAlignment="1">
      <alignment horizontal="right"/>
    </xf>
    <xf numFmtId="3" fontId="2" fillId="0" borderId="36" xfId="3" applyNumberFormat="1" applyFont="1" applyBorder="1" applyAlignment="1">
      <alignment horizontal="right"/>
    </xf>
    <xf numFmtId="168" fontId="2" fillId="6" borderId="28" xfId="3" applyNumberFormat="1" applyFont="1" applyFill="1" applyBorder="1" applyAlignment="1">
      <alignment horizontal="right"/>
    </xf>
    <xf numFmtId="49" fontId="2" fillId="0" borderId="6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right"/>
    </xf>
    <xf numFmtId="3" fontId="2" fillId="6" borderId="37" xfId="3" applyNumberFormat="1" applyFont="1" applyFill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37" fontId="3" fillId="2" borderId="5" xfId="0" applyNumberFormat="1" applyFont="1" applyFill="1" applyBorder="1" applyAlignment="1">
      <alignment horizontal="right"/>
    </xf>
    <xf numFmtId="37" fontId="3" fillId="2" borderId="22" xfId="0" applyNumberFormat="1" applyFont="1" applyFill="1" applyBorder="1" applyAlignment="1">
      <alignment horizontal="right"/>
    </xf>
    <xf numFmtId="164" fontId="2" fillId="0" borderId="28" xfId="0" quotePrefix="1" applyNumberFormat="1" applyFont="1" applyBorder="1" applyAlignment="1">
      <alignment horizontal="right"/>
    </xf>
    <xf numFmtId="164" fontId="8" fillId="9" borderId="0" xfId="0" applyNumberFormat="1" applyFont="1" applyFill="1" applyAlignment="1">
      <alignment horizontal="right"/>
    </xf>
    <xf numFmtId="168" fontId="2" fillId="0" borderId="29" xfId="3" applyNumberFormat="1" applyFont="1" applyBorder="1" applyAlignment="1">
      <alignment horizontal="right"/>
    </xf>
    <xf numFmtId="3" fontId="2" fillId="6" borderId="3" xfId="3" applyNumberFormat="1" applyFont="1" applyFill="1" applyBorder="1" applyAlignment="1">
      <alignment horizontal="right"/>
    </xf>
    <xf numFmtId="3" fontId="2" fillId="0" borderId="8" xfId="3" applyNumberFormat="1" applyFont="1" applyBorder="1" applyAlignment="1">
      <alignment horizontal="right"/>
    </xf>
    <xf numFmtId="168" fontId="2" fillId="6" borderId="22" xfId="3" applyNumberFormat="1" applyFont="1" applyFill="1" applyBorder="1" applyAlignment="1">
      <alignment horizontal="right"/>
    </xf>
    <xf numFmtId="3" fontId="2" fillId="0" borderId="2" xfId="3" applyNumberFormat="1" applyFont="1" applyBorder="1" applyAlignment="1">
      <alignment horizontal="right"/>
    </xf>
    <xf numFmtId="168" fontId="2" fillId="0" borderId="4" xfId="0" applyNumberFormat="1" applyFont="1" applyBorder="1" applyAlignment="1">
      <alignment horizontal="right"/>
    </xf>
    <xf numFmtId="167" fontId="2" fillId="6" borderId="0" xfId="3" applyNumberFormat="1" applyFont="1" applyFill="1" applyAlignment="1">
      <alignment horizontal="right"/>
    </xf>
    <xf numFmtId="167" fontId="2" fillId="0" borderId="0" xfId="3" applyNumberFormat="1" applyFont="1" applyAlignment="1">
      <alignment horizontal="right"/>
    </xf>
    <xf numFmtId="167" fontId="2" fillId="0" borderId="5" xfId="3" applyNumberFormat="1" applyFont="1" applyBorder="1" applyAlignment="1">
      <alignment horizontal="right"/>
    </xf>
    <xf numFmtId="167" fontId="2" fillId="0" borderId="4" xfId="3" applyNumberFormat="1" applyFont="1" applyBorder="1" applyAlignment="1">
      <alignment horizontal="right"/>
    </xf>
    <xf numFmtId="49" fontId="2" fillId="0" borderId="28" xfId="0" applyNumberFormat="1" applyFont="1" applyBorder="1" applyAlignment="1">
      <alignment horizontal="center"/>
    </xf>
    <xf numFmtId="167" fontId="2" fillId="0" borderId="38" xfId="3" applyNumberFormat="1" applyFont="1" applyBorder="1" applyAlignment="1">
      <alignment horizontal="right"/>
    </xf>
    <xf numFmtId="3" fontId="2" fillId="0" borderId="37" xfId="3" applyNumberFormat="1" applyFont="1" applyBorder="1" applyAlignment="1">
      <alignment horizontal="right"/>
    </xf>
    <xf numFmtId="3" fontId="2" fillId="0" borderId="39" xfId="3" applyNumberFormat="1" applyFont="1" applyBorder="1" applyAlignment="1">
      <alignment horizontal="right"/>
    </xf>
    <xf numFmtId="168" fontId="2" fillId="0" borderId="37" xfId="3" applyNumberFormat="1" applyFont="1" applyBorder="1" applyAlignment="1">
      <alignment horizontal="right"/>
    </xf>
    <xf numFmtId="167" fontId="2" fillId="6" borderId="37" xfId="3" applyNumberFormat="1" applyFont="1" applyFill="1" applyBorder="1" applyAlignment="1">
      <alignment horizontal="right"/>
    </xf>
    <xf numFmtId="164" fontId="2" fillId="0" borderId="8" xfId="0" quotePrefix="1" applyNumberFormat="1" applyFont="1" applyBorder="1" applyAlignment="1">
      <alignment horizontal="right"/>
    </xf>
    <xf numFmtId="171" fontId="0" fillId="0" borderId="1" xfId="0" applyNumberFormat="1" applyBorder="1" applyAlignment="1">
      <alignment vertical="center" wrapText="1"/>
    </xf>
    <xf numFmtId="166" fontId="3" fillId="2" borderId="8" xfId="2" applyNumberFormat="1" applyFont="1" applyFill="1" applyBorder="1" applyAlignment="1">
      <alignment horizontal="right"/>
    </xf>
    <xf numFmtId="168" fontId="23" fillId="0" borderId="37" xfId="3" applyNumberFormat="1" applyFont="1" applyBorder="1" applyAlignment="1">
      <alignment horizontal="right"/>
    </xf>
    <xf numFmtId="164" fontId="2" fillId="0" borderId="1" xfId="0" quotePrefix="1" applyNumberFormat="1" applyFont="1" applyBorder="1" applyAlignment="1">
      <alignment horizontal="right"/>
    </xf>
    <xf numFmtId="37" fontId="2" fillId="8" borderId="0" xfId="0" applyNumberFormat="1" applyFont="1" applyFill="1" applyAlignment="1">
      <alignment horizontal="right"/>
    </xf>
    <xf numFmtId="37" fontId="24" fillId="0" borderId="0" xfId="0" applyNumberFormat="1" applyFont="1"/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37" fontId="2" fillId="10" borderId="4" xfId="0" applyNumberFormat="1" applyFont="1" applyFill="1" applyBorder="1" applyAlignment="1">
      <alignment horizontal="right"/>
    </xf>
    <xf numFmtId="37" fontId="3" fillId="10" borderId="0" xfId="0" applyNumberFormat="1" applyFont="1" applyFill="1" applyAlignment="1">
      <alignment horizontal="right"/>
    </xf>
    <xf numFmtId="37" fontId="3" fillId="10" borderId="4" xfId="0" applyNumberFormat="1" applyFont="1" applyFill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left" vertical="top" wrapText="1"/>
    </xf>
    <xf numFmtId="37" fontId="2" fillId="0" borderId="0" xfId="0" applyNumberFormat="1" applyFont="1" applyAlignment="1">
      <alignment horizontal="left" wrapText="1"/>
    </xf>
    <xf numFmtId="37" fontId="10" fillId="0" borderId="0" xfId="0" quotePrefix="1" applyNumberFormat="1" applyFont="1" applyAlignment="1">
      <alignment horizontal="left" vertical="top" wrapText="1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9" defaultPivotStyle="PivotStyleLight16"/>
  <colors>
    <mruColors>
      <color rgb="FFFFCC99"/>
      <color rgb="FF006600"/>
      <color rgb="FF990033"/>
      <color rgb="FF003399"/>
      <color rgb="FF0000FF"/>
      <color rgb="FF339933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Subtotal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709129511677279E-2"/>
          <c:y val="0.25469397120652176"/>
          <c:w val="0.90658174097664534"/>
          <c:h val="0.66970461330985409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67'!$E$22</c:f>
              <c:numCache>
                <c:formatCode>#,##0.0</c:formatCode>
                <c:ptCount val="1"/>
                <c:pt idx="0">
                  <c:v>14.151547126179551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5-4071-B3FB-1B1B5087700D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67'!$E$11</c:f>
              <c:numCache>
                <c:formatCode>#,##0.0</c:formatCode>
                <c:ptCount val="1"/>
                <c:pt idx="0">
                  <c:v>41.328907289314607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5-4071-B3FB-1B1B5087700D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67'!$E$10</c:f>
              <c:numCache>
                <c:formatCode>#,##0.0</c:formatCode>
                <c:ptCount val="1"/>
                <c:pt idx="0">
                  <c:v>21.650955097807099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5-4071-B3FB-1B1B508770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1976064"/>
        <c:axId val="52604864"/>
      </c:barChart>
      <c:catAx>
        <c:axId val="101976064"/>
        <c:scaling>
          <c:orientation val="minMax"/>
        </c:scaling>
        <c:delete val="1"/>
        <c:axPos val="l"/>
        <c:majorTickMark val="none"/>
        <c:minorTickMark val="none"/>
        <c:tickLblPos val="none"/>
        <c:crossAx val="52604864"/>
        <c:crosses val="autoZero"/>
        <c:auto val="1"/>
        <c:lblAlgn val="ctr"/>
        <c:lblOffset val="100"/>
        <c:noMultiLvlLbl val="0"/>
      </c:catAx>
      <c:valAx>
        <c:axId val="5260486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1976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6831669926609499E-2"/>
          <c:y val="0.17852270396552966"/>
          <c:w val="0.8863363257936705"/>
          <c:h val="0.124281258912389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Undergraduate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67'!$G$22</c:f>
              <c:numCache>
                <c:formatCode>#,##0.0</c:formatCode>
                <c:ptCount val="1"/>
                <c:pt idx="0">
                  <c:v>14.209170325256428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E-4C7B-9EFC-3CAE2AFECA08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67'!$G$11</c:f>
              <c:numCache>
                <c:formatCode>#,##0.0</c:formatCode>
                <c:ptCount val="1"/>
                <c:pt idx="0">
                  <c:v>37.39015143383282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E-4C7B-9EFC-3CAE2AFECA08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67'!$G$10</c:f>
              <c:numCache>
                <c:formatCode>#,##0.0</c:formatCode>
                <c:ptCount val="1"/>
                <c:pt idx="0">
                  <c:v>20.648347182310552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E-4C7B-9EFC-3CAE2AFECA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435072"/>
        <c:axId val="52607168"/>
      </c:barChart>
      <c:catAx>
        <c:axId val="106435072"/>
        <c:scaling>
          <c:orientation val="minMax"/>
        </c:scaling>
        <c:delete val="1"/>
        <c:axPos val="l"/>
        <c:majorTickMark val="none"/>
        <c:minorTickMark val="none"/>
        <c:tickLblPos val="none"/>
        <c:crossAx val="52607168"/>
        <c:crosses val="autoZero"/>
        <c:auto val="1"/>
        <c:lblAlgn val="ctr"/>
        <c:lblOffset val="100"/>
        <c:noMultiLvlLbl val="0"/>
      </c:catAx>
      <c:valAx>
        <c:axId val="52607168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643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67'!$I$22</c:f>
              <c:numCache>
                <c:formatCode>#,##0.0</c:formatCode>
                <c:ptCount val="1"/>
                <c:pt idx="0">
                  <c:v>-18.315789473684205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6-4512-BEF3-47ECE662AF4D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67'!$I$11</c:f>
              <c:numCache>
                <c:formatCode>#,##0.0</c:formatCode>
                <c:ptCount val="1"/>
                <c:pt idx="0">
                  <c:v>163.54980247056332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6-4512-BEF3-47ECE662AF4D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67'!$I$10</c:f>
              <c:numCache>
                <c:formatCode>#,##0.0</c:formatCode>
                <c:ptCount val="1"/>
                <c:pt idx="0">
                  <c:v>123.82122425629292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6-4512-BEF3-47ECE662AF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436608"/>
        <c:axId val="106398272"/>
      </c:barChart>
      <c:catAx>
        <c:axId val="106436608"/>
        <c:scaling>
          <c:orientation val="minMax"/>
        </c:scaling>
        <c:delete val="1"/>
        <c:axPos val="l"/>
        <c:majorTickMark val="none"/>
        <c:minorTickMark val="none"/>
        <c:tickLblPos val="none"/>
        <c:crossAx val="106398272"/>
        <c:crosses val="autoZero"/>
        <c:auto val="1"/>
        <c:lblAlgn val="ctr"/>
        <c:lblOffset val="100"/>
        <c:noMultiLvlLbl val="0"/>
      </c:catAx>
      <c:valAx>
        <c:axId val="106398272"/>
        <c:scaling>
          <c:orientation val="minMax"/>
          <c:max val="250"/>
        </c:scaling>
        <c:delete val="1"/>
        <c:axPos val="b"/>
        <c:numFmt formatCode="#,##0.0" sourceLinked="1"/>
        <c:majorTickMark val="out"/>
        <c:minorTickMark val="none"/>
        <c:tickLblPos val="none"/>
        <c:crossAx val="10643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Subtotal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5477707006369442E-2"/>
          <c:y val="0.25469397120652176"/>
          <c:w val="0.9065817409766449"/>
          <c:h val="0.66970461330985476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67'!$M$22</c:f>
              <c:numCache>
                <c:formatCode>#,##0.0</c:formatCode>
                <c:ptCount val="1"/>
                <c:pt idx="0">
                  <c:v>-89.172428942734967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1-4785-A696-7ACC76ACE8AC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67'!$M$11</c:f>
              <c:numCache>
                <c:formatCode>#,##0.0</c:formatCode>
                <c:ptCount val="1"/>
                <c:pt idx="0">
                  <c:v>4.5466064050752788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1-4785-A696-7ACC76ACE8AC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67'!$M$10</c:f>
              <c:numCache>
                <c:formatCode>#,##0.0</c:formatCode>
                <c:ptCount val="1"/>
                <c:pt idx="0">
                  <c:v>6.098031351296088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1-4785-A696-7ACC76ACE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438144"/>
        <c:axId val="106400576"/>
      </c:barChart>
      <c:catAx>
        <c:axId val="106438144"/>
        <c:scaling>
          <c:orientation val="minMax"/>
        </c:scaling>
        <c:delete val="1"/>
        <c:axPos val="l"/>
        <c:majorTickMark val="none"/>
        <c:minorTickMark val="none"/>
        <c:tickLblPos val="none"/>
        <c:crossAx val="106400576"/>
        <c:crosses val="autoZero"/>
        <c:auto val="1"/>
        <c:lblAlgn val="ctr"/>
        <c:lblOffset val="100"/>
        <c:noMultiLvlLbl val="0"/>
      </c:catAx>
      <c:valAx>
        <c:axId val="106400576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6438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6831669926609513E-2"/>
          <c:y val="0.17852270396552966"/>
          <c:w val="0.88633632579367028"/>
          <c:h val="0.124281258912389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Undergraduate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67'!$O$22</c:f>
              <c:numCache>
                <c:formatCode>#,##0.0</c:formatCode>
                <c:ptCount val="1"/>
                <c:pt idx="0">
                  <c:v>-89.696887733713424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8-4ADF-A5B7-2845113EBBED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67'!$O$11</c:f>
              <c:numCache>
                <c:formatCode>#,##0.0</c:formatCode>
                <c:ptCount val="1"/>
                <c:pt idx="0">
                  <c:v>4.0248371325782024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8-4ADF-A5B7-2845113EBBED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67'!$O$10</c:f>
              <c:numCache>
                <c:formatCode>#,##0.0</c:formatCode>
                <c:ptCount val="1"/>
                <c:pt idx="0">
                  <c:v>6.2722448219291707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8-4ADF-A5B7-2845113EBB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7607552"/>
        <c:axId val="106402880"/>
      </c:barChart>
      <c:catAx>
        <c:axId val="107607552"/>
        <c:scaling>
          <c:orientation val="minMax"/>
        </c:scaling>
        <c:delete val="1"/>
        <c:axPos val="l"/>
        <c:majorTickMark val="none"/>
        <c:minorTickMark val="none"/>
        <c:tickLblPos val="none"/>
        <c:crossAx val="106402880"/>
        <c:crosses val="autoZero"/>
        <c:auto val="1"/>
        <c:lblAlgn val="ctr"/>
        <c:lblOffset val="100"/>
        <c:noMultiLvlLbl val="0"/>
      </c:catAx>
      <c:valAx>
        <c:axId val="10640288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760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67'!$Q$22</c:f>
              <c:numCache>
                <c:formatCode>#,##0.0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7-4EB1-92E7-211ABBD6486B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67'!$Q$11</c:f>
              <c:numCache>
                <c:formatCode>#,##0.0</c:formatCode>
                <c:ptCount val="1"/>
                <c:pt idx="0">
                  <c:v>32.398504989124092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7-4EB1-92E7-211ABBD6486B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67'!$Q$10</c:f>
              <c:numCache>
                <c:formatCode>#,##0.0</c:formatCode>
                <c:ptCount val="1"/>
                <c:pt idx="0">
                  <c:v>21.37743505574738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7-4EB1-92E7-211ABBD648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7609088"/>
        <c:axId val="106405184"/>
      </c:barChart>
      <c:catAx>
        <c:axId val="107609088"/>
        <c:scaling>
          <c:orientation val="minMax"/>
        </c:scaling>
        <c:delete val="1"/>
        <c:axPos val="l"/>
        <c:majorTickMark val="none"/>
        <c:minorTickMark val="none"/>
        <c:tickLblPos val="none"/>
        <c:crossAx val="106405184"/>
        <c:crosses val="autoZero"/>
        <c:auto val="1"/>
        <c:lblAlgn val="ctr"/>
        <c:lblOffset val="100"/>
        <c:noMultiLvlLbl val="0"/>
      </c:catAx>
      <c:valAx>
        <c:axId val="10640518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760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523875</xdr:colOff>
      <xdr:row>3</xdr:row>
      <xdr:rowOff>19050</xdr:rowOff>
    </xdr:from>
    <xdr:to>
      <xdr:col>27</xdr:col>
      <xdr:colOff>276225</xdr:colOff>
      <xdr:row>14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266700</xdr:colOff>
      <xdr:row>3</xdr:row>
      <xdr:rowOff>19050</xdr:rowOff>
    </xdr:from>
    <xdr:to>
      <xdr:col>32</xdr:col>
      <xdr:colOff>19050</xdr:colOff>
      <xdr:row>14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19050</xdr:colOff>
      <xdr:row>3</xdr:row>
      <xdr:rowOff>19050</xdr:rowOff>
    </xdr:from>
    <xdr:to>
      <xdr:col>36</xdr:col>
      <xdr:colOff>419100</xdr:colOff>
      <xdr:row>14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514350</xdr:colOff>
      <xdr:row>21</xdr:row>
      <xdr:rowOff>28575</xdr:rowOff>
    </xdr:from>
    <xdr:to>
      <xdr:col>27</xdr:col>
      <xdr:colOff>266700</xdr:colOff>
      <xdr:row>32</xdr:row>
      <xdr:rowOff>95249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257175</xdr:colOff>
      <xdr:row>21</xdr:row>
      <xdr:rowOff>28575</xdr:rowOff>
    </xdr:from>
    <xdr:to>
      <xdr:col>32</xdr:col>
      <xdr:colOff>9525</xdr:colOff>
      <xdr:row>32</xdr:row>
      <xdr:rowOff>95249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619125</xdr:colOff>
      <xdr:row>21</xdr:row>
      <xdr:rowOff>28575</xdr:rowOff>
    </xdr:from>
    <xdr:to>
      <xdr:col>36</xdr:col>
      <xdr:colOff>371475</xdr:colOff>
      <xdr:row>32</xdr:row>
      <xdr:rowOff>95249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38100</xdr:colOff>
      <xdr:row>0</xdr:row>
      <xdr:rowOff>0</xdr:rowOff>
    </xdr:from>
    <xdr:to>
      <xdr:col>40</xdr:col>
      <xdr:colOff>352425</xdr:colOff>
      <xdr:row>10</xdr:row>
      <xdr:rowOff>157690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974675" y="0"/>
          <a:ext cx="1609725" cy="1853140"/>
        </a:xfrm>
        <a:prstGeom prst="wedgeEllipseCallout">
          <a:avLst>
            <a:gd name="adj1" fmla="val -135657"/>
            <a:gd name="adj2" fmla="val 4801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7_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6"/>
      <sheetName val="Total Funding"/>
      <sheetName val="Funding @ public"/>
      <sheetName val="Funding @ private"/>
      <sheetName val="Fundg @ proprietary"/>
      <sheetName val="Total Recipients"/>
      <sheetName val="PublicRecipients"/>
      <sheetName val="PrivateRecips"/>
      <sheetName val="ProprietaryRecps"/>
      <sheetName val="Total $ per recip"/>
      <sheetName val="Public $ per recip"/>
      <sheetName val="Private $ per recip"/>
      <sheetName val="Proprietary $ per recip"/>
    </sheetNames>
    <sheetDataSet>
      <sheetData sheetId="0"/>
      <sheetData sheetId="1">
        <row r="4">
          <cell r="AM4">
            <v>12183392378</v>
          </cell>
          <cell r="AO4">
            <v>13980961288</v>
          </cell>
          <cell r="AW4">
            <v>32471906153.350002</v>
          </cell>
          <cell r="AY4">
            <v>31011323281.600002</v>
          </cell>
        </row>
        <row r="5">
          <cell r="AM5">
            <v>4531090915</v>
          </cell>
          <cell r="AO5">
            <v>5093028440</v>
          </cell>
          <cell r="AW5">
            <v>11867602311.730001</v>
          </cell>
          <cell r="AY5">
            <v>11243824219.090002</v>
          </cell>
        </row>
        <row r="7">
          <cell r="AM7">
            <v>239783273</v>
          </cell>
          <cell r="AO7">
            <v>267431141</v>
          </cell>
          <cell r="AW7">
            <v>612141880.01999998</v>
          </cell>
          <cell r="AY7">
            <v>560632218.88999999</v>
          </cell>
        </row>
        <row r="8">
          <cell r="AM8">
            <v>144948342</v>
          </cell>
          <cell r="AO8">
            <v>161141404</v>
          </cell>
          <cell r="AW8">
            <v>328289104.48000002</v>
          </cell>
          <cell r="AY8">
            <v>312523423.61999995</v>
          </cell>
        </row>
        <row r="9">
          <cell r="AM9">
            <v>20388832</v>
          </cell>
          <cell r="AO9">
            <v>23852680</v>
          </cell>
          <cell r="AW9">
            <v>63087593.5</v>
          </cell>
          <cell r="AY9">
            <v>61646630.510000005</v>
          </cell>
        </row>
        <row r="10">
          <cell r="AM10">
            <v>680859753</v>
          </cell>
          <cell r="AO10">
            <v>800517795</v>
          </cell>
          <cell r="AW10">
            <v>2272446356.5499997</v>
          </cell>
          <cell r="AY10">
            <v>2156740448.9299998</v>
          </cell>
        </row>
        <row r="11">
          <cell r="AM11">
            <v>379644355</v>
          </cell>
          <cell r="AO11">
            <v>444183339</v>
          </cell>
          <cell r="AW11">
            <v>1094915216.95</v>
          </cell>
          <cell r="AY11">
            <v>996835799.04999995</v>
          </cell>
        </row>
        <row r="12">
          <cell r="AM12">
            <v>204013234</v>
          </cell>
          <cell r="AO12">
            <v>233932528</v>
          </cell>
          <cell r="AW12">
            <v>466613209.75</v>
          </cell>
          <cell r="AY12">
            <v>441071209.57999998</v>
          </cell>
        </row>
        <row r="13">
          <cell r="AM13">
            <v>217686257</v>
          </cell>
          <cell r="AO13">
            <v>231139887</v>
          </cell>
          <cell r="AW13">
            <v>439681574.29999995</v>
          </cell>
          <cell r="AY13">
            <v>410459106.98000002</v>
          </cell>
        </row>
        <row r="14">
          <cell r="AM14">
            <v>154604137</v>
          </cell>
          <cell r="AO14">
            <v>177140826</v>
          </cell>
          <cell r="AW14">
            <v>432643940.44999993</v>
          </cell>
          <cell r="AY14">
            <v>413504371.47000003</v>
          </cell>
        </row>
        <row r="15">
          <cell r="AM15">
            <v>199832654</v>
          </cell>
          <cell r="AO15">
            <v>218782069</v>
          </cell>
          <cell r="AW15">
            <v>416151109.74000001</v>
          </cell>
          <cell r="AY15">
            <v>370702398.43000001</v>
          </cell>
        </row>
        <row r="16">
          <cell r="AM16">
            <v>359688011</v>
          </cell>
          <cell r="AO16">
            <v>402838404</v>
          </cell>
          <cell r="AW16">
            <v>946717102.15999985</v>
          </cell>
          <cell r="AY16">
            <v>925125593.59000051</v>
          </cell>
        </row>
        <row r="17">
          <cell r="AM17">
            <v>172695572</v>
          </cell>
          <cell r="AO17">
            <v>180241036</v>
          </cell>
          <cell r="AW17">
            <v>365422083.3300001</v>
          </cell>
          <cell r="AY17">
            <v>343485789.20999998</v>
          </cell>
        </row>
        <row r="18">
          <cell r="AM18">
            <v>178170462</v>
          </cell>
          <cell r="AO18">
            <v>203442543</v>
          </cell>
          <cell r="AW18">
            <v>453899886.49000001</v>
          </cell>
          <cell r="AY18">
            <v>436435302.50999999</v>
          </cell>
        </row>
        <row r="19">
          <cell r="AM19">
            <v>256915820</v>
          </cell>
          <cell r="AO19">
            <v>291778658</v>
          </cell>
          <cell r="AW19">
            <v>627463491.52000022</v>
          </cell>
          <cell r="AY19">
            <v>598814154.46999991</v>
          </cell>
        </row>
        <row r="20">
          <cell r="AM20">
            <v>999213292</v>
          </cell>
          <cell r="AO20">
            <v>1077915908</v>
          </cell>
          <cell r="AW20">
            <v>2384440944.7600002</v>
          </cell>
          <cell r="AY20">
            <v>2275191914.2299995</v>
          </cell>
        </row>
        <row r="21">
          <cell r="AM21">
            <v>229644622</v>
          </cell>
          <cell r="AO21">
            <v>273545679</v>
          </cell>
          <cell r="AW21">
            <v>716327402.03000021</v>
          </cell>
          <cell r="AY21">
            <v>705814740.76999998</v>
          </cell>
        </row>
        <row r="22">
          <cell r="AM22">
            <v>93002299</v>
          </cell>
          <cell r="AO22">
            <v>105144543</v>
          </cell>
          <cell r="AW22">
            <v>247361415.69999999</v>
          </cell>
          <cell r="AY22">
            <v>234841116.84999999</v>
          </cell>
        </row>
        <row r="23">
          <cell r="AM23">
            <v>2873725843</v>
          </cell>
          <cell r="AO23">
            <v>3380766441</v>
          </cell>
          <cell r="AW23">
            <v>8300648774.999999</v>
          </cell>
          <cell r="AY23">
            <v>8231497738.5900021</v>
          </cell>
        </row>
        <row r="25">
          <cell r="AM25">
            <v>10797310</v>
          </cell>
          <cell r="AO25">
            <v>12086264</v>
          </cell>
          <cell r="AW25">
            <v>41529823.690000005</v>
          </cell>
          <cell r="AY25">
            <v>40233165.019999996</v>
          </cell>
        </row>
        <row r="26">
          <cell r="AM26">
            <v>515336298</v>
          </cell>
          <cell r="AO26">
            <v>688912721</v>
          </cell>
          <cell r="AW26">
            <v>1842510780.73</v>
          </cell>
          <cell r="AY26">
            <v>1666532519.3700001</v>
          </cell>
        </row>
        <row r="27">
          <cell r="AM27">
            <v>1406693200</v>
          </cell>
          <cell r="AO27">
            <v>1626430110</v>
          </cell>
          <cell r="AW27">
            <v>3775701209.2400002</v>
          </cell>
          <cell r="AY27">
            <v>3941145878.6800003</v>
          </cell>
        </row>
        <row r="28">
          <cell r="AM28">
            <v>184288858</v>
          </cell>
          <cell r="AO28">
            <v>217289173</v>
          </cell>
          <cell r="AW28">
            <v>522870554.60999995</v>
          </cell>
          <cell r="AY28">
            <v>488833981.02000004</v>
          </cell>
        </row>
        <row r="29">
          <cell r="AM29">
            <v>26558666</v>
          </cell>
          <cell r="AO29">
            <v>30329258</v>
          </cell>
          <cell r="AW29">
            <v>82023273.689999983</v>
          </cell>
          <cell r="AY29">
            <v>83735870.010000005</v>
          </cell>
        </row>
        <row r="30">
          <cell r="AM30">
            <v>74763326</v>
          </cell>
          <cell r="AO30">
            <v>81278873</v>
          </cell>
          <cell r="AW30">
            <v>194167169.40000001</v>
          </cell>
          <cell r="AY30">
            <v>193770695.56</v>
          </cell>
        </row>
        <row r="31">
          <cell r="AM31">
            <v>40188755</v>
          </cell>
          <cell r="AO31">
            <v>41942840</v>
          </cell>
          <cell r="AW31">
            <v>86950233.329999998</v>
          </cell>
          <cell r="AY31">
            <v>81429251.499999985</v>
          </cell>
        </row>
        <row r="32">
          <cell r="AM32">
            <v>35684669</v>
          </cell>
          <cell r="AO32">
            <v>42018542</v>
          </cell>
          <cell r="AW32">
            <v>137678049.59999999</v>
          </cell>
          <cell r="AY32">
            <v>133721556.18000001</v>
          </cell>
        </row>
        <row r="33">
          <cell r="AM33">
            <v>96002155</v>
          </cell>
          <cell r="AO33">
            <v>104601786</v>
          </cell>
          <cell r="AW33">
            <v>232647231.55000001</v>
          </cell>
          <cell r="AY33">
            <v>222425899.59999996</v>
          </cell>
        </row>
        <row r="34">
          <cell r="AM34">
            <v>142405648</v>
          </cell>
          <cell r="AO34">
            <v>162354946</v>
          </cell>
          <cell r="AW34">
            <v>432374898.38</v>
          </cell>
          <cell r="AY34">
            <v>424045730.98000002</v>
          </cell>
        </row>
        <row r="35">
          <cell r="AM35">
            <v>134973380</v>
          </cell>
          <cell r="AO35">
            <v>142408785</v>
          </cell>
          <cell r="AW35">
            <v>414383189.99000001</v>
          </cell>
          <cell r="AY35">
            <v>421459403.94999993</v>
          </cell>
        </row>
        <row r="36">
          <cell r="AM36">
            <v>188103504</v>
          </cell>
          <cell r="AO36">
            <v>210306792</v>
          </cell>
          <cell r="AW36">
            <v>491270793.44999999</v>
          </cell>
          <cell r="AY36">
            <v>490128932.20999992</v>
          </cell>
        </row>
        <row r="37">
          <cell r="AM37">
            <v>17930074</v>
          </cell>
          <cell r="AO37">
            <v>20806351</v>
          </cell>
          <cell r="AW37">
            <v>46541567.340000004</v>
          </cell>
          <cell r="AY37">
            <v>44034854.509999998</v>
          </cell>
        </row>
        <row r="38">
          <cell r="AM38">
            <v>2650835493</v>
          </cell>
          <cell r="AO38">
            <v>3110289739</v>
          </cell>
          <cell r="AW38">
            <v>7411691350.1700001</v>
          </cell>
          <cell r="AY38">
            <v>6685380059.8699999</v>
          </cell>
        </row>
        <row r="40">
          <cell r="AM40">
            <v>479004572</v>
          </cell>
          <cell r="AO40">
            <v>557365914</v>
          </cell>
          <cell r="AW40">
            <v>1324987106.6300001</v>
          </cell>
          <cell r="AY40">
            <v>1217924961.7199998</v>
          </cell>
        </row>
        <row r="41">
          <cell r="AM41">
            <v>254597930</v>
          </cell>
          <cell r="AO41">
            <v>294393147</v>
          </cell>
          <cell r="AW41">
            <v>919630548.76999998</v>
          </cell>
          <cell r="AY41">
            <v>866372847.5</v>
          </cell>
        </row>
        <row r="42">
          <cell r="AM42">
            <v>193359099</v>
          </cell>
          <cell r="AO42">
            <v>268010900</v>
          </cell>
          <cell r="AW42">
            <v>748825833.67999995</v>
          </cell>
          <cell r="AY42">
            <v>422747718.79000008</v>
          </cell>
        </row>
        <row r="43">
          <cell r="AM43">
            <v>116300051</v>
          </cell>
          <cell r="AO43">
            <v>124199807</v>
          </cell>
          <cell r="AW43">
            <v>277776707.84000003</v>
          </cell>
          <cell r="AY43">
            <v>272692645.18000001</v>
          </cell>
        </row>
        <row r="44">
          <cell r="AM44">
            <v>419493250</v>
          </cell>
          <cell r="AO44">
            <v>496831130</v>
          </cell>
          <cell r="AW44">
            <v>1085009756.9300001</v>
          </cell>
          <cell r="AY44">
            <v>1016521927.0800002</v>
          </cell>
        </row>
        <row r="45">
          <cell r="AM45">
            <v>176849778</v>
          </cell>
          <cell r="AO45">
            <v>212294059</v>
          </cell>
          <cell r="AW45">
            <v>563918754.87</v>
          </cell>
          <cell r="AY45">
            <v>550089506.54999995</v>
          </cell>
        </row>
        <row r="46">
          <cell r="AM46">
            <v>248521639</v>
          </cell>
          <cell r="AO46">
            <v>287708013</v>
          </cell>
          <cell r="AW46">
            <v>624394937.52999997</v>
          </cell>
          <cell r="AY46">
            <v>607983844.25999987</v>
          </cell>
        </row>
        <row r="47">
          <cell r="AM47">
            <v>59834209</v>
          </cell>
          <cell r="AO47">
            <v>67291884</v>
          </cell>
          <cell r="AW47">
            <v>155741336.69999999</v>
          </cell>
          <cell r="AY47">
            <v>148743684.55000001</v>
          </cell>
        </row>
        <row r="48">
          <cell r="AM48">
            <v>31201132</v>
          </cell>
          <cell r="AO48">
            <v>33412985</v>
          </cell>
          <cell r="AW48">
            <v>52399622.170000002</v>
          </cell>
          <cell r="AY48">
            <v>47841932.93</v>
          </cell>
        </row>
        <row r="49">
          <cell r="AM49">
            <v>473471427</v>
          </cell>
          <cell r="AO49">
            <v>541063523</v>
          </cell>
          <cell r="AW49">
            <v>1123001955.3099999</v>
          </cell>
          <cell r="AY49">
            <v>1005914830.6499999</v>
          </cell>
        </row>
        <row r="50">
          <cell r="AM50">
            <v>38875965</v>
          </cell>
          <cell r="AO50">
            <v>43340716</v>
          </cell>
          <cell r="AW50">
            <v>98606268.730000019</v>
          </cell>
          <cell r="AY50">
            <v>95706135.030000001</v>
          </cell>
        </row>
        <row r="51">
          <cell r="AM51">
            <v>159326441</v>
          </cell>
          <cell r="AO51">
            <v>184377661</v>
          </cell>
          <cell r="AW51">
            <v>437398521.01000005</v>
          </cell>
          <cell r="AY51">
            <v>432840025.62999994</v>
          </cell>
        </row>
        <row r="52">
          <cell r="AM52">
            <v>2080430369</v>
          </cell>
          <cell r="AO52">
            <v>2338760525</v>
          </cell>
          <cell r="AW52">
            <v>4751510813.0499992</v>
          </cell>
          <cell r="AY52">
            <v>4707509423.460001</v>
          </cell>
        </row>
        <row r="54">
          <cell r="AM54">
            <v>87108856</v>
          </cell>
          <cell r="AO54">
            <v>102262103</v>
          </cell>
          <cell r="AW54">
            <v>261989754.5</v>
          </cell>
          <cell r="AY54">
            <v>265673319</v>
          </cell>
        </row>
        <row r="55">
          <cell r="AM55">
            <v>46773023</v>
          </cell>
          <cell r="AO55">
            <v>51574094</v>
          </cell>
          <cell r="AW55">
            <v>103169950.19</v>
          </cell>
          <cell r="AY55">
            <v>107561617.44</v>
          </cell>
        </row>
        <row r="56">
          <cell r="AM56">
            <v>185284278</v>
          </cell>
          <cell r="AO56">
            <v>217328351</v>
          </cell>
          <cell r="AW56">
            <v>483518401.49000001</v>
          </cell>
          <cell r="AY56">
            <v>494448497.98000002</v>
          </cell>
        </row>
        <row r="57">
          <cell r="AM57">
            <v>29296033</v>
          </cell>
          <cell r="AO57">
            <v>32783715</v>
          </cell>
          <cell r="AW57">
            <v>76379853.260000005</v>
          </cell>
          <cell r="AY57">
            <v>85539945.739999995</v>
          </cell>
        </row>
        <row r="58">
          <cell r="AM58">
            <v>256271097</v>
          </cell>
          <cell r="AO58">
            <v>293841497</v>
          </cell>
          <cell r="AW58">
            <v>664819522.26000011</v>
          </cell>
          <cell r="AY58">
            <v>648958668.95000005</v>
          </cell>
        </row>
        <row r="59">
          <cell r="AM59">
            <v>955247913</v>
          </cell>
          <cell r="AO59">
            <v>1052996833</v>
          </cell>
          <cell r="AW59">
            <v>1995661148.4699993</v>
          </cell>
          <cell r="AY59">
            <v>1974725370.4100003</v>
          </cell>
        </row>
        <row r="60">
          <cell r="AM60">
            <v>450763735</v>
          </cell>
          <cell r="AO60">
            <v>508524225</v>
          </cell>
          <cell r="AW60">
            <v>1003882211.2299999</v>
          </cell>
          <cell r="AY60">
            <v>981729283.26999998</v>
          </cell>
        </row>
        <row r="61">
          <cell r="AM61">
            <v>49698596</v>
          </cell>
          <cell r="AO61">
            <v>57065230</v>
          </cell>
          <cell r="AW61">
            <v>118505137.28999999</v>
          </cell>
          <cell r="AY61">
            <v>104991857.25999999</v>
          </cell>
        </row>
        <row r="62">
          <cell r="AM62">
            <v>19986838</v>
          </cell>
          <cell r="AO62">
            <v>22384477</v>
          </cell>
          <cell r="AW62">
            <v>43584834.359999999</v>
          </cell>
          <cell r="AY62">
            <v>43880863.410000004</v>
          </cell>
        </row>
        <row r="63">
          <cell r="AM63">
            <v>47309758</v>
          </cell>
          <cell r="AO63">
            <v>58116143</v>
          </cell>
          <cell r="AW63">
            <v>140452903.40000001</v>
          </cell>
          <cell r="AY63">
            <v>143111840.59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J76"/>
  <sheetViews>
    <sheetView showGridLines="0" tabSelected="1" view="pageBreakPreview" zoomScaleNormal="100" zoomScaleSheetLayoutView="100" workbookViewId="0">
      <selection activeCell="U76" sqref="U76"/>
    </sheetView>
  </sheetViews>
  <sheetFormatPr defaultColWidth="9.7109375" defaultRowHeight="12.75"/>
  <cols>
    <col min="1" max="1" width="8.5703125" style="23" customWidth="1"/>
    <col min="2" max="2" width="11.140625" style="23" customWidth="1"/>
    <col min="3" max="3" width="12" style="23" customWidth="1"/>
    <col min="4" max="4" width="11.7109375" style="23" customWidth="1"/>
    <col min="5" max="5" width="9.85546875" style="23" customWidth="1"/>
    <col min="6" max="6" width="11.5703125" style="141" customWidth="1"/>
    <col min="7" max="7" width="9.42578125" style="141" customWidth="1"/>
    <col min="8" max="8" width="10" style="141" customWidth="1"/>
    <col min="9" max="9" width="10.140625" style="141" customWidth="1"/>
    <col min="10" max="10" width="13.5703125" style="141" customWidth="1"/>
    <col min="11" max="11" width="2.5703125" style="141" customWidth="1"/>
    <col min="12" max="12" width="12.5703125" style="8" customWidth="1"/>
    <col min="13" max="13" width="10.42578125" style="23" customWidth="1"/>
    <col min="14" max="14" width="11.7109375" style="141" customWidth="1"/>
    <col min="15" max="15" width="9.5703125" style="141" customWidth="1"/>
    <col min="16" max="16" width="10.42578125" style="141" bestFit="1" customWidth="1"/>
    <col min="17" max="17" width="11" style="141" customWidth="1"/>
    <col min="18" max="18" width="13.5703125" style="141" customWidth="1"/>
    <col min="19" max="19" width="11.85546875" style="141" customWidth="1"/>
    <col min="20" max="20" width="11" style="141" customWidth="1"/>
    <col min="21" max="21" width="17.42578125" style="8" customWidth="1"/>
    <col min="22" max="16384" width="9.7109375" style="23"/>
  </cols>
  <sheetData>
    <row r="1" spans="1:36" s="72" customFormat="1">
      <c r="A1" s="103" t="s">
        <v>228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M1" s="104"/>
      <c r="N1" s="105"/>
      <c r="O1" s="104"/>
      <c r="P1" s="105"/>
      <c r="Q1" s="104"/>
      <c r="R1" s="105"/>
      <c r="S1" s="105"/>
      <c r="T1" s="104"/>
      <c r="U1" s="105" t="s">
        <v>229</v>
      </c>
    </row>
    <row r="2" spans="1:36" s="72" customFormat="1">
      <c r="A2" s="103" t="s">
        <v>169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5"/>
      <c r="M2" s="104"/>
      <c r="N2" s="105"/>
      <c r="O2" s="104"/>
      <c r="P2" s="105"/>
      <c r="Q2" s="104"/>
      <c r="R2" s="105"/>
      <c r="S2" s="105"/>
      <c r="T2" s="104"/>
      <c r="U2" s="105" t="s">
        <v>168</v>
      </c>
    </row>
    <row r="3" spans="1:36" s="72" customFormat="1" ht="15.7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5"/>
      <c r="M3" s="104"/>
      <c r="N3" s="105"/>
      <c r="O3" s="104"/>
      <c r="P3" s="105"/>
      <c r="Q3" s="104"/>
      <c r="R3" s="105"/>
      <c r="S3" s="105"/>
      <c r="T3" s="104"/>
      <c r="U3" s="105"/>
      <c r="X3" s="224" t="s">
        <v>213</v>
      </c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</row>
    <row r="4" spans="1:36" s="72" customFormat="1" ht="14.25">
      <c r="A4" s="106"/>
      <c r="B4" s="106"/>
      <c r="C4" s="166"/>
      <c r="D4" s="167" t="s">
        <v>170</v>
      </c>
      <c r="E4" s="167"/>
      <c r="F4" s="167"/>
      <c r="G4" s="107"/>
      <c r="H4" s="107"/>
      <c r="I4" s="107"/>
      <c r="J4" s="107"/>
      <c r="K4" s="104" t="s">
        <v>171</v>
      </c>
      <c r="L4" s="109" t="s">
        <v>172</v>
      </c>
      <c r="M4" s="107"/>
      <c r="N4" s="109"/>
      <c r="O4" s="107"/>
      <c r="P4" s="109"/>
      <c r="Q4" s="107"/>
      <c r="R4" s="109"/>
      <c r="S4" s="109" t="s">
        <v>173</v>
      </c>
      <c r="T4" s="107"/>
      <c r="U4" s="108" t="s">
        <v>171</v>
      </c>
    </row>
    <row r="5" spans="1:36" s="72" customFormat="1">
      <c r="A5" s="104"/>
      <c r="B5" s="104"/>
      <c r="C5" s="168"/>
      <c r="D5" s="167" t="s">
        <v>174</v>
      </c>
      <c r="E5" s="104"/>
      <c r="F5" s="169" t="s">
        <v>175</v>
      </c>
      <c r="G5" s="170"/>
      <c r="H5" s="298" t="s">
        <v>176</v>
      </c>
      <c r="I5" s="299"/>
      <c r="J5" s="171" t="s">
        <v>177</v>
      </c>
      <c r="K5" s="104"/>
      <c r="L5" s="164" t="s">
        <v>174</v>
      </c>
      <c r="M5" s="104"/>
      <c r="N5" s="164" t="s">
        <v>175</v>
      </c>
      <c r="O5" s="104"/>
      <c r="P5" s="164" t="s">
        <v>176</v>
      </c>
      <c r="Q5" s="104"/>
      <c r="R5" s="164" t="s">
        <v>177</v>
      </c>
      <c r="S5" s="164" t="s">
        <v>171</v>
      </c>
      <c r="T5" s="104"/>
      <c r="U5" s="105"/>
    </row>
    <row r="6" spans="1:36" s="72" customFormat="1" ht="14.25">
      <c r="C6" s="168" t="s">
        <v>178</v>
      </c>
      <c r="D6" s="172"/>
      <c r="E6" s="110" t="s">
        <v>179</v>
      </c>
      <c r="F6" s="172"/>
      <c r="G6" s="110" t="s">
        <v>179</v>
      </c>
      <c r="H6" s="172"/>
      <c r="I6" s="110" t="s">
        <v>179</v>
      </c>
      <c r="J6" s="172"/>
      <c r="K6" s="111"/>
      <c r="L6" s="172"/>
      <c r="M6" s="110" t="s">
        <v>179</v>
      </c>
      <c r="N6" s="172"/>
      <c r="O6" s="110" t="s">
        <v>179</v>
      </c>
      <c r="P6" s="172"/>
      <c r="Q6" s="110" t="s">
        <v>179</v>
      </c>
      <c r="R6" s="163"/>
      <c r="S6" s="163"/>
      <c r="T6" s="110"/>
      <c r="U6" s="105"/>
    </row>
    <row r="7" spans="1:36" s="72" customFormat="1">
      <c r="C7" s="111" t="s">
        <v>221</v>
      </c>
      <c r="D7" s="260" t="s">
        <v>221</v>
      </c>
      <c r="E7" s="111" t="s">
        <v>180</v>
      </c>
      <c r="F7" s="260" t="s">
        <v>221</v>
      </c>
      <c r="G7" s="111" t="s">
        <v>180</v>
      </c>
      <c r="H7" s="260" t="s">
        <v>221</v>
      </c>
      <c r="I7" s="111" t="s">
        <v>180</v>
      </c>
      <c r="J7" s="260" t="s">
        <v>221</v>
      </c>
      <c r="K7" s="111"/>
      <c r="L7" s="260" t="s">
        <v>221</v>
      </c>
      <c r="M7" s="111" t="s">
        <v>180</v>
      </c>
      <c r="N7" s="260" t="s">
        <v>221</v>
      </c>
      <c r="O7" s="111" t="s">
        <v>180</v>
      </c>
      <c r="P7" s="260" t="s">
        <v>221</v>
      </c>
      <c r="Q7" s="111" t="s">
        <v>180</v>
      </c>
      <c r="R7" s="260" t="s">
        <v>221</v>
      </c>
      <c r="S7" s="260" t="s">
        <v>221</v>
      </c>
      <c r="T7" s="111" t="s">
        <v>181</v>
      </c>
      <c r="U7" s="105"/>
    </row>
    <row r="8" spans="1:36" s="72" customFormat="1">
      <c r="C8" s="111" t="s">
        <v>182</v>
      </c>
      <c r="D8" s="172" t="s">
        <v>182</v>
      </c>
      <c r="E8" s="111" t="s">
        <v>225</v>
      </c>
      <c r="F8" s="172" t="s">
        <v>182</v>
      </c>
      <c r="G8" s="111" t="s">
        <v>225</v>
      </c>
      <c r="H8" s="172" t="s">
        <v>182</v>
      </c>
      <c r="I8" s="111" t="s">
        <v>225</v>
      </c>
      <c r="J8" s="172" t="s">
        <v>182</v>
      </c>
      <c r="K8" s="111"/>
      <c r="L8" s="172" t="s">
        <v>182</v>
      </c>
      <c r="M8" s="111" t="s">
        <v>225</v>
      </c>
      <c r="N8" s="172" t="s">
        <v>182</v>
      </c>
      <c r="O8" s="279" t="s">
        <v>225</v>
      </c>
      <c r="P8" s="111" t="s">
        <v>182</v>
      </c>
      <c r="Q8" s="111" t="s">
        <v>225</v>
      </c>
      <c r="R8" s="172" t="s">
        <v>182</v>
      </c>
      <c r="S8" s="172" t="s">
        <v>182</v>
      </c>
      <c r="T8" s="111" t="s">
        <v>167</v>
      </c>
      <c r="U8" s="105"/>
    </row>
    <row r="9" spans="1:36" s="72" customFormat="1" ht="12.75" customHeight="1">
      <c r="A9" s="112"/>
      <c r="B9" s="112"/>
      <c r="C9" s="292" t="s">
        <v>183</v>
      </c>
      <c r="D9" s="293" t="s">
        <v>183</v>
      </c>
      <c r="E9" s="292" t="s">
        <v>221</v>
      </c>
      <c r="F9" s="293" t="s">
        <v>183</v>
      </c>
      <c r="G9" s="292" t="s">
        <v>221</v>
      </c>
      <c r="H9" s="293" t="s">
        <v>183</v>
      </c>
      <c r="I9" s="292" t="s">
        <v>221</v>
      </c>
      <c r="J9" s="293" t="s">
        <v>183</v>
      </c>
      <c r="K9" s="111"/>
      <c r="L9" s="293" t="s">
        <v>183</v>
      </c>
      <c r="M9" s="292" t="s">
        <v>221</v>
      </c>
      <c r="N9" s="293" t="s">
        <v>183</v>
      </c>
      <c r="O9" s="294" t="s">
        <v>221</v>
      </c>
      <c r="P9" s="292" t="s">
        <v>183</v>
      </c>
      <c r="Q9" s="292" t="s">
        <v>221</v>
      </c>
      <c r="R9" s="293" t="s">
        <v>183</v>
      </c>
      <c r="S9" s="293" t="s">
        <v>183</v>
      </c>
      <c r="T9" s="292" t="s">
        <v>221</v>
      </c>
      <c r="U9" s="113"/>
    </row>
    <row r="10" spans="1:36">
      <c r="A10" s="114" t="s">
        <v>33</v>
      </c>
      <c r="B10" s="114"/>
      <c r="C10" s="215">
        <f>+'Total State Aid'!AI4*1000</f>
        <v>12839639.591000004</v>
      </c>
      <c r="D10" s="216">
        <f>+'Grants Need-Based'!DN4*1000</f>
        <v>8387897.8290000018</v>
      </c>
      <c r="E10" s="115">
        <f>IF(((('Grants Need-Based'!DN4-'Grants Need-Based'!DI4)/'Grants Need-Based'!DI4)*100)&gt;500,"*",(('Grants Need-Based'!DN4-'Grants Need-Based'!DI4)/'Grants Need-Based'!DI4)*100)</f>
        <v>21.650955097807099</v>
      </c>
      <c r="F10" s="216">
        <f>+'Grants Need-Based'!AI4*1000</f>
        <v>8210065.7340000002</v>
      </c>
      <c r="G10" s="115">
        <f>IF(((('Grants Need-Based'!AI4-'Grants Need-Based'!AD4)/'Grants Need-Based'!AD4)*100)&gt;500,"*",(('Grants Need-Based'!AI4-'Grants Need-Based'!AD4)/'Grants Need-Based'!AD4)*100)</f>
        <v>20.648347182310552</v>
      </c>
      <c r="H10" s="216">
        <f>IF('Grants Need-Based'!BQ4="—","—",'Grants Need-Based'!BQ4*1000)</f>
        <v>148671.01</v>
      </c>
      <c r="I10" s="115">
        <f>IF('Grants Need-Based'!BQ4="—","—",(('Grants Need-Based'!BQ4-'Grants Need-Based'!BL4)/'Grants Need-Based'!BL4)*100)</f>
        <v>123.82122425629292</v>
      </c>
      <c r="J10" s="216">
        <f>IF('Grants Need-Based'!CF4="—","—",'Grants Need-Based'!CF4*1000)</f>
        <v>29161.084999999999</v>
      </c>
      <c r="K10" s="114"/>
      <c r="L10" s="216">
        <f>IF(('Grants Non Need-Based '!DN4*1000)&gt;0,'Grants Non Need-Based '!DN4*1000,"NA")</f>
        <v>2593964.2440000004</v>
      </c>
      <c r="M10" s="115">
        <f>IF('Grants Non Need-Based '!DN4&gt;0,(('Grants Non Need-Based '!DN4-'Grants Non Need-Based '!DI4)/'Grants Non Need-Based '!DI4)*100,"NA")</f>
        <v>6.098031351296088</v>
      </c>
      <c r="N10" s="216">
        <f>IF('Grants Non Need-Based '!AI4="—","—",'Grants Non Need-Based '!AI4*1000)</f>
        <v>2544506.1140000001</v>
      </c>
      <c r="O10" s="115">
        <f>IF('Grants Non Need-Based '!AI4="—","—",(('Grants Non Need-Based '!AI4-'Grants Non Need-Based '!AD4)/'Grants Non Need-Based '!AD4)*100)</f>
        <v>6.2722448219291707</v>
      </c>
      <c r="P10" s="277">
        <f>IF('Grants Non Need-Based '!BQ4="NA","NA",'Grants Non Need-Based '!BQ4*1000)</f>
        <v>42892.358</v>
      </c>
      <c r="Q10" s="115">
        <f>IF('Grants Non Need-Based '!BQ4="—","—",(('Grants Non Need-Based '!BQ4-'Grants Non Need-Based '!BL4)/'Grants Non Need-Based '!BL4)*100)</f>
        <v>21.37743505574738</v>
      </c>
      <c r="R10" s="280">
        <f>IF('Grants Non Need-Based '!CF4="NA","NA",'Grants Non Need-Based '!CF4*1000)</f>
        <v>6565.7719999999999</v>
      </c>
      <c r="S10" s="277">
        <f>+Other!AI4*1000</f>
        <v>1857777.5179999999</v>
      </c>
      <c r="T10" s="219">
        <f>('Distribution Check Figures'!AF3)*100</f>
        <v>14.469078394554133</v>
      </c>
      <c r="U10" s="220" t="s">
        <v>33</v>
      </c>
    </row>
    <row r="11" spans="1:36">
      <c r="A11" s="117" t="s">
        <v>34</v>
      </c>
      <c r="B11" s="117"/>
      <c r="C11" s="174">
        <f>+'Total State Aid'!AI5*1000</f>
        <v>5462395.557</v>
      </c>
      <c r="D11" s="120">
        <f>+'Grants Need-Based'!DN5*1000</f>
        <v>2449815.0650000004</v>
      </c>
      <c r="E11" s="175">
        <f>IF(((('Grants Need-Based'!DN5-'Grants Need-Based'!DI5)/'Grants Need-Based'!DI5)*100)&gt;500,"*",(('Grants Need-Based'!DN5-'Grants Need-Based'!DI5)/'Grants Need-Based'!DI5)*100)</f>
        <v>41.328907289314607</v>
      </c>
      <c r="F11" s="124">
        <f>+'Grants Need-Based'!AI5*1000</f>
        <v>2303900.9449999998</v>
      </c>
      <c r="G11" s="119">
        <f>IF(((('Grants Need-Based'!AI5-'Grants Need-Based'!AD5)/'Grants Need-Based'!AD5)*100)&gt;500,"*",(('Grants Need-Based'!AI5-'Grants Need-Based'!AD5)/'Grants Need-Based'!AD5)*100)</f>
        <v>37.39015143383282</v>
      </c>
      <c r="H11" s="273">
        <f>IF('Grants Need-Based'!BQ5="—","—",'Grants Need-Based'!BQ5*1000)</f>
        <v>136758.628</v>
      </c>
      <c r="I11" s="119">
        <f>IF('Grants Need-Based'!BQ5="—","—",(('Grants Need-Based'!BQ5-'Grants Need-Based'!BL5)/'Grants Need-Based'!BL5)*100)</f>
        <v>163.54980247056332</v>
      </c>
      <c r="J11" s="120">
        <f>IF('Grants Need-Based'!CF5="—","—",'Grants Need-Based'!CF5*1000)</f>
        <v>9155.4919999999984</v>
      </c>
      <c r="K11" s="117"/>
      <c r="L11" s="120">
        <f>IF(('Grants Non Need-Based '!DN5*1000)&gt;0,'Grants Non Need-Based '!DN5*1000,"NA")</f>
        <v>2222727.7620000001</v>
      </c>
      <c r="M11" s="269">
        <f>IF('Grants Non Need-Based '!DN5&gt;0,(('Grants Non Need-Based '!DN5-'Grants Non Need-Based '!DI5)/'Grants Non Need-Based '!DI5)*100,"NA")</f>
        <v>4.5466064050752788</v>
      </c>
      <c r="N11" s="273">
        <f>IF('Grants Non Need-Based '!AI5="—","—",'Grants Non Need-Based '!AI5*1000)</f>
        <v>2178156.2999999998</v>
      </c>
      <c r="O11" s="269">
        <f>IF('Grants Non Need-Based '!AI5="—","—",(('Grants Non Need-Based '!AI5-'Grants Non Need-Based '!AD5)/'Grants Non Need-Based '!AD5)*100)</f>
        <v>4.0248371325782024</v>
      </c>
      <c r="P11" s="278">
        <f>IF('Grants Non Need-Based '!BQ5="NA","NA",'Grants Non Need-Based '!BQ5*1000)</f>
        <v>38346.579000000005</v>
      </c>
      <c r="Q11" s="269">
        <f>IF('Grants Non Need-Based '!BQ5="—","—",(('Grants Non Need-Based '!BQ5-'Grants Non Need-Based '!BL5)/'Grants Non Need-Based '!BL5)*100)</f>
        <v>32.398504989124092</v>
      </c>
      <c r="R11" s="282">
        <f>IF('Grants Non Need-Based '!CF5="NA","NA",'Grants Non Need-Based '!CF5*1000)</f>
        <v>6224.8829999999998</v>
      </c>
      <c r="S11" s="124">
        <f>+Other!AI5*1000</f>
        <v>789852.7300000001</v>
      </c>
      <c r="T11" s="119">
        <f>('Distribution Check Figures'!AF4)*100</f>
        <v>14.459823016438502</v>
      </c>
      <c r="U11" s="124" t="s">
        <v>34</v>
      </c>
    </row>
    <row r="12" spans="1:36" s="180" customFormat="1">
      <c r="A12" s="118" t="s">
        <v>35</v>
      </c>
      <c r="B12" s="118"/>
      <c r="C12" s="175">
        <f>(C11/C$10)*100</f>
        <v>42.543215627554595</v>
      </c>
      <c r="D12" s="121">
        <f>(D11/D$10)*100</f>
        <v>29.206543939175106</v>
      </c>
      <c r="E12" s="175"/>
      <c r="F12" s="119">
        <f>(F11/F$10)*100</f>
        <v>28.061906197156883</v>
      </c>
      <c r="G12" s="175"/>
      <c r="H12" s="119">
        <f>(H11/H$10)*100</f>
        <v>91.987421084984888</v>
      </c>
      <c r="I12" s="119"/>
      <c r="J12" s="121">
        <f>(J11/J$10)*100</f>
        <v>31.396266634111857</v>
      </c>
      <c r="K12" s="118"/>
      <c r="L12" s="121">
        <f>(L11/L$10)*100</f>
        <v>85.688450299240131</v>
      </c>
      <c r="M12" s="175"/>
      <c r="N12" s="119">
        <f>(N11/N$10)*100</f>
        <v>85.602321331266396</v>
      </c>
      <c r="O12" s="175"/>
      <c r="P12" s="119">
        <f>(P11/P$10)*100</f>
        <v>89.401890658471146</v>
      </c>
      <c r="Q12" s="175"/>
      <c r="R12" s="281">
        <f>(R11/R$10)*100</f>
        <v>94.808089589464871</v>
      </c>
      <c r="S12" s="119">
        <f>(S11/S$10)*100</f>
        <v>42.516002177177825</v>
      </c>
      <c r="T12" s="119"/>
      <c r="U12" s="119" t="s">
        <v>35</v>
      </c>
    </row>
    <row r="13" spans="1:36">
      <c r="A13" s="122" t="s">
        <v>36</v>
      </c>
      <c r="B13" s="122"/>
      <c r="C13" s="176">
        <f>+'Total State Aid'!AI7*1000</f>
        <v>82248.861000000004</v>
      </c>
      <c r="D13" s="123">
        <f>+'Grants Need-Based'!DN7*1000</f>
        <v>75303.86</v>
      </c>
      <c r="E13" s="259">
        <f>IF(((('Grants Need-Based'!DN7-'Grants Need-Based'!DI7)/'Grants Need-Based'!DI7)*100)&gt;500,"*",(('Grants Need-Based'!DN7-'Grants Need-Based'!DI7)/'Grants Need-Based'!DI7)*100)</f>
        <v>346.32444286391654</v>
      </c>
      <c r="F13" s="181">
        <f>+'Grants Need-Based'!AI7*1000</f>
        <v>75303.86</v>
      </c>
      <c r="G13" s="259">
        <f>IF(((('Grants Need-Based'!AI7-'Grants Need-Based'!AD7)/'Grants Need-Based'!AD7)*100)&gt;500,"*",(('Grants Need-Based'!AI7-'Grants Need-Based'!AD7)/'Grants Need-Based'!AD7)*100)</f>
        <v>346.88065990148954</v>
      </c>
      <c r="H13" s="181" t="str">
        <f>IF('Grants Need-Based'!BQ7="—","—",'Grants Need-Based'!BQ7*1000)</f>
        <v>—</v>
      </c>
      <c r="I13" s="165" t="str">
        <f>IF('Grants Need-Based'!BQ7="—","—",(('Grants Need-Based'!BQ7-'Grants Need-Based'!BL7)/'Grants Need-Based'!BL7)*100)</f>
        <v>—</v>
      </c>
      <c r="J13" s="123" t="str">
        <f>IF('Grants Need-Based'!CF7="—","—",'Grants Need-Based'!CF7*1000)</f>
        <v>—</v>
      </c>
      <c r="K13" s="117"/>
      <c r="L13" s="123">
        <f>IF(('Grants Non Need-Based '!DN7*1000)&gt;0,'Grants Non Need-Based '!DN7*1000,"NA")</f>
        <v>6778.9740000000002</v>
      </c>
      <c r="M13" s="259">
        <f>IF('Grants Non Need-Based '!DN7&gt;0,(('Grants Non Need-Based '!DN7-'Grants Non Need-Based '!DI7)/'Grants Non Need-Based '!DI7)*100,"NA")</f>
        <v>159.2341873804971</v>
      </c>
      <c r="N13" s="181">
        <f>IF('Grants Non Need-Based '!AI7="—","—",'Grants Non Need-Based '!AI7*1000)</f>
        <v>4854.9740000000002</v>
      </c>
      <c r="O13" s="259">
        <f>IF('Grants Non Need-Based '!AI7="—","—",(('Grants Non Need-Based '!AI7-'Grants Non Need-Based '!AD7)/'Grants Non Need-Based '!AD7)*100)</f>
        <v>163.28492407809111</v>
      </c>
      <c r="P13" s="181">
        <f>IF('Grants Non Need-Based '!BQ7="NA","NA",'Grants Non Need-Based '!BQ7*1000)</f>
        <v>1924</v>
      </c>
      <c r="Q13" s="259">
        <f>IF('Grants Non Need-Based '!BQ7="—","—",(('Grants Non Need-Based '!BQ7-'Grants Non Need-Based '!BL7)/'Grants Non Need-Based '!BL7)*100)</f>
        <v>149.54604409857328</v>
      </c>
      <c r="R13" s="262" t="str">
        <f>IF('Grants Non Need-Based '!CF7="—","—",'Grants Non Need-Based '!CF7*1000)</f>
        <v>—</v>
      </c>
      <c r="S13" s="181">
        <f>IF(Other!AI7="—","—",Other!AI7*1000)</f>
        <v>166.02700000000002</v>
      </c>
      <c r="T13" s="181">
        <f>IF('Distribution Check Figures'!AF6="—","—",'Distribution Check Figures'!AF6*100)</f>
        <v>0.20185933030732184</v>
      </c>
      <c r="U13" s="181" t="s">
        <v>36</v>
      </c>
    </row>
    <row r="14" spans="1:36">
      <c r="A14" s="122" t="s">
        <v>38</v>
      </c>
      <c r="B14" s="122"/>
      <c r="C14" s="176">
        <f>+'Total State Aid'!AI8*1000</f>
        <v>120587.07600000002</v>
      </c>
      <c r="D14" s="123">
        <f>+'Grants Need-Based'!DN8*1000</f>
        <v>9162.67</v>
      </c>
      <c r="E14" s="259">
        <f>IF(((('Grants Need-Based'!DN8-'Grants Need-Based'!DI8)/'Grants Need-Based'!DI8)*100)&gt;500,"*",(('Grants Need-Based'!DN8-'Grants Need-Based'!DI8)/'Grants Need-Based'!DI8)*100)</f>
        <v>4.0503066091301516</v>
      </c>
      <c r="F14" s="181">
        <f>+'Grants Need-Based'!AI8*1000</f>
        <v>9162.67</v>
      </c>
      <c r="G14" s="259">
        <f>IF(((('Grants Need-Based'!AI8-'Grants Need-Based'!AD8)/'Grants Need-Based'!AD8)*100)&gt;500,"*",(('Grants Need-Based'!AI8-'Grants Need-Based'!AD8)/'Grants Need-Based'!AD8)*100)</f>
        <v>4.0503066091301516</v>
      </c>
      <c r="H14" s="181" t="str">
        <f>IF('Grants Need-Based'!BQ8="—","—",'Grants Need-Based'!BQ8*1000)</f>
        <v>—</v>
      </c>
      <c r="I14" s="165" t="str">
        <f>IF('Grants Need-Based'!BQ8="—","—",(('Grants Need-Based'!BQ8-'Grants Need-Based'!BL8)/'Grants Need-Based'!BL8)*100)</f>
        <v>—</v>
      </c>
      <c r="J14" s="123" t="str">
        <f>IF('Grants Need-Based'!CF8="—","—",'Grants Need-Based'!CF8*1000)</f>
        <v>—</v>
      </c>
      <c r="K14" s="117"/>
      <c r="L14" s="123">
        <f>IF(('Grants Non Need-Based '!DN8*1000)&gt;0,'Grants Non Need-Based '!DN8*1000,"NA")</f>
        <v>108984.60400000001</v>
      </c>
      <c r="M14" s="259">
        <f>IF(((('Grants Non Need-Based '!DN8-'Grants Non Need-Based '!DI8)/'Grants Non Need-Based '!DI8)*100)&gt;500,"*",(('Grants Non Need-Based '!DN8-'Grants Non Need-Based '!DI8)/'Grants Non Need-Based '!DI8)*100)</f>
        <v>-25.649394877952282</v>
      </c>
      <c r="N14" s="181">
        <f>IF('Grants Non Need-Based '!AI8="—","—",'Grants Non Need-Based '!AI8*1000)</f>
        <v>102188.376</v>
      </c>
      <c r="O14" s="259">
        <f>IF(((('Grants Non Need-Based '!AI8-'Grants Non Need-Based '!AD8)/'Grants Non Need-Based '!AD8)*100)&gt;500, "*", (('Grants Non Need-Based '!AI8-'Grants Non Need-Based '!AD8)/'Grants Non Need-Based '!AD8)*100)</f>
        <v>-27.456517942711105</v>
      </c>
      <c r="P14" s="123">
        <f>IF('Grants Non Need-Based '!BQ8="—","—",'Grants Non Need-Based '!BQ8*1000)</f>
        <v>6796.2280000000001</v>
      </c>
      <c r="Q14" s="259">
        <f>IF('Grants Non Need-Based '!BQ8="—","—",(('Grants Non Need-Based '!BQ8-'Grants Non Need-Based '!BL8)/'Grants Non Need-Based '!BL8)*100)</f>
        <v>18.877523176491177</v>
      </c>
      <c r="R14" s="262" t="str">
        <f>IF('Grants Non Need-Based '!CF8="—","—",'Grants Non Need-Based '!CF8*1000)</f>
        <v>—</v>
      </c>
      <c r="S14" s="181">
        <f>+Other!AI8*1000</f>
        <v>2439.8019999999997</v>
      </c>
      <c r="T14" s="165">
        <f>('Distribution Check Figures'!AF7)*100</f>
        <v>2.0232698900502402</v>
      </c>
      <c r="U14" s="181" t="s">
        <v>38</v>
      </c>
    </row>
    <row r="15" spans="1:36">
      <c r="A15" s="122" t="s">
        <v>39</v>
      </c>
      <c r="B15" s="122"/>
      <c r="C15" s="176">
        <f>+'Total State Aid'!AI9*1000</f>
        <v>25672.866999999998</v>
      </c>
      <c r="D15" s="123">
        <f>+'Grants Need-Based'!DN9*1000</f>
        <v>13749.949999999999</v>
      </c>
      <c r="E15" s="259">
        <f>IF(((('Grants Need-Based'!DN9-'Grants Need-Based'!DI9)/'Grants Need-Based'!DI9)*100)&gt;500,"*",(('Grants Need-Based'!DN9-'Grants Need-Based'!DI9)/'Grants Need-Based'!DI9)*100)</f>
        <v>-1.7158684774839303</v>
      </c>
      <c r="F15" s="181">
        <f>+'Grants Need-Based'!AI9*1000</f>
        <v>11629.3</v>
      </c>
      <c r="G15" s="259">
        <f>IF(((('Grants Need-Based'!AI9-'Grants Need-Based'!AD9)/'Grants Need-Based'!AD9)*100)&gt;500,"*",(('Grants Need-Based'!AI9-'Grants Need-Based'!AD9)/'Grants Need-Based'!AD9)*100)</f>
        <v>-15.207437112650391</v>
      </c>
      <c r="H15" s="181">
        <f>IF('Grants Need-Based'!BQ9="—","—",'Grants Need-Based'!BQ9*1000)</f>
        <v>63.25</v>
      </c>
      <c r="I15" s="165">
        <f>IF('Grants Need-Based'!BQ9="—","—",(('Grants Need-Based'!BQ9-'Grants Need-Based'!BL9)/'Grants Need-Based'!BL9)*100)</f>
        <v>-77</v>
      </c>
      <c r="J15" s="123">
        <f>IF('Grants Need-Based'!CF9="—","—",'Grants Need-Based'!CF9*1000)</f>
        <v>2057.4</v>
      </c>
      <c r="K15" s="117"/>
      <c r="L15" s="123">
        <f>IF(('Grants Non Need-Based '!DN9*1000)&gt;0,'Grants Non Need-Based '!DN9*1000,"NA")</f>
        <v>11429.153000000002</v>
      </c>
      <c r="M15" s="259">
        <f>IF('Grants Non Need-Based '!DN9&gt;0,(('Grants Non Need-Based '!DN9-'Grants Non Need-Based '!DI9)/'Grants Non Need-Based '!DI9)*100,"NA")</f>
        <v>62.994195664575038</v>
      </c>
      <c r="N15" s="181">
        <f>IF('Grants Non Need-Based '!AI9="—","—",'Grants Non Need-Based '!AI9*1000)</f>
        <v>8577.2980000000007</v>
      </c>
      <c r="O15" s="259">
        <f>IF('Grants Non Need-Based '!AI9="—","—",(('Grants Non Need-Based '!AI9-'Grants Non Need-Based '!AD9)/'Grants Non Need-Based '!AD9)*100)</f>
        <v>34.062175679899987</v>
      </c>
      <c r="P15" s="181">
        <f>IF('Grants Non Need-Based '!BQ9="NA","NA",'Grants Non Need-Based '!BQ9*1000)</f>
        <v>1759.855</v>
      </c>
      <c r="Q15" s="259">
        <f>IF('Grants Non Need-Based '!BQ9="—","—",(('Grants Non Need-Based '!BQ9-'Grants Non Need-Based '!BL9)/'Grants Non Need-Based '!BL9)*100)</f>
        <v>186.62133550488599</v>
      </c>
      <c r="R15" s="262">
        <f>IF('Grants Non Need-Based '!CF9="—","—",'Grants Non Need-Based '!CF9*1000)</f>
        <v>1092</v>
      </c>
      <c r="S15" s="181">
        <f>+Other!AI9*1000</f>
        <v>493.76399999999995</v>
      </c>
      <c r="T15" s="165">
        <f>('Distribution Check Figures'!AF8)*100</f>
        <v>1.9232912319453843</v>
      </c>
      <c r="U15" s="181" t="s">
        <v>39</v>
      </c>
    </row>
    <row r="16" spans="1:36">
      <c r="A16" s="122" t="s">
        <v>40</v>
      </c>
      <c r="B16" s="122"/>
      <c r="C16" s="176">
        <f>+'Total State Aid'!AI10*1000</f>
        <v>509194.10799999995</v>
      </c>
      <c r="D16" s="123">
        <f>+'Grants Need-Based'!DN10*1000</f>
        <v>166991.016</v>
      </c>
      <c r="E16" s="259">
        <f>IF(((('Grants Need-Based'!DN10-'Grants Need-Based'!DI10)/'Grants Need-Based'!DI10)*100)&gt;500,"*",(('Grants Need-Based'!DN10-'Grants Need-Based'!DI10)/'Grants Need-Based'!DI10)*100)</f>
        <v>10.409473245750341</v>
      </c>
      <c r="F16" s="181">
        <f>+'Grants Need-Based'!AI10*1000</f>
        <v>159991.016</v>
      </c>
      <c r="G16" s="259">
        <f>IF(((('Grants Need-Based'!AI10-'Grants Need-Based'!AD10)/'Grants Need-Based'!AD10)*100)&gt;500,"*",(('Grants Need-Based'!AI10-'Grants Need-Based'!AD10)/'Grants Need-Based'!AD10)*100)</f>
        <v>9.1135499358922019</v>
      </c>
      <c r="H16" s="181" t="str">
        <f>IF('Grants Need-Based'!BQ10="—","—",'Grants Need-Based'!BQ10*1000)</f>
        <v>—</v>
      </c>
      <c r="I16" s="165" t="str">
        <f>IF('Grants Need-Based'!BQ10="—","—",(('Grants Need-Based'!BQ10-'Grants Need-Based'!BL10)/'Grants Need-Based'!BL10)*100)</f>
        <v>—</v>
      </c>
      <c r="J16" s="123">
        <f>IF('Grants Need-Based'!CF10="—","—",'Grants Need-Based'!CF10*1000)</f>
        <v>7000</v>
      </c>
      <c r="K16" s="117"/>
      <c r="L16" s="123">
        <f>IF(('Grants Non Need-Based '!DN10*1000)&gt;0,'Grants Non Need-Based '!DN10*1000,"NA")</f>
        <v>229215.63099999999</v>
      </c>
      <c r="M16" s="259">
        <f>IF('Grants Non Need-Based '!DN10&gt;0,(('Grants Non Need-Based '!DN10-'Grants Non Need-Based '!DI10)/'Grants Non Need-Based '!DI10)*100,"NA")</f>
        <v>-32.495882588541576</v>
      </c>
      <c r="N16" s="181">
        <f>IF('Grants Non Need-Based '!AI10="—","—",'Grants Non Need-Based '!AI10*1000)</f>
        <v>225715.63099999999</v>
      </c>
      <c r="O16" s="259">
        <f>IF('Grants Non Need-Based '!AI10="—","—",(('Grants Non Need-Based '!AI10-'Grants Non Need-Based '!AD10)/'Grants Non Need-Based '!AD10)*100)</f>
        <v>-33.132785773111586</v>
      </c>
      <c r="P16" s="123" t="str">
        <f>IF('Grants Non Need-Based '!BQ10="—","—",'Grants Non Need-Based '!BQ10*1000)</f>
        <v>—</v>
      </c>
      <c r="Q16" s="259" t="str">
        <f>IF('Grants Non Need-Based '!BQ10="—","—",(('Grants Non Need-Based '!BQ10-'Grants Non Need-Based '!BL10)/'Grants Non Need-Based '!BL10)*100)</f>
        <v>—</v>
      </c>
      <c r="R16" s="262">
        <f>IF('Grants Non Need-Based '!CF10="NA","NA",'Grants Non Need-Based '!CF10*1000)</f>
        <v>3500</v>
      </c>
      <c r="S16" s="181">
        <f>+Other!AI10*1000</f>
        <v>112987.461</v>
      </c>
      <c r="T16" s="165">
        <f>('Distribution Check Figures'!AF9)*100</f>
        <v>22.189467479069886</v>
      </c>
      <c r="U16" s="181" t="s">
        <v>40</v>
      </c>
    </row>
    <row r="17" spans="1:36">
      <c r="A17" s="117" t="s">
        <v>41</v>
      </c>
      <c r="B17" s="117"/>
      <c r="C17" s="174">
        <f>+'Total State Aid'!AI11*1000</f>
        <v>764149.63699999999</v>
      </c>
      <c r="D17" s="120">
        <f>+'Grants Need-Based'!DN11*1000</f>
        <v>0</v>
      </c>
      <c r="E17" s="175">
        <f>IF('Grants Need-Based'!DI11&gt;0,IF(((('Grants Need-Based'!DN11-'Grants Need-Based'!DI11)/'Grants Need-Based'!DI11)*100)&gt;500,"*",(('Grants Need-Based'!DN11-'Grants Need-Based'!DI11)/'Grants Need-Based'!DI11)*100), 0)</f>
        <v>0</v>
      </c>
      <c r="F17" s="124">
        <f>+'Grants Need-Based'!AI11*1000</f>
        <v>0</v>
      </c>
      <c r="G17" s="175" t="str">
        <f>IF('Grants Need-Based'!AD11="—","—",IF(((('Grants Need-Based'!AI11-'Grants Need-Based'!AD11)/'Grants Need-Based'!AD11)*100)&gt;500,"*",(('Grants Need-Based'!AI11-'Grants Need-Based'!AD11)/'Grants Need-Based'!AD11)*100))</f>
        <v>—</v>
      </c>
      <c r="H17" s="124" t="str">
        <f>IF('Grants Need-Based'!BQ11="—","—",'Grants Need-Based'!BQ11*1000)</f>
        <v>—</v>
      </c>
      <c r="I17" s="119" t="str">
        <f>IF('Grants Need-Based'!BQ11="—","—",(('Grants Need-Based'!BQ11-'Grants Need-Based'!BL11)/'Grants Need-Based'!BL11)*100)</f>
        <v>—</v>
      </c>
      <c r="J17" s="120" t="str">
        <f>IF('Grants Need-Based'!CF11="—","—",'Grants Need-Based'!CF11*1000)</f>
        <v>—</v>
      </c>
      <c r="K17" s="117"/>
      <c r="L17" s="120">
        <f>IF(('Grants Non Need-Based '!DN11*1000)&gt;0,'Grants Non Need-Based '!DN11*1000,"NA")</f>
        <v>728853.01899999997</v>
      </c>
      <c r="M17" s="175">
        <f>IF('Grants Non Need-Based '!DN11&gt;0,(('Grants Non Need-Based '!DN11-'Grants Non Need-Based '!DI11)/'Grants Non Need-Based '!DI11)*100,"NA")</f>
        <v>29.915692666928102</v>
      </c>
      <c r="N17" s="124">
        <f>IF('Grants Non Need-Based '!AI11="—","—",'Grants Non Need-Based '!AI11*1000)</f>
        <v>728853.01899999997</v>
      </c>
      <c r="O17" s="175">
        <f>IF('Grants Non Need-Based '!AI11="—","—",(('Grants Non Need-Based '!AI11-'Grants Non Need-Based '!AD11)/'Grants Non Need-Based '!AD11)*100)</f>
        <v>29.915692666928102</v>
      </c>
      <c r="P17" s="120" t="str">
        <f>IF('Grants Non Need-Based '!BQ11="—","—",'Grants Non Need-Based '!BQ11*1000)</f>
        <v>—</v>
      </c>
      <c r="Q17" s="175" t="str">
        <f>IF('Grants Non Need-Based '!BQ11="—","—",(('Grants Non Need-Based '!BQ11-'Grants Non Need-Based '!BL11)/'Grants Non Need-Based '!BL11)*100)</f>
        <v>—</v>
      </c>
      <c r="R17" s="281" t="str">
        <f>IF('Grants Non Need-Based '!CF11="—","—",'Grants Non Need-Based '!CF11*1000)</f>
        <v>—</v>
      </c>
      <c r="S17" s="124">
        <f>+Other!AI11*1000</f>
        <v>35296.618000000002</v>
      </c>
      <c r="T17" s="119">
        <f>('Distribution Check Figures'!AF10)*100</f>
        <v>4.6190714869108813</v>
      </c>
      <c r="U17" s="124" t="s">
        <v>41</v>
      </c>
    </row>
    <row r="18" spans="1:36">
      <c r="A18" s="117" t="s">
        <v>42</v>
      </c>
      <c r="B18" s="117"/>
      <c r="C18" s="174">
        <f>+'Total State Aid'!AI12*1000</f>
        <v>224300.11900000004</v>
      </c>
      <c r="D18" s="120">
        <f>+'Grants Need-Based'!DN12*1000</f>
        <v>98754.612000000008</v>
      </c>
      <c r="E18" s="175">
        <f>IF(((('Grants Need-Based'!DN12-'Grants Need-Based'!DI12)/'Grants Need-Based'!DI12)*100)&gt;500,"*",(('Grants Need-Based'!DN12-'Grants Need-Based'!DI12)/'Grants Need-Based'!DI12)*100)</f>
        <v>9.8396271744449972</v>
      </c>
      <c r="F18" s="124">
        <f>+'Grants Need-Based'!AI12*1000</f>
        <v>98754.612000000008</v>
      </c>
      <c r="G18" s="175">
        <f>IF(((('Grants Need-Based'!AI12-'Grants Need-Based'!AD12)/'Grants Need-Based'!AD12)*100)&gt;500,"*",(('Grants Need-Based'!AI12-'Grants Need-Based'!AD12)/'Grants Need-Based'!AD12)*100)</f>
        <v>9.8396271744449972</v>
      </c>
      <c r="H18" s="124" t="str">
        <f>IF('Grants Need-Based'!BQ12="—","—",'Grants Need-Based'!BQ12*1000)</f>
        <v>—</v>
      </c>
      <c r="I18" s="119" t="str">
        <f>IF('Grants Need-Based'!BQ12="—","—",(('Grants Need-Based'!BQ12-'Grants Need-Based'!BL12)/'Grants Need-Based'!BL12)*100)</f>
        <v>—</v>
      </c>
      <c r="J18" s="120" t="str">
        <f>IF('Grants Need-Based'!CF12="—","—",'Grants Need-Based'!CF12*1000)</f>
        <v>—</v>
      </c>
      <c r="K18" s="117"/>
      <c r="L18" s="120">
        <f>IF(('Grants Non Need-Based '!DN12*1000)&gt;0,'Grants Non Need-Based '!DN12*1000,"NA")</f>
        <v>123000.787</v>
      </c>
      <c r="M18" s="175">
        <f>IF('Grants Non Need-Based '!DN12&gt;0,(('Grants Non Need-Based '!DN12-'Grants Non Need-Based '!DI12)/'Grants Non Need-Based '!DI12)*100,"NA")</f>
        <v>17.263103352940618</v>
      </c>
      <c r="N18" s="124">
        <f>IF('Grants Non Need-Based '!AI12="—","—",'Grants Non Need-Based '!AI12*1000)</f>
        <v>123000.787</v>
      </c>
      <c r="O18" s="175">
        <f>IF('Grants Non Need-Based '!AI12="—","—",(('Grants Non Need-Based '!AI12-'Grants Non Need-Based '!AD12)/'Grants Non Need-Based '!AD12)*100)</f>
        <v>17.263103352940618</v>
      </c>
      <c r="P18" s="120" t="str">
        <f>IF('Grants Non Need-Based '!BQ12="—","—",'Grants Non Need-Based '!BQ12*1000)</f>
        <v>—</v>
      </c>
      <c r="Q18" s="175" t="str">
        <f>IF('Grants Non Need-Based '!BQ12="—","—",(('Grants Non Need-Based '!BQ12-'Grants Non Need-Based '!BL12)/'Grants Non Need-Based '!BL12)*100)</f>
        <v>—</v>
      </c>
      <c r="R18" s="281" t="str">
        <f>IF('Grants Non Need-Based '!CF12="—","—",'Grants Non Need-Based '!CF12*1000)</f>
        <v>—</v>
      </c>
      <c r="S18" s="124">
        <f>+Other!AI12*1000</f>
        <v>2544.7199999999998</v>
      </c>
      <c r="T18" s="119">
        <f>('Distribution Check Figures'!AF11)*100</f>
        <v>1.134515670943536</v>
      </c>
      <c r="U18" s="124" t="s">
        <v>42</v>
      </c>
    </row>
    <row r="19" spans="1:36">
      <c r="A19" s="117" t="s">
        <v>43</v>
      </c>
      <c r="B19" s="117"/>
      <c r="C19" s="174">
        <f>+'Total State Aid'!AI13*1000</f>
        <v>228081.772</v>
      </c>
      <c r="D19" s="120">
        <f>+'Grants Need-Based'!DN13*1000</f>
        <v>26401.268</v>
      </c>
      <c r="E19" s="175">
        <f>IF(((('Grants Need-Based'!DN13-'Grants Need-Based'!DI13)/'Grants Need-Based'!DI13)*100)&gt;500,"*",(('Grants Need-Based'!DN13-'Grants Need-Based'!DI13)/'Grants Need-Based'!DI13)*100)</f>
        <v>-2.1559203943223468</v>
      </c>
      <c r="F19" s="124">
        <f>+'Grants Need-Based'!AI13*1000</f>
        <v>26401.268</v>
      </c>
      <c r="G19" s="175">
        <f>IF(((('Grants Need-Based'!AI13-'Grants Need-Based'!AD13)/'Grants Need-Based'!AD13)*100)&gt;500,"*",(('Grants Need-Based'!AI13-'Grants Need-Based'!AD13)/'Grants Need-Based'!AD13)*100)</f>
        <v>-2.1559203943223468</v>
      </c>
      <c r="H19" s="124" t="str">
        <f>IF('Grants Need-Based'!BQ13="—","—",'Grants Need-Based'!BQ13*1000)</f>
        <v>—</v>
      </c>
      <c r="I19" s="119" t="str">
        <f>IF('Grants Need-Based'!BQ13="—","—",(('Grants Need-Based'!BQ13-'Grants Need-Based'!BL13)/'Grants Need-Based'!BL13)*100)</f>
        <v>—</v>
      </c>
      <c r="J19" s="120" t="str">
        <f>IF('Grants Need-Based'!CF13="—","—",'Grants Need-Based'!CF13*1000)</f>
        <v>—</v>
      </c>
      <c r="K19" s="117"/>
      <c r="L19" s="120">
        <f>IF(('Grants Non Need-Based '!DN13*1000)&gt;0,'Grants Non Need-Based '!DN13*1000,"NA")</f>
        <v>201680.50399999999</v>
      </c>
      <c r="M19" s="175">
        <f>IF('Grants Non Need-Based '!DN13&gt;0,(('Grants Non Need-Based '!DN13-'Grants Non Need-Based '!DI13)/'Grants Non Need-Based '!DI13)*100,"NA")</f>
        <v>17.440461189075872</v>
      </c>
      <c r="N19" s="124">
        <f>IF('Grants Non Need-Based '!AI13="—","—",'Grants Non Need-Based '!AI13*1000)</f>
        <v>200766.68400000001</v>
      </c>
      <c r="O19" s="175">
        <f>IF('Grants Non Need-Based '!AI13="—","—",(('Grants Non Need-Based '!AI13-'Grants Non Need-Based '!AD13)/'Grants Non Need-Based '!AD13)*100)</f>
        <v>17.801466895111133</v>
      </c>
      <c r="P19" s="124">
        <f>IF('Grants Non Need-Based '!BQ13="NA","NA",'Grants Non Need-Based '!BQ13*1000)</f>
        <v>913.81999999999994</v>
      </c>
      <c r="Q19" s="175">
        <f>IF(((('Grants Non Need-Based '!BQ13-'Grants Non Need-Based '!BL13)/'Grants Non Need-Based '!BL13)*100)&gt;500,"*",(('Grants Non Need-Based '!BQ13-'Grants Non Need-Based '!BL13)/'Grants Non Need-Based '!BL13)*100)</f>
        <v>-9.7907206317867654</v>
      </c>
      <c r="R19" s="281" t="str">
        <f>IF('Grants Non Need-Based '!CF13="—","—",'Grants Non Need-Based '!CF13*1000)</f>
        <v>—</v>
      </c>
      <c r="S19" s="124" t="str">
        <f>IF(Other!AI13="—","—",Other!AI13*1000)</f>
        <v>—</v>
      </c>
      <c r="T19" s="124" t="str">
        <f>IF('Distribution Check Figures'!AF12="—","—",'Distribution Check Figures'!AF12*100)</f>
        <v>—</v>
      </c>
      <c r="U19" s="124" t="s">
        <v>43</v>
      </c>
    </row>
    <row r="20" spans="1:36">
      <c r="A20" s="117" t="s">
        <v>44</v>
      </c>
      <c r="B20" s="117"/>
      <c r="C20" s="174">
        <f>+'Total State Aid'!AI14*1000</f>
        <v>103168.65699999999</v>
      </c>
      <c r="D20" s="120">
        <f>+'Grants Need-Based'!DN14*1000</f>
        <v>96664.071000000011</v>
      </c>
      <c r="E20" s="175">
        <f>IF(((('Grants Need-Based'!DN14-'Grants Need-Based'!DI14)/'Grants Need-Based'!DI14)*100)&gt;500,"*",(('Grants Need-Based'!DN14-'Grants Need-Based'!DI14)/'Grants Need-Based'!DI14)*100)</f>
        <v>9.7395368110347942</v>
      </c>
      <c r="F20" s="124">
        <f>+'Grants Need-Based'!AI14*1000</f>
        <v>92374.107000000004</v>
      </c>
      <c r="G20" s="175">
        <f>IF(((('Grants Need-Based'!AI14-'Grants Need-Based'!AD14)/'Grants Need-Based'!AD14)*100)&gt;500,"*",(('Grants Need-Based'!AI14-'Grants Need-Based'!AD14)/'Grants Need-Based'!AD14)*100)</f>
        <v>7.7538080184772653</v>
      </c>
      <c r="H20" s="124">
        <f>IF('Grants Need-Based'!BQ14="—","—",'Grants Need-Based'!BQ14*1000)</f>
        <v>4289.9639999999999</v>
      </c>
      <c r="I20" s="119">
        <f>IF('Grants Need-Based'!BQ14="—","—",(('Grants Need-Based'!BQ14-'Grants Need-Based'!BL14)/'Grants Need-Based'!BL14)*100)</f>
        <v>81.93231552162851</v>
      </c>
      <c r="J20" s="120" t="str">
        <f>IF('Grants Need-Based'!CF14="—","—",'Grants Need-Based'!CF14*1000)</f>
        <v>—</v>
      </c>
      <c r="K20" s="117"/>
      <c r="L20" s="120">
        <f>IF(('Grants Non Need-Based '!DN14*1000)&gt;0,'Grants Non Need-Based '!DN14*1000,"NA")</f>
        <v>3487.2530000000002</v>
      </c>
      <c r="M20" s="175">
        <f>IF('Grants Non Need-Based '!DN14&gt;0,(('Grants Non Need-Based '!DN14-'Grants Non Need-Based '!DI14)/'Grants Non Need-Based '!DI14)*100,"NA")</f>
        <v>-29.336312056737583</v>
      </c>
      <c r="N20" s="124">
        <f>IF('Grants Non Need-Based '!AI14="—","—",'Grants Non Need-Based '!AI14*1000)</f>
        <v>686.33999999999992</v>
      </c>
      <c r="O20" s="175">
        <f>IF('Grants Non Need-Based '!AI14="—","—",(('Grants Non Need-Based '!AI14-'Grants Non Need-Based '!AD14)/'Grants Non Need-Based '!AD14)*100)</f>
        <v>-83.194417238001961</v>
      </c>
      <c r="P20" s="124">
        <f>IF('Grants Non Need-Based '!BQ14="NA","NA",'Grants Non Need-Based '!BQ14*1000)</f>
        <v>1168.03</v>
      </c>
      <c r="Q20" s="175" t="str">
        <f>IF('Grants Non Need-Based '!BL14="—","—", (('Grants Non Need-Based '!BQ14-'Grants Non Need-Based '!BL14)/'Grants Non Need-Based '!BL14)*100)</f>
        <v>—</v>
      </c>
      <c r="R20" s="281">
        <f>IF('Grants Non Need-Based '!CF14="NA","NA",'Grants Non Need-Based '!CF14*1000)</f>
        <v>1632.883</v>
      </c>
      <c r="S20" s="124">
        <f>+Other!AI14*1000</f>
        <v>3017.3329999999996</v>
      </c>
      <c r="T20" s="119">
        <f>('Distribution Check Figures'!AF13)*100</f>
        <v>2.9246605391015219</v>
      </c>
      <c r="U20" s="124" t="s">
        <v>44</v>
      </c>
    </row>
    <row r="21" spans="1:36" ht="15.75">
      <c r="A21" s="122" t="s">
        <v>46</v>
      </c>
      <c r="B21" s="122"/>
      <c r="C21" s="176">
        <f>+'Total State Aid'!AI15*1000</f>
        <v>38760.518999999993</v>
      </c>
      <c r="D21" s="123">
        <f>+'Grants Need-Based'!DN15*1000</f>
        <v>16762.792999999998</v>
      </c>
      <c r="E21" s="259">
        <f>IF(((('Grants Need-Based'!DN15-'Grants Need-Based'!DI15)/'Grants Need-Based'!DI15)*100)&gt;500,"*",(('Grants Need-Based'!DN15-'Grants Need-Based'!DI15)/'Grants Need-Based'!DI15)*100)</f>
        <v>329.9254424211336</v>
      </c>
      <c r="F21" s="181">
        <f>+'Grants Need-Based'!AI15*1000</f>
        <v>16762.792999999998</v>
      </c>
      <c r="G21" s="259">
        <f>IF(((('Grants Need-Based'!AI15-'Grants Need-Based'!AD15)/'Grants Need-Based'!AD15)*100)&gt;500,"*",(('Grants Need-Based'!AI15-'Grants Need-Based'!AD15)/'Grants Need-Based'!AD15)*100)</f>
        <v>329.9254424211336</v>
      </c>
      <c r="H21" s="181" t="str">
        <f>IF('Grants Need-Based'!BQ15="—","—",'Grants Need-Based'!BQ15*1000)</f>
        <v>—</v>
      </c>
      <c r="I21" s="165" t="str">
        <f>IF('Grants Need-Based'!BQ15="—","—",(('Grants Need-Based'!BQ15-'Grants Need-Based'!BL15)/'Grants Need-Based'!BL15)*100)</f>
        <v>—</v>
      </c>
      <c r="J21" s="123" t="str">
        <f>IF('Grants Need-Based'!CF15="—","—",'Grants Need-Based'!CF15*1000)</f>
        <v>—</v>
      </c>
      <c r="K21" s="117"/>
      <c r="L21" s="123">
        <f>IF(('Grants Non Need-Based '!DN15*1000)&gt;0,'Grants Non Need-Based '!DN15*1000,"NA")</f>
        <v>19482.831999999999</v>
      </c>
      <c r="M21" s="259">
        <f>IF('Grants Non Need-Based '!DN15&gt;0,(('Grants Non Need-Based '!DN15-'Grants Non Need-Based '!DI15)/'Grants Non Need-Based '!DI15)*100,"NA")</f>
        <v>2.304305818105429</v>
      </c>
      <c r="N21" s="181">
        <f>IF('Grants Non Need-Based '!AI15="—","—",'Grants Non Need-Based '!AI15*1000)</f>
        <v>19482.831999999999</v>
      </c>
      <c r="O21" s="259">
        <f>IF('Grants Non Need-Based '!AI15="—","—",(('Grants Non Need-Based '!AI15-'Grants Non Need-Based '!AD15)/'Grants Non Need-Based '!AD15)*100)</f>
        <v>2.4872803787480104</v>
      </c>
      <c r="P21" s="123" t="str">
        <f>IF('Grants Non Need-Based '!BQ15="—","—",'Grants Non Need-Based '!BQ15*1000)</f>
        <v>—</v>
      </c>
      <c r="Q21" s="259" t="str">
        <f>IF('Grants Non Need-Based '!BQ15="—","—",(('Grants Non Need-Based '!BQ15-'Grants Non Need-Based '!BL15)/'Grants Non Need-Based '!BL15)*100)</f>
        <v>—</v>
      </c>
      <c r="R21" s="262" t="str">
        <f>IF('Grants Non Need-Based '!CF15="—","—",'Grants Non Need-Based '!CF15*1000)</f>
        <v>—</v>
      </c>
      <c r="S21" s="181">
        <f>+Other!AI15*1000</f>
        <v>2514.8939999999998</v>
      </c>
      <c r="T21" s="165">
        <f>('Distribution Check Figures'!AF14)*100</f>
        <v>6.4882877342277085</v>
      </c>
      <c r="U21" s="181" t="s">
        <v>46</v>
      </c>
      <c r="X21" s="223" t="s">
        <v>214</v>
      </c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</row>
    <row r="22" spans="1:36">
      <c r="A22" s="122" t="s">
        <v>47</v>
      </c>
      <c r="B22" s="122"/>
      <c r="C22" s="176">
        <f>+'Total State Aid'!AI16*1000</f>
        <v>382512.16899999999</v>
      </c>
      <c r="D22" s="123">
        <f>+'Grants Need-Based'!DN16*1000</f>
        <v>306051.71299999999</v>
      </c>
      <c r="E22" s="259">
        <f>IF(((('Grants Need-Based'!DN16-'Grants Need-Based'!DI16)/'Grants Need-Based'!DI16)*100)&gt;500,"*",(('Grants Need-Based'!DN16-'Grants Need-Based'!DI16)/'Grants Need-Based'!DI16)*100)</f>
        <v>14.151547126179551</v>
      </c>
      <c r="F22" s="181">
        <f>+'Grants Need-Based'!AI16*1000</f>
        <v>305663.71300000005</v>
      </c>
      <c r="G22" s="259">
        <f>IF(((('Grants Need-Based'!AI16-'Grants Need-Based'!AD16)/'Grants Need-Based'!AD16)*100)&gt;500,"*",(('Grants Need-Based'!AI16-'Grants Need-Based'!AD16)/'Grants Need-Based'!AD16)*100)</f>
        <v>14.209170325256428</v>
      </c>
      <c r="H22" s="181">
        <f>IF('Grants Need-Based'!BQ16="—","—",'Grants Need-Based'!BQ16*1000)</f>
        <v>388</v>
      </c>
      <c r="I22" s="165">
        <f>IF('Grants Need-Based'!BQ16="—","—",(('Grants Need-Based'!BQ16-'Grants Need-Based'!BL16)/'Grants Need-Based'!BL16)*100)</f>
        <v>-18.315789473684205</v>
      </c>
      <c r="J22" s="123" t="str">
        <f>IF('Grants Need-Based'!CF16="—","—",'Grants Need-Based'!CF16*1000)</f>
        <v>—</v>
      </c>
      <c r="K22" s="117"/>
      <c r="L22" s="123">
        <f>IF(('Grants Non Need-Based '!DN16*1000)&gt;0,'Grants Non Need-Based '!DN16*1000,"NA")</f>
        <v>6457.0219999999999</v>
      </c>
      <c r="M22" s="259">
        <f>IF('Grants Non Need-Based '!DN16&gt;0,(('Grants Non Need-Based '!DN16-'Grants Non Need-Based '!DI16)/'Grants Non Need-Based '!DI16)*100,"NA")</f>
        <v>-89.172428942734967</v>
      </c>
      <c r="N22" s="181">
        <f>IF('Grants Non Need-Based '!AI16="—","—",'Grants Non Need-Based '!AI16*1000)</f>
        <v>6144.2610000000004</v>
      </c>
      <c r="O22" s="259">
        <f>IF('Grants Non Need-Based '!AI16="—","—",(('Grants Non Need-Based '!AI16-'Grants Non Need-Based '!AD16)/'Grants Non Need-Based '!AD16)*100)</f>
        <v>-89.696887733713424</v>
      </c>
      <c r="P22" s="181">
        <f>IF('Grants Non Need-Based '!BQ16="NA","NA",'Grants Non Need-Based '!BQ16*1000)</f>
        <v>312.76100000000002</v>
      </c>
      <c r="Q22" s="259" t="str">
        <f>IF('Grants Non Need-Based '!BL16="—","—",(('Grants Non Need-Based '!BQ16-'Grants Non Need-Based '!BL16)/'Grants Non Need-Based '!BL16)*100)</f>
        <v>—</v>
      </c>
      <c r="R22" s="262" t="str">
        <f>IF('Grants Non Need-Based '!CF16="—","—",'Grants Non Need-Based '!CF16*1000)</f>
        <v>—</v>
      </c>
      <c r="S22" s="181">
        <f>+Other!AI16*1000</f>
        <v>70003.433999999994</v>
      </c>
      <c r="T22" s="165">
        <f>('Distribution Check Figures'!AF15)*100</f>
        <v>18.300969138579223</v>
      </c>
      <c r="U22" s="181" t="s">
        <v>47</v>
      </c>
    </row>
    <row r="23" spans="1:36">
      <c r="A23" s="122" t="s">
        <v>48</v>
      </c>
      <c r="B23" s="122"/>
      <c r="C23" s="176">
        <f>+'Total State Aid'!AI17*1000</f>
        <v>102253.21399999999</v>
      </c>
      <c r="D23" s="123">
        <f>+'Grants Need-Based'!DN17*1000</f>
        <v>86182.813000000009</v>
      </c>
      <c r="E23" s="259">
        <f>IF(((('Grants Need-Based'!DN17-'Grants Need-Based'!DI17)/'Grants Need-Based'!DI17)*100)&gt;500,"*",(('Grants Need-Based'!DN17-'Grants Need-Based'!DI17)/'Grants Need-Based'!DI17)*100)</f>
        <v>5.4869192166462755</v>
      </c>
      <c r="F23" s="181">
        <f>+'Grants Need-Based'!AI17*1000</f>
        <v>86182.813000000009</v>
      </c>
      <c r="G23" s="259">
        <f>IF(((('Grants Need-Based'!AI17-'Grants Need-Based'!AD17)/'Grants Need-Based'!AD17)*100)&gt;500,"*",(('Grants Need-Based'!AI17-'Grants Need-Based'!AD17)/'Grants Need-Based'!AD17)*100)</f>
        <v>5.4869192166462755</v>
      </c>
      <c r="H23" s="181" t="str">
        <f>IF('Grants Need-Based'!BQ17="—","—",'Grants Need-Based'!BQ17*1000)</f>
        <v>—</v>
      </c>
      <c r="I23" s="165" t="str">
        <f>IF('Grants Need-Based'!BQ17="—","—",(('Grants Need-Based'!BQ17-'Grants Need-Based'!BL17)/'Grants Need-Based'!BL17)*100)</f>
        <v>—</v>
      </c>
      <c r="J23" s="123" t="str">
        <f>IF('Grants Need-Based'!CF17="—","—",'Grants Need-Based'!CF17*1000)</f>
        <v>—</v>
      </c>
      <c r="K23" s="117"/>
      <c r="L23" s="123">
        <f>IF(('Grants Non Need-Based '!DN17*1000)&gt;0,'Grants Non Need-Based '!DN17*1000,"NA")</f>
        <v>11784.776000000002</v>
      </c>
      <c r="M23" s="259">
        <f>IF('Grants Non Need-Based '!DN17&gt;0,(('Grants Non Need-Based '!DN17-'Grants Non Need-Based '!DI17)/'Grants Non Need-Based '!DI17)*100,"NA")</f>
        <v>6.4376445086705356</v>
      </c>
      <c r="N23" s="181">
        <f>IF('Grants Non Need-Based '!AI17="—","—",'Grants Non Need-Based '!AI17*1000)</f>
        <v>11751.917000000001</v>
      </c>
      <c r="O23" s="259">
        <f>IF('Grants Non Need-Based '!AI17="—","—",(('Grants Non Need-Based '!AI17-'Grants Non Need-Based '!AD17)/'Grants Non Need-Based '!AD17)*100)</f>
        <v>7.1668520882728552</v>
      </c>
      <c r="P23" s="181">
        <f>IF('Grants Non Need-Based '!BQ17="NA","NA",'Grants Non Need-Based '!BQ17*1000)</f>
        <v>32.859000000000002</v>
      </c>
      <c r="Q23" s="259">
        <f>IF('Grants Non Need-Based '!BQ17="—","—",(('Grants Non Need-Based '!BQ17-'Grants Non Need-Based '!BL17)/'Grants Non Need-Based '!BL17)*100)</f>
        <v>26.380769230769236</v>
      </c>
      <c r="R23" s="262" t="str">
        <f>IF('Grants Non Need-Based '!CF17="—","—",'Grants Non Need-Based '!CF17*1000)</f>
        <v>—</v>
      </c>
      <c r="S23" s="181">
        <f>+Other!AI17*1000</f>
        <v>4285.625</v>
      </c>
      <c r="T23" s="165">
        <f>('Distribution Check Figures'!AF16)*100</f>
        <v>4.1911885527627524</v>
      </c>
      <c r="U23" s="181" t="s">
        <v>48</v>
      </c>
    </row>
    <row r="24" spans="1:36">
      <c r="A24" s="122" t="s">
        <v>49</v>
      </c>
      <c r="B24" s="122"/>
      <c r="C24" s="176">
        <f>+'Total State Aid'!AI18*1000</f>
        <v>400882.26599999995</v>
      </c>
      <c r="D24" s="123">
        <f>+'Grants Need-Based'!DN18*1000</f>
        <v>67388.298999999999</v>
      </c>
      <c r="E24" s="259">
        <f>IF(((('Grants Need-Based'!DN18-'Grants Need-Based'!DI18)/'Grants Need-Based'!DI18)*100)&gt;500,"*",(('Grants Need-Based'!DN18-'Grants Need-Based'!DI18)/'Grants Need-Based'!DI18)*100)</f>
        <v>29.990353195347314</v>
      </c>
      <c r="F24" s="181">
        <f>+'Grants Need-Based'!AI18*1000</f>
        <v>67388.298999999999</v>
      </c>
      <c r="G24" s="259">
        <f>IF(((('Grants Need-Based'!AI18-'Grants Need-Based'!AD18)/'Grants Need-Based'!AD18)*100)&gt;500,"*",(('Grants Need-Based'!AI18-'Grants Need-Based'!AD18)/'Grants Need-Based'!AD18)*100)</f>
        <v>29.990353195347314</v>
      </c>
      <c r="H24" s="181" t="str">
        <f>IF('Grants Need-Based'!BQ18="—","—",'Grants Need-Based'!BQ18*1000)</f>
        <v>—</v>
      </c>
      <c r="I24" s="165" t="str">
        <f>IF('Grants Need-Based'!BQ18="—","—",(('Grants Need-Based'!BQ18-'Grants Need-Based'!BL18)/'Grants Need-Based'!BL18)*100)</f>
        <v>—</v>
      </c>
      <c r="J24" s="123" t="str">
        <f>IF('Grants Need-Based'!CF18="—","—",'Grants Need-Based'!CF18*1000)</f>
        <v>—</v>
      </c>
      <c r="K24" s="117"/>
      <c r="L24" s="123">
        <f>IF(('Grants Non Need-Based '!DN18*1000)&gt;0,'Grants Non Need-Based '!DN18*1000,"NA")</f>
        <v>330891.94299999997</v>
      </c>
      <c r="M24" s="259">
        <f>IF('Grants Non Need-Based '!DN18&gt;0,(('Grants Non Need-Based '!DN18-'Grants Non Need-Based '!DI18)/'Grants Non Need-Based '!DI18)*100,"NA")</f>
        <v>20.001429970261825</v>
      </c>
      <c r="N24" s="181">
        <f>IF('Grants Non Need-Based '!AI18="—","—",'Grants Non Need-Based '!AI18*1000)</f>
        <v>327481.59299999999</v>
      </c>
      <c r="O24" s="259">
        <f>IF('Grants Non Need-Based '!AI18="—","—",(('Grants Non Need-Based '!AI18-'Grants Non Need-Based '!AD18)/'Grants Non Need-Based '!AD18)*100)</f>
        <v>20.009818637564617</v>
      </c>
      <c r="P24" s="181">
        <f>IF('Grants Non Need-Based '!BQ18="NA","NA",'Grants Non Need-Based '!BQ18*1000)</f>
        <v>3410.3500000000004</v>
      </c>
      <c r="Q24" s="259">
        <f>IF('Grants Non Need-Based '!BQ18="—","—",(('Grants Non Need-Based '!BQ18-'Grants Non Need-Based '!BL18)/'Grants Non Need-Based '!BL18)*100)</f>
        <v>19.201328206920657</v>
      </c>
      <c r="R24" s="262" t="str">
        <f>IF('Grants Non Need-Based '!CF18="—","—",'Grants Non Need-Based '!CF18*1000)</f>
        <v>—</v>
      </c>
      <c r="S24" s="181">
        <f>+Other!AI18*1000</f>
        <v>2602.0240000000003</v>
      </c>
      <c r="T24" s="165">
        <f>('Distribution Check Figures'!AF17)*100</f>
        <v>0.64907435940306735</v>
      </c>
      <c r="U24" s="181" t="s">
        <v>49</v>
      </c>
    </row>
    <row r="25" spans="1:36">
      <c r="A25" s="117" t="s">
        <v>50</v>
      </c>
      <c r="B25" s="117"/>
      <c r="C25" s="174">
        <f>+'Total State Aid'!AI19*1000</f>
        <v>432389.75399999996</v>
      </c>
      <c r="D25" s="120">
        <f>+'Grants Need-Based'!DN19*1000</f>
        <v>118557.58900000001</v>
      </c>
      <c r="E25" s="175">
        <f>IF(((('Grants Need-Based'!DN19-'Grants Need-Based'!DI19)/'Grants Need-Based'!DI19)*100)&gt;500,"*",(('Grants Need-Based'!DN19-'Grants Need-Based'!DI19)/'Grants Need-Based'!DI19)*100)</f>
        <v>45.41590702808783</v>
      </c>
      <c r="F25" s="124">
        <f>+'Grants Need-Based'!AI19*1000</f>
        <v>118557.58900000001</v>
      </c>
      <c r="G25" s="175">
        <f>IF(((('Grants Need-Based'!AI19-'Grants Need-Based'!AD19)/'Grants Need-Based'!AD19)*100)&gt;500,"*",(('Grants Need-Based'!AI19-'Grants Need-Based'!AD19)/'Grants Need-Based'!AD19)*100)</f>
        <v>45.41590702808783</v>
      </c>
      <c r="H25" s="124" t="str">
        <f>IF('Grants Need-Based'!BQ19="—","—",'Grants Need-Based'!BQ19*1000)</f>
        <v>—</v>
      </c>
      <c r="I25" s="119" t="str">
        <f>IF('Grants Need-Based'!BQ19="—","—",(('Grants Need-Based'!BQ19-'Grants Need-Based'!BL19)/'Grants Need-Based'!BL19)*100)</f>
        <v>—</v>
      </c>
      <c r="J25" s="120" t="str">
        <f>IF('Grants Need-Based'!CF19="—","—",'Grants Need-Based'!CF19*1000)</f>
        <v>—</v>
      </c>
      <c r="K25" s="117"/>
      <c r="L25" s="120">
        <f>IF(('Grants Non Need-Based '!DN19*1000)&gt;0,'Grants Non Need-Based '!DN19*1000,"NA")</f>
        <v>287830.40599999996</v>
      </c>
      <c r="M25" s="175">
        <f>IF('Grants Non Need-Based '!DN19&gt;0,(('Grants Non Need-Based '!DN19-'Grants Non Need-Based '!DI19)/'Grants Non Need-Based '!DI19)*100,"NA")</f>
        <v>0.88374569326588226</v>
      </c>
      <c r="N25" s="124">
        <f>IF('Grants Non Need-Based '!AI19="—","—",'Grants Non Need-Based '!AI19*1000)</f>
        <v>287830.40599999996</v>
      </c>
      <c r="O25" s="175">
        <f>IF('Grants Non Need-Based '!AI19="—","—",(('Grants Non Need-Based '!AI19-'Grants Non Need-Based '!AD19)/'Grants Non Need-Based '!AD19)*100)</f>
        <v>0.88374569326588226</v>
      </c>
      <c r="P25" s="120" t="str">
        <f>IF('Grants Non Need-Based '!BQ19="—","—",'Grants Non Need-Based '!BQ19*1000)</f>
        <v>—</v>
      </c>
      <c r="Q25" s="175" t="str">
        <f>IF('Grants Non Need-Based '!BQ19="—","—",(('Grants Non Need-Based '!BQ19-'Grants Non Need-Based '!BL19)/'Grants Non Need-Based '!BL19)*100)</f>
        <v>—</v>
      </c>
      <c r="R25" s="281" t="str">
        <f>IF('Grants Non Need-Based '!CF19="—","—",'Grants Non Need-Based '!CF19*1000)</f>
        <v>—</v>
      </c>
      <c r="S25" s="124">
        <f>+Other!AI19*1000</f>
        <v>26001.758999999998</v>
      </c>
      <c r="T25" s="119">
        <f>('Distribution Check Figures'!AF18)*100</f>
        <v>6.0135002643934063</v>
      </c>
      <c r="U25" s="124" t="s">
        <v>50</v>
      </c>
    </row>
    <row r="26" spans="1:36">
      <c r="A26" s="117" t="s">
        <v>51</v>
      </c>
      <c r="B26" s="117"/>
      <c r="C26" s="174">
        <f>+'Total State Aid'!AI20*1000</f>
        <v>1173598.304</v>
      </c>
      <c r="D26" s="120">
        <f>+'Grants Need-Based'!DN20*1000</f>
        <v>939551.24199999997</v>
      </c>
      <c r="E26" s="175">
        <f>IF(((('Grants Need-Based'!DN20-'Grants Need-Based'!DI20)/'Grants Need-Based'!DI20)*100)&gt;500,"*",(('Grants Need-Based'!DN20-'Grants Need-Based'!DI20)/'Grants Need-Based'!DI20)*100)</f>
        <v>42.572700068892459</v>
      </c>
      <c r="F26" s="124">
        <f>+'Grants Need-Based'!AI20*1000</f>
        <v>868813.65500000003</v>
      </c>
      <c r="G26" s="175">
        <f>IF(((('Grants Need-Based'!AI20-'Grants Need-Based'!AD20)/'Grants Need-Based'!AD20)*100)&gt;500,"*",(('Grants Need-Based'!AI20-'Grants Need-Based'!AD20)/'Grants Need-Based'!AD20)*100)</f>
        <v>42.247277647979537</v>
      </c>
      <c r="H26" s="124">
        <f>IF('Grants Need-Based'!BQ20="—","—",'Grants Need-Based'!BQ20*1000)</f>
        <v>70639.494999999995</v>
      </c>
      <c r="I26" s="119">
        <f>IF('Grants Need-Based'!BQ20="—","—",(('Grants Need-Based'!BQ20-'Grants Need-Based'!BL20)/'Grants Need-Based'!BL20)*100)</f>
        <v>46.491144936853239</v>
      </c>
      <c r="J26" s="120">
        <f>IF('Grants Need-Based'!CF20="—","—",'Grants Need-Based'!CF20*1000)</f>
        <v>98.091999999999999</v>
      </c>
      <c r="K26" s="117"/>
      <c r="L26" s="120" t="str">
        <f>IF(('Grants Non Need-Based '!DN20*1000)&gt;0,'Grants Non Need-Based '!DN20*1000,"—")</f>
        <v>—</v>
      </c>
      <c r="M26" s="175" t="str">
        <f>IF('Grants Non Need-Based '!DN20&gt;0,(('Grants Non Need-Based '!DN20-'Grants Non Need-Based '!DI20)/'Grants Non Need-Based '!DI20)*100,"—")</f>
        <v>—</v>
      </c>
      <c r="N26" s="124" t="str">
        <f>IF('Grants Non Need-Based '!AI20="—","—",'Grants Non Need-Based '!AI20*1000)</f>
        <v>—</v>
      </c>
      <c r="O26" s="175" t="str">
        <f>IF('Grants Non Need-Based '!AI20="—","—",(('Grants Non Need-Based '!AI20-'Grants Non Need-Based '!AD20)/'Grants Non Need-Based '!AD20)*100)</f>
        <v>—</v>
      </c>
      <c r="P26" s="120" t="str">
        <f>IF('Grants Non Need-Based '!BQ20="—","—",'Grants Non Need-Based '!BQ20*1000)</f>
        <v>—</v>
      </c>
      <c r="Q26" s="175" t="str">
        <f>IF('Grants Non Need-Based '!BQ20="—","—",(('Grants Non Need-Based '!BQ20-'Grants Non Need-Based '!BL20)/'Grants Non Need-Based '!BL20)*100)</f>
        <v>—</v>
      </c>
      <c r="R26" s="281" t="str">
        <f>IF('Grants Non Need-Based '!CF20="—","—",'Grants Non Need-Based '!CF20*1000)</f>
        <v>—</v>
      </c>
      <c r="S26" s="124">
        <f>+Other!AI20*1000</f>
        <v>234047.06200000001</v>
      </c>
      <c r="T26" s="119">
        <f>('Distribution Check Figures'!AF19)*100</f>
        <v>19.94268918098232</v>
      </c>
      <c r="U26" s="124" t="s">
        <v>51</v>
      </c>
    </row>
    <row r="27" spans="1:36">
      <c r="A27" s="117" t="s">
        <v>52</v>
      </c>
      <c r="B27" s="117"/>
      <c r="C27" s="174">
        <f>+'Total State Aid'!AI21*1000</f>
        <v>725012.71900000004</v>
      </c>
      <c r="D27" s="120">
        <f>+'Grants Need-Based'!DN21*1000</f>
        <v>383937.67100000003</v>
      </c>
      <c r="E27" s="175">
        <f>IF(((('Grants Need-Based'!DN21-'Grants Need-Based'!DI21)/'Grants Need-Based'!DI21)*100)&gt;500,"*",(('Grants Need-Based'!DN21-'Grants Need-Based'!DI21)/'Grants Need-Based'!DI21)*100)</f>
        <v>161.23717994951318</v>
      </c>
      <c r="F27" s="124">
        <f>+'Grants Need-Based'!AI21*1000</f>
        <v>322559.75199999998</v>
      </c>
      <c r="G27" s="175">
        <f>IF(((('Grants Need-Based'!AI21-'Grants Need-Based'!AD21)/'Grants Need-Based'!AD21)*100)&gt;500,"*",(('Grants Need-Based'!AI21-'Grants Need-Based'!AD21)/'Grants Need-Based'!AD21)*100)</f>
        <v>120.28556833392521</v>
      </c>
      <c r="H27" s="124">
        <f>IF('Grants Need-Based'!BQ21="—","—",'Grants Need-Based'!BQ21*1000)</f>
        <v>61377.919000000002</v>
      </c>
      <c r="I27" s="119" t="str">
        <f>IF(((('Grants Need-Based'!BQ21-'Grants Need-Based'!BL21)/'Grants Need-Based'!BL21)*100)&gt;500,"*",(('Grants Need-Based'!BQ21-'Grants Need-Based'!BL21)/'Grants Need-Based'!BL21)*100)</f>
        <v>*</v>
      </c>
      <c r="J27" s="120" t="str">
        <f>IF('Grants Need-Based'!CF21="—","—",'Grants Need-Based'!CF21*1000)</f>
        <v>—</v>
      </c>
      <c r="K27" s="117"/>
      <c r="L27" s="120">
        <f>IF(('Grants Non Need-Based '!DN21*1000)&gt;0,'Grants Non Need-Based '!DN21*1000,"NA")</f>
        <v>94295.066000000006</v>
      </c>
      <c r="M27" s="175">
        <f>IF('Grants Non Need-Based '!DN21&gt;0,(('Grants Non Need-Based '!DN21-'Grants Non Need-Based '!DI21)/'Grants Non Need-Based '!DI21)*100,"NA")</f>
        <v>22.094840154860108</v>
      </c>
      <c r="N27" s="124">
        <f>IF('Grants Non Need-Based '!AI21="—","—",'Grants Non Need-Based '!AI21*1000)</f>
        <v>72641.39</v>
      </c>
      <c r="O27" s="175">
        <f>IF('Grants Non Need-Based '!AI21="—","—",(('Grants Non Need-Based '!AI21-'Grants Non Need-Based '!AD21)/'Grants Non Need-Based '!AD21)*100)</f>
        <v>22.098682220055807</v>
      </c>
      <c r="P27" s="124">
        <f>IF('Grants Non Need-Based '!BQ21="NA","NA",'Grants Non Need-Based '!BQ21*1000)</f>
        <v>21653.675999999999</v>
      </c>
      <c r="Q27" s="175">
        <f>IF('Grants Non Need-Based '!BQ21="—","—",(('Grants Non Need-Based '!BQ21-'Grants Non Need-Based '!BL21)/'Grants Non Need-Based '!BL21)*100)</f>
        <v>22.081952979647081</v>
      </c>
      <c r="R27" s="281" t="str">
        <f>IF('Grants Non Need-Based '!CF21="—","—",'Grants Non Need-Based '!CF21*1000)</f>
        <v>—</v>
      </c>
      <c r="S27" s="124">
        <f>+Other!AI21*1000</f>
        <v>246779.98199999999</v>
      </c>
      <c r="T27" s="119">
        <f>('Distribution Check Figures'!AF20)*100</f>
        <v>34.03802106263462</v>
      </c>
      <c r="U27" s="124" t="s">
        <v>52</v>
      </c>
    </row>
    <row r="28" spans="1:36">
      <c r="A28" s="114" t="s">
        <v>53</v>
      </c>
      <c r="B28" s="114"/>
      <c r="C28" s="271">
        <f>+'Total State Aid'!AI22*1000</f>
        <v>149583.51499999998</v>
      </c>
      <c r="D28" s="132">
        <f>+'Grants Need-Based'!DN22*1000</f>
        <v>44355.498</v>
      </c>
      <c r="E28" s="256">
        <f>IF(((('Grants Need-Based'!DN22-'Grants Need-Based'!DI22)/'Grants Need-Based'!DI22)*100)&gt;500,"*",(('Grants Need-Based'!DN22-'Grants Need-Based'!DI22)/'Grants Need-Based'!DI22)*100)</f>
        <v>-0.27093713463441382</v>
      </c>
      <c r="F28" s="125">
        <f>+'Grants Need-Based'!AI22*1000</f>
        <v>44355.498</v>
      </c>
      <c r="G28" s="256">
        <f>IF(((('Grants Need-Based'!AI22-'Grants Need-Based'!AD22)/'Grants Need-Based'!AD22)*100)&gt;500,"*",(('Grants Need-Based'!AI22-'Grants Need-Based'!AD22)/'Grants Need-Based'!AD22)*100)</f>
        <v>-0.27093713463441382</v>
      </c>
      <c r="H28" s="132" t="str">
        <f>IF('Grants Need-Based'!BQ22="—","—",'Grants Need-Based'!BQ22*1000)</f>
        <v>—</v>
      </c>
      <c r="I28" s="256" t="str">
        <f>IF('Grants Need-Based'!BQ22="—","—",(('Grants Need-Based'!BQ22-'Grants Need-Based'!BL22)/'Grants Need-Based'!BL22)*100)</f>
        <v>—</v>
      </c>
      <c r="J28" s="132" t="str">
        <f>IF('Grants Need-Based'!CF22="—","—",'Grants Need-Based'!CF22*1000)</f>
        <v>—</v>
      </c>
      <c r="K28" s="114"/>
      <c r="L28" s="132">
        <f>IF(('Grants Non Need-Based '!DN22*1000)&gt;0,'Grants Non Need-Based '!DN22*1000,"NA")</f>
        <v>58555.791999999994</v>
      </c>
      <c r="M28" s="256">
        <f>IF('Grants Non Need-Based '!DN22&gt;0,(('Grants Non Need-Based '!DN22-'Grants Non Need-Based '!DI22)/'Grants Non Need-Based '!DI22)*100,"NA")</f>
        <v>-1.8968770942232922</v>
      </c>
      <c r="N28" s="132">
        <f>IF('Grants Non Need-Based '!AI22="—","—",'Grants Non Need-Based '!AI22*1000)</f>
        <v>58180.791999999994</v>
      </c>
      <c r="O28" s="256">
        <f>IF('Grants Non Need-Based '!AI22="—","—",(('Grants Non Need-Based '!AI22-'Grants Non Need-Based '!AD22)/'Grants Non Need-Based '!AD22)*100)</f>
        <v>-2.2138693737604642</v>
      </c>
      <c r="P28" s="125">
        <f>IF('Grants Non Need-Based '!BQ22="NA","NA",'Grants Non Need-Based '!BQ22*1000)</f>
        <v>375</v>
      </c>
      <c r="Q28" s="256">
        <f>IF('Grants Non Need-Based '!BQ22="—","—",(('Grants Non Need-Based '!BQ22-'Grants Non Need-Based '!BL22)/'Grants Non Need-Based '!BL22)*100)</f>
        <v>97.368421052631575</v>
      </c>
      <c r="R28" s="258" t="str">
        <f>IF('Grants Non Need-Based '!CF22="—","—",'Grants Non Need-Based '!CF22*1000)</f>
        <v>—</v>
      </c>
      <c r="S28" s="125">
        <f>+Other!AI22*1000</f>
        <v>46672.224999999999</v>
      </c>
      <c r="T28" s="116">
        <f>('Distribution Check Figures'!AF21)*100</f>
        <v>31.201449571498575</v>
      </c>
      <c r="U28" s="125" t="s">
        <v>53</v>
      </c>
    </row>
    <row r="29" spans="1:36">
      <c r="A29" s="117" t="s">
        <v>54</v>
      </c>
      <c r="B29" s="117"/>
      <c r="C29" s="174">
        <f>+'Total State Aid'!AI23*1000</f>
        <v>3127676.2980000013</v>
      </c>
      <c r="D29" s="120">
        <f>+'Grants Need-Based'!DN23*1000</f>
        <v>2641839.8520000009</v>
      </c>
      <c r="E29" s="175">
        <f>IF(((('Grants Need-Based'!DN23-'Grants Need-Based'!DI23)/'Grants Need-Based'!DI23)*100)&gt;500,"*",(('Grants Need-Based'!DN23-'Grants Need-Based'!DI23)/'Grants Need-Based'!DI23)*100)</f>
        <v>31.618954079039984</v>
      </c>
      <c r="F29" s="124">
        <f>+'Grants Need-Based'!AI23*1000</f>
        <v>2614503.2090000003</v>
      </c>
      <c r="G29" s="269">
        <f>IF(((('Grants Need-Based'!AI23-'Grants Need-Based'!AD23)/'Grants Need-Based'!AD23)*100)&gt;500,"*",(('Grants Need-Based'!AI23-'Grants Need-Based'!AD23)/'Grants Need-Based'!AD23)*100)</f>
        <v>32.108735234106859</v>
      </c>
      <c r="H29" s="124">
        <f>IF('Grants Need-Based'!BQ23="—","—",'Grants Need-Based'!BQ23*1000)</f>
        <v>9835.7740000000013</v>
      </c>
      <c r="I29" s="119">
        <f>IF('Grants Need-Based'!BQ23="—","—",(('Grants Need-Based'!BQ23-'Grants Need-Based'!BL23)/'Grants Need-Based'!BL23)*100)</f>
        <v>-22.228401992567402</v>
      </c>
      <c r="J29" s="120">
        <f>IF('Grants Need-Based'!CF23="—","—",'Grants Need-Based'!CF23*1000)</f>
        <v>17500.869000000002</v>
      </c>
      <c r="K29" s="117"/>
      <c r="L29" s="120">
        <f>IF(('Grants Non Need-Based '!DN23*1000)&gt;0,'Grants Non Need-Based '!DN23*1000,"NA")</f>
        <v>159329.78300000002</v>
      </c>
      <c r="M29" s="175">
        <f>IF('Grants Non Need-Based '!DN23&gt;0,(('Grants Non Need-Based '!DN23-'Grants Non Need-Based '!DI23)/'Grants Non Need-Based '!DI23)*100,"NA")</f>
        <v>39.96677881827928</v>
      </c>
      <c r="N29" s="124">
        <f>IF('Grants Non Need-Based '!AI23="—","—",'Grants Non Need-Based '!AI23*1000)</f>
        <v>157853.75800000003</v>
      </c>
      <c r="O29" s="175">
        <f>IF('Grants Non Need-Based '!AI23="—","—",(('Grants Non Need-Based '!AI23-'Grants Non Need-Based '!AD23)/'Grants Non Need-Based '!AD23)*100)</f>
        <v>43.481241989874341</v>
      </c>
      <c r="P29" s="124">
        <f>IF('Grants Non Need-Based '!BQ23="NA","NA",'Grants Non Need-Based '!BQ23*1000)</f>
        <v>1189.9290000000001</v>
      </c>
      <c r="Q29" s="175">
        <f>IF('Grants Non Need-Based '!BQ23="—","—",(('Grants Non Need-Based '!BQ23-'Grants Non Need-Based '!BL23)/'Grants Non Need-Based '!BL23)*100)</f>
        <v>-0.34095477386934137</v>
      </c>
      <c r="R29" s="281">
        <f>IF('Grants Non Need-Based '!CF23="NA","NA",'Grants Non Need-Based '!CF23*1000)</f>
        <v>286.096</v>
      </c>
      <c r="S29" s="124">
        <f>+Other!AI23*1000</f>
        <v>326506.66299999994</v>
      </c>
      <c r="T29" s="119">
        <f>('Distribution Check Figures'!AC22)*100</f>
        <v>10.596195760603196</v>
      </c>
      <c r="U29" s="124" t="s">
        <v>54</v>
      </c>
    </row>
    <row r="30" spans="1:36">
      <c r="A30" s="118" t="s">
        <v>35</v>
      </c>
      <c r="B30" s="118"/>
      <c r="C30" s="119">
        <f>(C29/C$10)*100</f>
        <v>24.359533426408312</v>
      </c>
      <c r="D30" s="121">
        <f>(D29/D$10)*100</f>
        <v>31.495851593067854</v>
      </c>
      <c r="E30" s="175"/>
      <c r="F30" s="119">
        <f>(F29/F$10)*100</f>
        <v>31.845094713099165</v>
      </c>
      <c r="G30" s="175"/>
      <c r="H30" s="119">
        <f>(H29/H$10)*100</f>
        <v>6.615798197644585</v>
      </c>
      <c r="I30" s="119"/>
      <c r="J30" s="121">
        <f>IF(J29="—","—",((J29/J$10)*100))</f>
        <v>60.014464482374372</v>
      </c>
      <c r="K30" s="118"/>
      <c r="L30" s="121">
        <f>(L29/L$10)*100</f>
        <v>6.1423276503729634</v>
      </c>
      <c r="M30" s="175"/>
      <c r="N30" s="119">
        <f>(N29/N$10)*100</f>
        <v>6.2037091257702528</v>
      </c>
      <c r="O30" s="175"/>
      <c r="P30" s="119">
        <f>(P29/P$10)*100</f>
        <v>2.7742214592165815</v>
      </c>
      <c r="Q30" s="175"/>
      <c r="R30" s="283">
        <f>(R29/R$10)*100</f>
        <v>4.3573855443046146</v>
      </c>
      <c r="S30" s="119">
        <f>(S29/S$10)*100</f>
        <v>17.575121877430316</v>
      </c>
      <c r="T30" s="119"/>
      <c r="U30" s="119" t="s">
        <v>35</v>
      </c>
    </row>
    <row r="31" spans="1:36">
      <c r="A31" s="122" t="s">
        <v>55</v>
      </c>
      <c r="B31" s="122"/>
      <c r="C31" s="181">
        <f>+'Total State Aid'!AI25*1000</f>
        <v>25229.374999999996</v>
      </c>
      <c r="D31" s="123">
        <f>+'Grants Need-Based'!DN25*1000</f>
        <v>5729.5969999999998</v>
      </c>
      <c r="E31" s="259">
        <f>IF(((('Grants Need-Based'!DN25-'Grants Need-Based'!DI25)/'Grants Need-Based'!DI25)*100)&gt;500,"*",(('Grants Need-Based'!DN25-'Grants Need-Based'!DI25)/'Grants Need-Based'!DI25)*100)</f>
        <v>102.53082361258394</v>
      </c>
      <c r="F31" s="181">
        <f>+'Grants Need-Based'!AI25*1000</f>
        <v>5729.5969999999998</v>
      </c>
      <c r="G31" s="259">
        <f>IF(((('Grants Need-Based'!AI25-'Grants Need-Based'!AD25)/'Grants Need-Based'!AD25)*100)&gt;500,"*",(('Grants Need-Based'!AI25-'Grants Need-Based'!AD25)/'Grants Need-Based'!AD25)*100)</f>
        <v>102.53082361258394</v>
      </c>
      <c r="H31" s="181" t="str">
        <f>IF('Grants Need-Based'!BQ25="—","—",'Grants Need-Based'!BQ25*1000)</f>
        <v>—</v>
      </c>
      <c r="I31" s="165" t="str">
        <f>IF('Grants Need-Based'!BQ25="—","—",(('Grants Need-Based'!BQ25-'Grants Need-Based'!BL25)/'Grants Need-Based'!BL25)*100)</f>
        <v>—</v>
      </c>
      <c r="J31" s="123" t="str">
        <f>IF('Grants Need-Based'!CF25="—","—",'Grants Need-Based'!CF25*1000)</f>
        <v>—</v>
      </c>
      <c r="K31" s="117"/>
      <c r="L31" s="123">
        <f>IF(('Grants Non Need-Based '!DN25*1000)&gt;0,'Grants Non Need-Based '!DN25*1000,"NA")</f>
        <v>11265.200999999999</v>
      </c>
      <c r="M31" s="259">
        <f>IF('Grants Non Need-Based '!DI25=0, "—", (('Grants Non Need-Based '!DN25-'Grants Non Need-Based '!DI25)/'Grants Non Need-Based '!DI25)*100)</f>
        <v>276.00804405874493</v>
      </c>
      <c r="N31" s="181">
        <f>IF('Grants Non Need-Based '!AI25="—","—",'Grants Non Need-Based '!AI25*1000)</f>
        <v>11265.200999999999</v>
      </c>
      <c r="O31" s="259">
        <f>IF('Grants Non Need-Based '!AD25="—","—",(('Grants Non Need-Based '!AI25-'Grants Non Need-Based '!AD25)/'Grants Non Need-Based '!AD25)*100)</f>
        <v>276.00804405874493</v>
      </c>
      <c r="P31" s="123" t="str">
        <f>IF('Grants Non Need-Based '!BQ25="—","—",'Grants Non Need-Based '!BQ25*1000)</f>
        <v>—</v>
      </c>
      <c r="Q31" s="259" t="str">
        <f>IF('Grants Non Need-Based '!BQ25="—","—",(('Grants Non Need-Based '!BQ25-'Grants Non Need-Based '!BL25)/'Grants Non Need-Based '!BL25)*100)</f>
        <v>—</v>
      </c>
      <c r="R31" s="262" t="str">
        <f>IF('Grants Non Need-Based '!CF25="—","—",'Grants Non Need-Based '!CF25*1000)</f>
        <v>—</v>
      </c>
      <c r="S31" s="181">
        <f>+Other!AI25*1000</f>
        <v>8234.5769999999993</v>
      </c>
      <c r="T31" s="165">
        <f>('Distribution Check Figures'!AF24)*100</f>
        <v>32.6388465826046</v>
      </c>
      <c r="U31" s="181" t="s">
        <v>55</v>
      </c>
    </row>
    <row r="32" spans="1:36">
      <c r="A32" s="122" t="s">
        <v>56</v>
      </c>
      <c r="B32" s="122"/>
      <c r="C32" s="181">
        <f>+'Total State Aid'!AI26*1000</f>
        <v>22736.760000000002</v>
      </c>
      <c r="D32" s="123">
        <f>+'Grants Need-Based'!DN26*1000</f>
        <v>22568.109</v>
      </c>
      <c r="E32" s="259">
        <f>IF(((('Grants Need-Based'!DN26-'Grants Need-Based'!DI26)/'Grants Need-Based'!DI26)*100)&gt;500,"*",(('Grants Need-Based'!DN26-'Grants Need-Based'!DI26)/'Grants Need-Based'!DI26)*100)</f>
        <v>42.250923416325243</v>
      </c>
      <c r="F32" s="181">
        <f>+'Grants Need-Based'!AI26*1000</f>
        <v>22562.404000000002</v>
      </c>
      <c r="G32" s="259">
        <f>IF(((('Grants Need-Based'!AI26-'Grants Need-Based'!AD26)/'Grants Need-Based'!AD26)*100)&gt;500,"*",(('Grants Need-Based'!AI26-'Grants Need-Based'!AD26)/'Grants Need-Based'!AD26)*100)</f>
        <v>42.277739941985118</v>
      </c>
      <c r="H32" s="181">
        <f>IF('Grants Need-Based'!BQ26="—","—",'Grants Need-Based'!BQ26*1000)</f>
        <v>5.7050000000000001</v>
      </c>
      <c r="I32" s="165">
        <f>IF('Grants Need-Based'!BQ26="—","—",(('Grants Need-Based'!BQ26-'Grants Need-Based'!BL26)/'Grants Need-Based'!BL26)*100)</f>
        <v>-18.500000000000004</v>
      </c>
      <c r="J32" s="123" t="str">
        <f>IF('Grants Need-Based'!CF26="—","—",'Grants Need-Based'!CF26*1000)</f>
        <v>—</v>
      </c>
      <c r="K32" s="117"/>
      <c r="L32" s="123" t="str">
        <f>IF(('Grants Non Need-Based '!DN26*1000)&gt;0,'Grants Non Need-Based '!DN26*1000,"—")</f>
        <v>—</v>
      </c>
      <c r="M32" s="259" t="str">
        <f>IF('Grants Non Need-Based '!DN26&gt;0,(('Grants Non Need-Based '!DN26-'Grants Non Need-Based '!DI26)/'Grants Non Need-Based '!DI26)*100,"—")</f>
        <v>—</v>
      </c>
      <c r="N32" s="181" t="str">
        <f>IF('Grants Non Need-Based '!AI26="—","—",'Grants Non Need-Based '!AI26*1000)</f>
        <v>—</v>
      </c>
      <c r="O32" s="259" t="str">
        <f>IF('Grants Non Need-Based '!AI26="—","—",(('Grants Non Need-Based '!AI26-'Grants Non Need-Based '!AD26)/'Grants Non Need-Based '!AD26)*100)</f>
        <v>—</v>
      </c>
      <c r="P32" s="123" t="str">
        <f>IF('Grants Non Need-Based '!BQ26="—","—",'Grants Non Need-Based '!BQ26*1000)</f>
        <v>—</v>
      </c>
      <c r="Q32" s="259" t="str">
        <f>IF('Grants Non Need-Based '!BQ26="—","—",(('Grants Non Need-Based '!BQ26-'Grants Non Need-Based '!BL26)/'Grants Non Need-Based '!BL26)*100)</f>
        <v>—</v>
      </c>
      <c r="R32" s="262" t="str">
        <f>IF('Grants Non Need-Based '!CF26="—","—",'Grants Non Need-Based '!CF26*1000)</f>
        <v>—</v>
      </c>
      <c r="S32" s="181">
        <f>+Other!AI26*1000</f>
        <v>168.65099999999998</v>
      </c>
      <c r="T32" s="165">
        <f>('Distribution Check Figures'!AF25)*100</f>
        <v>0.74175476189219569</v>
      </c>
      <c r="U32" s="181" t="s">
        <v>56</v>
      </c>
    </row>
    <row r="33" spans="1:21">
      <c r="A33" s="122" t="s">
        <v>57</v>
      </c>
      <c r="B33" s="122"/>
      <c r="C33" s="181">
        <f>+'Total State Aid'!AI27*1000</f>
        <v>2031121.898</v>
      </c>
      <c r="D33" s="123">
        <f>+'Grants Need-Based'!DN27*1000</f>
        <v>2018883.9640000002</v>
      </c>
      <c r="E33" s="259">
        <f>IF(((('Grants Need-Based'!DN27-'Grants Need-Based'!DI27)/'Grants Need-Based'!DI27)*100)&gt;500,"*",(('Grants Need-Based'!DN27-'Grants Need-Based'!DI27)/'Grants Need-Based'!DI27)*100)</f>
        <v>35.269332364930612</v>
      </c>
      <c r="F33" s="181">
        <f>+'Grants Need-Based'!AI27*1000</f>
        <v>2018883.9640000002</v>
      </c>
      <c r="G33" s="259">
        <f>IF(((('Grants Need-Based'!AI27-'Grants Need-Based'!AD27)/'Grants Need-Based'!AD27)*100)&gt;500,"*",(('Grants Need-Based'!AI27-'Grants Need-Based'!AD27)/'Grants Need-Based'!AD27)*100)</f>
        <v>35.269332364930612</v>
      </c>
      <c r="H33" s="181" t="str">
        <f>IF('Grants Need-Based'!BQ27="—","—",'Grants Need-Based'!BQ27*1000)</f>
        <v>—</v>
      </c>
      <c r="I33" s="165" t="str">
        <f>IF('Grants Need-Based'!BQ27&gt;0,IF('Grants Need-Based'!BQ27="—","—",(('Grants Need-Based'!BQ27-'Grants Need-Based'!BL27)/'Grants Need-Based'!BL27)*100),0)</f>
        <v>—</v>
      </c>
      <c r="J33" s="123" t="str">
        <f>IF('Grants Need-Based'!CF27="—","—",'Grants Need-Based'!CF27*1000)</f>
        <v>—</v>
      </c>
      <c r="K33" s="117"/>
      <c r="L33" s="123">
        <f>IF(('Grants Non Need-Based '!DN27*1000)&gt;0,'Grants Non Need-Based '!DN27*1000,"NA")</f>
        <v>2443.9929999999999</v>
      </c>
      <c r="M33" s="259">
        <f>IF('Grants Non Need-Based '!DN27&gt;0,(('Grants Non Need-Based '!DN27-'Grants Non Need-Based '!DI27)/'Grants Non Need-Based '!DI27)*100,"NA")</f>
        <v>1.0331955353451765</v>
      </c>
      <c r="N33" s="181">
        <f>IF('Grants Non Need-Based '!AI27="—","—",'Grants Non Need-Based '!AI27*1000)</f>
        <v>1254.0640000000001</v>
      </c>
      <c r="O33" s="259" t="str">
        <f>IF('Grants Non Need-Based '!AD27="—","—",(('Grants Non Need-Based '!AI27-'Grants Non Need-Based '!AD27)/'Grants Non Need-Based '!AD27)*100)</f>
        <v>—</v>
      </c>
      <c r="P33" s="123">
        <f>IF('Grants Non Need-Based '!BQ27="—","—",'Grants Non Need-Based '!BQ27*1000)</f>
        <v>1189.9290000000001</v>
      </c>
      <c r="Q33" s="259" t="str">
        <f>IF('Grants Non Need-Based '!BL27="—","—",(('Grants Non Need-Based '!BQ27-'Grants Non Need-Based '!BL27)/'Grants Non Need-Based '!BL27)*100)</f>
        <v>—</v>
      </c>
      <c r="R33" s="262" t="str">
        <f>IF('Grants Non Need-Based '!CF27="—","—",'Grants Non Need-Based '!CF27*1000)</f>
        <v>—</v>
      </c>
      <c r="S33" s="181">
        <f>+Other!AI27*1000</f>
        <v>9793.9410000000007</v>
      </c>
      <c r="T33" s="165">
        <f>('Distribution Check Figures'!AF26)*100</f>
        <v>0.48219365906319422</v>
      </c>
      <c r="U33" s="181" t="s">
        <v>57</v>
      </c>
    </row>
    <row r="34" spans="1:21">
      <c r="A34" s="122" t="s">
        <v>58</v>
      </c>
      <c r="B34" s="122"/>
      <c r="C34" s="181">
        <f>+'Total State Aid'!AI28*1000</f>
        <v>169973.37599999999</v>
      </c>
      <c r="D34" s="123">
        <f>+'Grants Need-Based'!DN28*1000</f>
        <v>124530.022</v>
      </c>
      <c r="E34" s="259">
        <f>IF(((('Grants Need-Based'!DN28-'Grants Need-Based'!DI28)/'Grants Need-Based'!DI28)*100)&gt;500,"*",(('Grants Need-Based'!DN28-'Grants Need-Based'!DI28)/'Grants Need-Based'!DI28)*100)</f>
        <v>67.505140966318748</v>
      </c>
      <c r="F34" s="181">
        <f>+'Grants Need-Based'!AI28*1000</f>
        <v>115784.292</v>
      </c>
      <c r="G34" s="259">
        <f>IF(((('Grants Need-Based'!AI28-'Grants Need-Based'!AD28)/'Grants Need-Based'!AD28)*100)&gt;500,"*",(('Grants Need-Based'!AI28-'Grants Need-Based'!AD28)/'Grants Need-Based'!AD28)*100)</f>
        <v>67.56048046309698</v>
      </c>
      <c r="H34" s="181">
        <f>IF('Grants Need-Based'!BQ28="—","—",'Grants Need-Based'!BQ28*1000)</f>
        <v>8745.73</v>
      </c>
      <c r="I34" s="165">
        <f>IF('Grants Need-Based'!BQ28="—","—",(('Grants Need-Based'!BQ28-'Grants Need-Based'!BL28)/'Grants Need-Based'!BL28)*100)</f>
        <v>66.775934401220454</v>
      </c>
      <c r="J34" s="123" t="str">
        <f>IF('Grants Need-Based'!CF28="—","—",'Grants Need-Based'!CF28*1000)</f>
        <v>—</v>
      </c>
      <c r="K34" s="117"/>
      <c r="L34" s="123">
        <f>IF(('Grants Non Need-Based '!DN28*1000)&gt;0,'Grants Non Need-Based '!DN28*1000,"NA")</f>
        <v>5787.7470000000003</v>
      </c>
      <c r="M34" s="259">
        <f>IF('Grants Non Need-Based '!DN28&gt;0,(('Grants Non Need-Based '!DN28-'Grants Non Need-Based '!DI28)/'Grants Non Need-Based '!DI28)*100,"NA")</f>
        <v>1485.6841095890411</v>
      </c>
      <c r="N34" s="181">
        <f>IF('Grants Non Need-Based '!AI28="—","—",'Grants Non Need-Based '!AI28*1000)</f>
        <v>5787.7470000000003</v>
      </c>
      <c r="O34" s="259" t="str">
        <f>IF(((('Grants Non Need-Based '!AI28-'Grants Non Need-Based '!AD28)/'Grants Non Need-Based '!AD28)*100)&gt;500, "*",(('Grants Non Need-Based '!AI28-'Grants Non Need-Based '!AD28)/'Grants Non Need-Based '!AD28)*100)</f>
        <v>*</v>
      </c>
      <c r="P34" s="123" t="str">
        <f>IF('Grants Non Need-Based '!BQ28="—","—",'Grants Non Need-Based '!BQ28*1000)</f>
        <v>—</v>
      </c>
      <c r="Q34" s="259" t="str">
        <f>IF('Grants Non Need-Based '!BQ28="—","—",(('Grants Non Need-Based '!BQ28-'Grants Non Need-Based '!BL28)/'Grants Non Need-Based '!BL28)*100)</f>
        <v>—</v>
      </c>
      <c r="R34" s="262" t="str">
        <f>IF('Grants Non Need-Based '!CF28="—","—",'Grants Non Need-Based '!CF28*1000)</f>
        <v>—</v>
      </c>
      <c r="S34" s="181">
        <f>+Other!AI28*1000</f>
        <v>39655.607000000004</v>
      </c>
      <c r="T34" s="165">
        <f>('Distribution Check Figures'!AF27)*100</f>
        <v>23.330481474934054</v>
      </c>
      <c r="U34" s="181" t="s">
        <v>58</v>
      </c>
    </row>
    <row r="35" spans="1:21">
      <c r="A35" s="117" t="s">
        <v>59</v>
      </c>
      <c r="B35" s="117"/>
      <c r="C35" s="124">
        <f>+'Total State Aid'!AI29*1000</f>
        <v>3777.1180000000004</v>
      </c>
      <c r="D35" s="120">
        <f>+'Grants Need-Based'!DN29*1000</f>
        <v>3284.9890000000005</v>
      </c>
      <c r="E35" s="175">
        <f>IF(((('Grants Need-Based'!DN29-'Grants Need-Based'!DI29)/'Grants Need-Based'!DI29)*100)&gt;500,"*",(('Grants Need-Based'!DN29-'Grants Need-Based'!DI29)/'Grants Need-Based'!DI29)*100)</f>
        <v>-12.957366189719121</v>
      </c>
      <c r="F35" s="124">
        <f>+'Grants Need-Based'!AI29*1000</f>
        <v>3284.9890000000005</v>
      </c>
      <c r="G35" s="175">
        <f>IF(((('Grants Need-Based'!AI29-'Grants Need-Based'!AD29)/'Grants Need-Based'!AD29)*100)&gt;500,"*",(('Grants Need-Based'!AI29-'Grants Need-Based'!AD29)/'Grants Need-Based'!AD29)*100)</f>
        <v>-12.957366189719121</v>
      </c>
      <c r="H35" s="124" t="str">
        <f>IF('Grants Need-Based'!BQ29="—","—",'Grants Need-Based'!BQ29*1000)</f>
        <v>—</v>
      </c>
      <c r="I35" s="119" t="str">
        <f>IF('Grants Need-Based'!BQ29="—","—",(('Grants Need-Based'!BQ29-'Grants Need-Based'!BL29)/'Grants Need-Based'!BL29)*100)</f>
        <v>—</v>
      </c>
      <c r="J35" s="120" t="str">
        <f>IF('Grants Need-Based'!CF29="—","—",'Grants Need-Based'!CF29*1000)</f>
        <v>—</v>
      </c>
      <c r="K35" s="117"/>
      <c r="L35" s="120" t="str">
        <f>IF(('Grants Non Need-Based '!DN29*1000)&gt;0,'Grants Non Need-Based '!DN29*1000,"—")</f>
        <v>—</v>
      </c>
      <c r="M35" s="175" t="str">
        <f>IF('Grants Non Need-Based '!DN29&gt;0,(('Grants Non Need-Based '!DN29-'Grants Non Need-Based '!DI29)/'Grants Non Need-Based '!DI29)*100,"—")</f>
        <v>—</v>
      </c>
      <c r="N35" s="124" t="str">
        <f>IF('Grants Non Need-Based '!AI29="—","—",'Grants Non Need-Based '!AI29*1000)</f>
        <v>—</v>
      </c>
      <c r="O35" s="175" t="str">
        <f>IF('Grants Non Need-Based '!AI29="—","—",(('Grants Non Need-Based '!AI29-'Grants Non Need-Based '!AD29)/'Grants Non Need-Based '!AD29)*100)</f>
        <v>—</v>
      </c>
      <c r="P35" s="120" t="str">
        <f>IF('Grants Non Need-Based '!BQ29="—","—",'Grants Non Need-Based '!BQ29*1000)</f>
        <v>—</v>
      </c>
      <c r="Q35" s="175" t="str">
        <f>IF('Grants Non Need-Based '!BQ29="—","—",(('Grants Non Need-Based '!BQ29-'Grants Non Need-Based '!BL29)/'Grants Non Need-Based '!BL29)*100)</f>
        <v>—</v>
      </c>
      <c r="R35" s="281" t="str">
        <f>IF('Grants Non Need-Based '!CF29="—","—",'Grants Non Need-Based '!CF29*1000)</f>
        <v>—</v>
      </c>
      <c r="S35" s="124">
        <f>+Other!AI29*1000</f>
        <v>492.12899999999996</v>
      </c>
      <c r="T35" s="119">
        <f>('Distribution Check Figures'!AF28)*100</f>
        <v>13.029219632534645</v>
      </c>
      <c r="U35" s="124" t="s">
        <v>59</v>
      </c>
    </row>
    <row r="36" spans="1:21">
      <c r="A36" s="117" t="s">
        <v>60</v>
      </c>
      <c r="B36" s="117"/>
      <c r="C36" s="124">
        <f>+'Total State Aid'!AI30*1000</f>
        <v>11290.335999999999</v>
      </c>
      <c r="D36" s="120">
        <f>+'Grants Need-Based'!DN30*1000</f>
        <v>9919.5489999999991</v>
      </c>
      <c r="E36" s="175">
        <f>IF(((('Grants Need-Based'!DN30-'Grants Need-Based'!DI30)/'Grants Need-Based'!DI30)*100)&gt;500,"*",(('Grants Need-Based'!DN30-'Grants Need-Based'!DI30)/'Grants Need-Based'!DI30)*100)</f>
        <v>456.96513194834364</v>
      </c>
      <c r="F36" s="124">
        <f>+'Grants Need-Based'!AI30*1000</f>
        <v>9919.5489999999991</v>
      </c>
      <c r="G36" s="175">
        <f>IF(((('Grants Need-Based'!AI30-'Grants Need-Based'!AD30)/'Grants Need-Based'!AD30)*100)&gt;500,"*",(('Grants Need-Based'!AI30-'Grants Need-Based'!AD30)/'Grants Need-Based'!AD30)*100)</f>
        <v>456.96513194834364</v>
      </c>
      <c r="H36" s="124" t="str">
        <f>IF('Grants Need-Based'!BQ30="—","—",'Grants Need-Based'!BQ30*1000)</f>
        <v>—</v>
      </c>
      <c r="I36" s="119" t="str">
        <f>IF('Grants Need-Based'!BQ30="—","—",(('Grants Need-Based'!BQ30-'Grants Need-Based'!BL30)/'Grants Need-Based'!BL30)*100)</f>
        <v>—</v>
      </c>
      <c r="J36" s="120" t="str">
        <f>IF('Grants Need-Based'!CF30="—","—",'Grants Need-Based'!CF30*1000)</f>
        <v>—</v>
      </c>
      <c r="K36" s="117"/>
      <c r="L36" s="120">
        <f>IF(('Grants Non Need-Based '!DN30*1000)&gt;0,'Grants Non Need-Based '!DN30*1000,"NA")</f>
        <v>184.78700000000001</v>
      </c>
      <c r="M36" s="175">
        <f>IF('Grants Non Need-Based '!DN30&gt;0,(('Grants Non Need-Based '!DN30-'Grants Non Need-Based '!DI30)/'Grants Non Need-Based '!DI30)*100,"NA")</f>
        <v>-95.899090102086106</v>
      </c>
      <c r="N36" s="124">
        <f>IF('Grants Non Need-Based '!AI30="—","—",'Grants Non Need-Based '!AI30*1000)</f>
        <v>184.78700000000001</v>
      </c>
      <c r="O36" s="175">
        <f>IF('Grants Non Need-Based '!AI30="—","—",(('Grants Non Need-Based '!AI30-'Grants Non Need-Based '!AD30)/'Grants Non Need-Based '!AD30)*100)</f>
        <v>-95.899090102086106</v>
      </c>
      <c r="P36" s="120" t="str">
        <f>IF('Grants Non Need-Based '!BQ30="—","—",'Grants Non Need-Based '!BQ30*1000)</f>
        <v>—</v>
      </c>
      <c r="Q36" s="175" t="str">
        <f>IF('Grants Non Need-Based '!BQ30="—","—",(('Grants Non Need-Based '!BQ30-'Grants Non Need-Based '!BL30)/'Grants Non Need-Based '!BL30)*100)</f>
        <v>—</v>
      </c>
      <c r="R36" s="281" t="str">
        <f>IF('Grants Non Need-Based '!CF30="—","—",'Grants Non Need-Based '!CF30*1000)</f>
        <v>—</v>
      </c>
      <c r="S36" s="124">
        <f>+Other!AI30*1000</f>
        <v>1186</v>
      </c>
      <c r="T36" s="119">
        <f>('Distribution Check Figures'!AF29)*100</f>
        <v>10.5045589431528</v>
      </c>
      <c r="U36" s="124" t="s">
        <v>60</v>
      </c>
    </row>
    <row r="37" spans="1:21">
      <c r="A37" s="117" t="s">
        <v>61</v>
      </c>
      <c r="B37" s="117"/>
      <c r="C37" s="124">
        <f>+'Total State Aid'!AI31*1000</f>
        <v>2180.288</v>
      </c>
      <c r="D37" s="120">
        <f>+'Grants Need-Based'!DN31*1000</f>
        <v>400.23199999999997</v>
      </c>
      <c r="E37" s="175">
        <f>IF(((('Grants Need-Based'!DN31-'Grants Need-Based'!DI31)/'Grants Need-Based'!DI31)*100)&gt;500,"*",(('Grants Need-Based'!DN31-'Grants Need-Based'!DI31)/'Grants Need-Based'!DI31)*100)</f>
        <v>-92.118314296967313</v>
      </c>
      <c r="F37" s="124">
        <f>+'Grants Need-Based'!AI31*1000</f>
        <v>400.23199999999997</v>
      </c>
      <c r="G37" s="175">
        <f>IF(((('Grants Need-Based'!AI31-'Grants Need-Based'!AD31)/'Grants Need-Based'!AD31)*100)&gt;500,"*",(('Grants Need-Based'!AI31-'Grants Need-Based'!AD31)/'Grants Need-Based'!AD31)*100)</f>
        <v>-92.118314296967313</v>
      </c>
      <c r="H37" s="124" t="str">
        <f>IF('Grants Need-Based'!BQ31="—","—",'Grants Need-Based'!BQ31*1000)</f>
        <v>—</v>
      </c>
      <c r="I37" s="119" t="str">
        <f>IF('Grants Need-Based'!BQ31="—","—",(('Grants Need-Based'!BQ31-'Grants Need-Based'!BL31)/'Grants Need-Based'!BL31)*100)</f>
        <v>—</v>
      </c>
      <c r="J37" s="120" t="str">
        <f>IF('Grants Need-Based'!CF31="—","—",'Grants Need-Based'!CF31*1000)</f>
        <v>—</v>
      </c>
      <c r="K37" s="117"/>
      <c r="L37" s="120">
        <f>IF(('Grants Non Need-Based '!DN31*1000)&gt;0,'Grants Non Need-Based '!DN31*1000,"NA")</f>
        <v>929</v>
      </c>
      <c r="M37" s="175">
        <f>IF('Grants Non Need-Based '!DN31&gt;0,(('Grants Non Need-Based '!DN31-'Grants Non Need-Based '!DI31)/'Grants Non Need-Based '!DI31)*100,"NA")</f>
        <v>-32.778581765557156</v>
      </c>
      <c r="N37" s="124">
        <f>IF('Grants Non Need-Based '!AI31="—","—",'Grants Non Need-Based '!AI31*1000)</f>
        <v>929</v>
      </c>
      <c r="O37" s="175">
        <f>IF('Grants Non Need-Based '!AI31="—","—",(('Grants Non Need-Based '!AI31-'Grants Non Need-Based '!AD31)/'Grants Non Need-Based '!AD31)*100)</f>
        <v>-32.778581765557156</v>
      </c>
      <c r="P37" s="120" t="str">
        <f>IF('Grants Non Need-Based '!BQ31="—","—",'Grants Non Need-Based '!BQ31*1000)</f>
        <v>—</v>
      </c>
      <c r="Q37" s="175" t="str">
        <f>IF('Grants Non Need-Based '!BQ31="—","—",(('Grants Non Need-Based '!BQ31-'Grants Non Need-Based '!BL31)/'Grants Non Need-Based '!BL31)*100)</f>
        <v>—</v>
      </c>
      <c r="R37" s="281" t="str">
        <f>IF('Grants Non Need-Based '!CF31="—","—",'Grants Non Need-Based '!CF31*1000)</f>
        <v>—</v>
      </c>
      <c r="S37" s="124">
        <f>+Other!AI31*1000</f>
        <v>851.05600000000004</v>
      </c>
      <c r="T37" s="119">
        <f>('Distribution Check Figures'!AF30)*100</f>
        <v>39.034109255291042</v>
      </c>
      <c r="U37" s="124" t="s">
        <v>61</v>
      </c>
    </row>
    <row r="38" spans="1:21">
      <c r="A38" s="117" t="s">
        <v>62</v>
      </c>
      <c r="B38" s="117"/>
      <c r="C38" s="124">
        <f>+'Total State Aid'!AI32*1000</f>
        <v>61325.919999999998</v>
      </c>
      <c r="D38" s="120">
        <f>+'Grants Need-Based'!DN32*1000</f>
        <v>10809.063</v>
      </c>
      <c r="E38" s="175">
        <f>IF(((('Grants Need-Based'!DN32-'Grants Need-Based'!DI32)/'Grants Need-Based'!DI32)*100)&gt;500,"*",(('Grants Need-Based'!DN32-'Grants Need-Based'!DI32)/'Grants Need-Based'!DI32)*100)</f>
        <v>-68.023361831790069</v>
      </c>
      <c r="F38" s="124">
        <f>+'Grants Need-Based'!AI32*1000</f>
        <v>10195.046</v>
      </c>
      <c r="G38" s="175">
        <f>IF(((('Grants Need-Based'!AI32-'Grants Need-Based'!AD32)/'Grants Need-Based'!AD32)*100)&gt;500,"*",(('Grants Need-Based'!AI32-'Grants Need-Based'!AD32)/'Grants Need-Based'!AD32)*100)</f>
        <v>-63.227967538322829</v>
      </c>
      <c r="H38" s="124">
        <f>IF('Grants Need-Based'!BQ32="—","—",'Grants Need-Based'!BQ32*1000)</f>
        <v>614.01700000000005</v>
      </c>
      <c r="I38" s="119">
        <f>IF('Grants Need-Based'!BQ32="—","—",(('Grants Need-Based'!BQ32-'Grants Need-Based'!BL32)/'Grants Need-Based'!BL32)*100)</f>
        <v>-89.897713063507751</v>
      </c>
      <c r="J38" s="120" t="str">
        <f>IF('Grants Need-Based'!CF32="—","—",'Grants Need-Based'!CF32*1000)</f>
        <v>—</v>
      </c>
      <c r="K38" s="117"/>
      <c r="L38" s="120">
        <f>IF(('Grants Non Need-Based '!DN32*1000)&gt;0,'Grants Non Need-Based '!DN32*1000,"NA")</f>
        <v>32020.651999999998</v>
      </c>
      <c r="M38" s="175">
        <f>IF('Grants Non Need-Based '!DN32&gt;0,(('Grants Non Need-Based '!DN32-'Grants Non Need-Based '!DI32)/'Grants Non Need-Based '!DI32)*100,"NA")</f>
        <v>40.060589624704754</v>
      </c>
      <c r="N38" s="124">
        <f>IF('Grants Non Need-Based '!AI32="—","—",'Grants Non Need-Based '!AI32*1000)</f>
        <v>32020.651999999998</v>
      </c>
      <c r="O38" s="175">
        <f>IF('Grants Non Need-Based '!AI32="—","—",(('Grants Non Need-Based '!AI32-'Grants Non Need-Based '!AD32)/'Grants Non Need-Based '!AD32)*100)</f>
        <v>40.060589624704754</v>
      </c>
      <c r="P38" s="120" t="str">
        <f>IF('Grants Non Need-Based '!BQ32="—","—",'Grants Non Need-Based '!BQ32*1000)</f>
        <v>—</v>
      </c>
      <c r="Q38" s="175" t="str">
        <f>IF('Grants Non Need-Based '!BQ32="—","—",(('Grants Non Need-Based '!BQ32-'Grants Non Need-Based '!BL32)/'Grants Non Need-Based '!BL32)*100)</f>
        <v>—</v>
      </c>
      <c r="R38" s="281" t="str">
        <f>IF('Grants Non Need-Based '!CF32="—","—",'Grants Non Need-Based '!CF32*1000)</f>
        <v>—</v>
      </c>
      <c r="S38" s="124">
        <f>+Other!AI32*1000</f>
        <v>18496.204999999998</v>
      </c>
      <c r="T38" s="119">
        <f>('Distribution Check Figures'!AF31)*100</f>
        <v>30.160501464959676</v>
      </c>
      <c r="U38" s="124" t="s">
        <v>62</v>
      </c>
    </row>
    <row r="39" spans="1:21">
      <c r="A39" s="122" t="s">
        <v>63</v>
      </c>
      <c r="B39" s="122"/>
      <c r="C39" s="181">
        <f>+'Total State Aid'!AI33*1000</f>
        <v>117025.008</v>
      </c>
      <c r="D39" s="123">
        <f>+'Grants Need-Based'!DN33*1000</f>
        <v>24841.418000000001</v>
      </c>
      <c r="E39" s="259">
        <f>IF(((('Grants Need-Based'!DN33-'Grants Need-Based'!DI33)/'Grants Need-Based'!DI33)*100)&gt;500,"*",(('Grants Need-Based'!DN33-'Grants Need-Based'!DI33)/'Grants Need-Based'!DI33)*100)</f>
        <v>1.6299881356625596</v>
      </c>
      <c r="F39" s="181">
        <f>+'Grants Need-Based'!AI33*1000</f>
        <v>24372.696</v>
      </c>
      <c r="G39" s="259">
        <f>IF(((('Grants Need-Based'!AI33-'Grants Need-Based'!AD33)/'Grants Need-Based'!AD33)*100)&gt;500,"*",(('Grants Need-Based'!AI33-'Grants Need-Based'!AD33)/'Grants Need-Based'!AD33)*100)</f>
        <v>5.3772147520428897</v>
      </c>
      <c r="H39" s="181">
        <f>IF('Grants Need-Based'!BQ33="—","—",'Grants Need-Based'!BQ33*1000)</f>
        <v>468.72200000000004</v>
      </c>
      <c r="I39" s="165">
        <f>IF('Grants Need-Based'!BQ33="—","—",(('Grants Need-Based'!BQ33-'Grants Need-Based'!BL33)/'Grants Need-Based'!BL33)*100)</f>
        <v>-64.328614916286142</v>
      </c>
      <c r="J39" s="123" t="str">
        <f>IF('Grants Need-Based'!CF33="—","—",'Grants Need-Based'!CF33*1000)</f>
        <v>—</v>
      </c>
      <c r="K39" s="117"/>
      <c r="L39" s="123">
        <f>IF(('Grants Non Need-Based '!DN33*1000)&gt;0,'Grants Non Need-Based '!DN33*1000,"NA")</f>
        <v>82588.554999999993</v>
      </c>
      <c r="M39" s="259">
        <f>IF('Grants Non Need-Based '!DN33&gt;0,(('Grants Non Need-Based '!DN33-'Grants Non Need-Based '!DI33)/'Grants Non Need-Based '!DI33)*100,"NA")</f>
        <v>18.106818539333887</v>
      </c>
      <c r="N39" s="181">
        <f>IF('Grants Non Need-Based '!AI33="—","—",'Grants Non Need-Based '!AI33*1000)</f>
        <v>82324.596999999994</v>
      </c>
      <c r="O39" s="259">
        <f>IF('Grants Non Need-Based '!AI33="—","—",(('Grants Non Need-Based '!AI33-'Grants Non Need-Based '!AD33)/'Grants Non Need-Based '!AD33)*100)</f>
        <v>18.515752270993197</v>
      </c>
      <c r="P39" s="123" t="str">
        <f>IF('Grants Non Need-Based '!BQ33="—","—",'Grants Non Need-Based '!BQ33*1000)</f>
        <v>—</v>
      </c>
      <c r="Q39" s="259" t="str">
        <f>IF('Grants Non Need-Based '!BQ33="—","—",(('Grants Non Need-Based '!BQ33-'Grants Non Need-Based '!BL33)/'Grants Non Need-Based '!BL33)*100)</f>
        <v>—</v>
      </c>
      <c r="R39" s="284">
        <f>IF('Grants Non Need-Based '!CF33="NA","NA",'Grants Non Need-Based '!CF33*1000)</f>
        <v>263.95800000000003</v>
      </c>
      <c r="S39" s="181">
        <f>+Other!AI33*1000</f>
        <v>9595.0349999999999</v>
      </c>
      <c r="T39" s="165">
        <f>('Distribution Check Figures'!AF32)*100</f>
        <v>8.1991321034560407</v>
      </c>
      <c r="U39" s="181" t="s">
        <v>63</v>
      </c>
    </row>
    <row r="40" spans="1:21">
      <c r="A40" s="122" t="s">
        <v>64</v>
      </c>
      <c r="B40" s="122"/>
      <c r="C40" s="181">
        <f>+'Total State Aid'!AI34*1000</f>
        <v>154729.11199999999</v>
      </c>
      <c r="D40" s="123">
        <f>+'Grants Need-Based'!DN34*1000</f>
        <v>72117.185999999987</v>
      </c>
      <c r="E40" s="259">
        <f>IF(((('Grants Need-Based'!DN34-'Grants Need-Based'!DI34)/'Grants Need-Based'!DI34)*100)&gt;500,"*",(('Grants Need-Based'!DN34-'Grants Need-Based'!DI34)/'Grants Need-Based'!DI34)*100)</f>
        <v>64.831747120131624</v>
      </c>
      <c r="F40" s="181">
        <f>+'Grants Need-Based'!AI34*1000</f>
        <v>72117.185999999987</v>
      </c>
      <c r="G40" s="259">
        <f>IF(((('Grants Need-Based'!AI34-'Grants Need-Based'!AD34)/'Grants Need-Based'!AD34)*100)&gt;500,"*",(('Grants Need-Based'!AI34-'Grants Need-Based'!AD34)/'Grants Need-Based'!AD34)*100)</f>
        <v>64.831747120131624</v>
      </c>
      <c r="H40" s="181" t="str">
        <f>IF('Grants Need-Based'!BQ34="—","—",'Grants Need-Based'!BQ34*1000)</f>
        <v>—</v>
      </c>
      <c r="I40" s="165" t="str">
        <f>IF('Grants Need-Based'!BQ34="—","—",(('Grants Need-Based'!BQ34-'Grants Need-Based'!BL34)/'Grants Need-Based'!BL34)*100)</f>
        <v>—</v>
      </c>
      <c r="J40" s="123" t="str">
        <f>IF('Grants Need-Based'!CF34="—","—",'Grants Need-Based'!CF34*1000)</f>
        <v>—</v>
      </c>
      <c r="K40" s="117"/>
      <c r="L40" s="123">
        <f>IF(('Grants Non Need-Based '!DN34*1000)&gt;0,'Grants Non Need-Based '!DN34*1000,"NA")</f>
        <v>22.138000000000002</v>
      </c>
      <c r="M40" s="259">
        <f>IF('Grants Non Need-Based '!DN34&gt;0,(('Grants Non Need-Based '!DN34-'Grants Non Need-Based '!DI34)/'Grants Non Need-Based '!DI34)*100,"NA")</f>
        <v>-49.68636363636363</v>
      </c>
      <c r="N40" s="181" t="str">
        <f>IF('Grants Non Need-Based '!AI34="—","—",'Grants Non Need-Based '!AI34*1000)</f>
        <v>—</v>
      </c>
      <c r="O40" s="259" t="str">
        <f>IF('Grants Non Need-Based '!AI34="—","—",(('Grants Non Need-Based '!AI34-'Grants Non Need-Based '!AD34)/'Grants Non Need-Based '!AD34)*100)</f>
        <v>—</v>
      </c>
      <c r="P40" s="123" t="str">
        <f>IF('Grants Non Need-Based '!BQ34="—","—",'Grants Non Need-Based '!BQ34*1000)</f>
        <v>—</v>
      </c>
      <c r="Q40" s="259" t="str">
        <f>IF('Grants Non Need-Based '!BQ34="—","—",(('Grants Non Need-Based '!BQ34-'Grants Non Need-Based '!BL34)/'Grants Non Need-Based '!BL34)*100)</f>
        <v>—</v>
      </c>
      <c r="R40" s="284">
        <f>IF('Grants Non Need-Based '!CF34="NA","NA",'Grants Non Need-Based '!CF34*1000)</f>
        <v>22.138000000000002</v>
      </c>
      <c r="S40" s="181">
        <f>+Other!AI34*1000</f>
        <v>82589.788</v>
      </c>
      <c r="T40" s="165">
        <f>('Distribution Check Figures'!AF33)*100</f>
        <v>53.377019316184018</v>
      </c>
      <c r="U40" s="181" t="s">
        <v>64</v>
      </c>
    </row>
    <row r="41" spans="1:21">
      <c r="A41" s="122" t="s">
        <v>65</v>
      </c>
      <c r="B41" s="122"/>
      <c r="C41" s="181">
        <f>+'Total State Aid'!AI35*1000</f>
        <v>154464.87499999997</v>
      </c>
      <c r="D41" s="123">
        <f>+'Grants Need-Based'!DN35*1000</f>
        <v>2586.145</v>
      </c>
      <c r="E41" s="259">
        <f>IF(((('Grants Need-Based'!DN35-'Grants Need-Based'!DI35)/'Grants Need-Based'!DI35)*100)&gt;500,"*",(('Grants Need-Based'!DN35-'Grants Need-Based'!DI35)/'Grants Need-Based'!DI35)*100)</f>
        <v>-13.535773988632563</v>
      </c>
      <c r="F41" s="181">
        <f>+'Grants Need-Based'!AI35*1000</f>
        <v>2586.145</v>
      </c>
      <c r="G41" s="259">
        <f>IF(((('Grants Need-Based'!AI35-'Grants Need-Based'!AD35)/'Grants Need-Based'!AD35)*100)&gt;500,"*",(('Grants Need-Based'!AI35-'Grants Need-Based'!AD35)/'Grants Need-Based'!AD35)*100)</f>
        <v>-13.535773988632563</v>
      </c>
      <c r="H41" s="181" t="str">
        <f>IF('Grants Need-Based'!BQ35="—","—",'Grants Need-Based'!BQ35*1000)</f>
        <v>—</v>
      </c>
      <c r="I41" s="165" t="str">
        <f>IF('Grants Need-Based'!BQ35="—","—",(('Grants Need-Based'!BQ35-'Grants Need-Based'!BL35)/'Grants Need-Based'!BL35)*100)</f>
        <v>—</v>
      </c>
      <c r="J41" s="123" t="str">
        <f>IF('Grants Need-Based'!CF35="—","—",'Grants Need-Based'!CF35*1000)</f>
        <v>—</v>
      </c>
      <c r="K41" s="117"/>
      <c r="L41" s="123">
        <f>IF(('Grants Non Need-Based '!DN35*1000)&gt;0,'Grants Non Need-Based '!DN35*1000,"NA")</f>
        <v>11646.95</v>
      </c>
      <c r="M41" s="259">
        <f>IF('Grants Non Need-Based '!DN35&gt;0,(('Grants Non Need-Based '!DN35-'Grants Non Need-Based '!DI35)/'Grants Non Need-Based '!DI35)*100,"NA")</f>
        <v>76.844063164287903</v>
      </c>
      <c r="N41" s="181">
        <f>IF('Grants Non Need-Based '!AI35="—","—",'Grants Non Need-Based '!AI35*1000)</f>
        <v>11646.95</v>
      </c>
      <c r="O41" s="259">
        <f>IF('Grants Non Need-Based '!AI35="—","—",(('Grants Non Need-Based '!AI35-'Grants Non Need-Based '!AD35)/'Grants Non Need-Based '!AD35)*100)</f>
        <v>104.47594803370788</v>
      </c>
      <c r="P41" s="275" t="str">
        <f>IF('Grants Non Need-Based '!BQ35="—","—",'Grants Non Need-Based '!BQ35*1000)</f>
        <v>—</v>
      </c>
      <c r="Q41" s="259" t="str">
        <f>IF('Grants Non Need-Based '!BQ35="—","—",(('Grants Non Need-Based '!BQ35-'Grants Non Need-Based '!BL35)/'Grants Non Need-Based '!BL35)*100)</f>
        <v>—</v>
      </c>
      <c r="R41" s="262" t="str">
        <f>IF('Grants Non Need-Based '!CF35="—","—",'Grants Non Need-Based '!CF35*1000)</f>
        <v>—</v>
      </c>
      <c r="S41" s="181">
        <f>+Other!AI35*1000</f>
        <v>140231.78</v>
      </c>
      <c r="T41" s="165">
        <f>('Distribution Check Figures'!AF34)*100</f>
        <v>90.785545904853777</v>
      </c>
      <c r="U41" s="181" t="s">
        <v>65</v>
      </c>
    </row>
    <row r="42" spans="1:21">
      <c r="A42" s="122" t="s">
        <v>66</v>
      </c>
      <c r="B42" s="122"/>
      <c r="C42" s="181">
        <f>+'Total State Aid'!AI36*1000</f>
        <v>356789.61300000001</v>
      </c>
      <c r="D42" s="123">
        <f>+'Grants Need-Based'!DN36*1000</f>
        <v>329136.95900000003</v>
      </c>
      <c r="E42" s="259">
        <f>IF(((('Grants Need-Based'!DN36-'Grants Need-Based'!DI36)/'Grants Need-Based'!DI36)*100)&gt;500,"*",(('Grants Need-Based'!DN36-'Grants Need-Based'!DI36)/'Grants Need-Based'!DI36)*100)</f>
        <v>13.281050356394278</v>
      </c>
      <c r="F42" s="181">
        <f>+'Grants Need-Based'!AI36*1000</f>
        <v>328667.10900000005</v>
      </c>
      <c r="G42" s="259">
        <f>IF(((('Grants Need-Based'!AI36-'Grants Need-Based'!AD36)/'Grants Need-Based'!AD36)*100)&gt;500,"*",(('Grants Need-Based'!AI36-'Grants Need-Based'!AD36)/'Grants Need-Based'!AD36)*100)</f>
        <v>13.120896590889542</v>
      </c>
      <c r="H42" s="181">
        <f>IF('Grants Need-Based'!BQ36="—","—",'Grants Need-Based'!BQ36*1000)</f>
        <v>1.6</v>
      </c>
      <c r="I42" s="165">
        <f>IF('Grants Need-Based'!BQ36="—","—",(('Grants Need-Based'!BQ36-'Grants Need-Based'!BL36)/'Grants Need-Based'!BL36)*100)</f>
        <v>-60.000000000000007</v>
      </c>
      <c r="J42" s="123">
        <f>IF('Grants Need-Based'!CF36="—","—",'Grants Need-Based'!CF36*1000)</f>
        <v>468.25</v>
      </c>
      <c r="K42" s="117"/>
      <c r="L42" s="123">
        <f>IF(('Grants Non Need-Based '!DN36*1000)&gt;0,'Grants Non Need-Based '!DN36*1000,"NA")</f>
        <v>12440.759999999998</v>
      </c>
      <c r="M42" s="259">
        <f>IF('Grants Non Need-Based '!DN36&gt;0,(('Grants Non Need-Based '!DN36-'Grants Non Need-Based '!DI36)/'Grants Non Need-Based '!DI36)*100,"NA")</f>
        <v>352.88532945030943</v>
      </c>
      <c r="N42" s="181">
        <f>IF('Grants Non Need-Based '!AI36="—","—",'Grants Non Need-Based '!AI36*1000)</f>
        <v>12440.759999999998</v>
      </c>
      <c r="O42" s="259">
        <f>IF('Grants Non Need-Based '!AI36="—","—",(('Grants Non Need-Based '!AI36-'Grants Non Need-Based '!AD36)/'Grants Non Need-Based '!AD36)*100)</f>
        <v>352.88532945030943</v>
      </c>
      <c r="P42" s="123" t="str">
        <f>IF('Grants Non Need-Based '!BQ36="—","—",'Grants Non Need-Based '!BQ36*1000)</f>
        <v>—</v>
      </c>
      <c r="Q42" s="259" t="str">
        <f>IF('Grants Non Need-Based '!BQ36="—","—",(('Grants Non Need-Based '!BQ36-'Grants Non Need-Based '!BL36)/'Grants Non Need-Based '!BL36)*100)</f>
        <v>—</v>
      </c>
      <c r="R42" s="262" t="str">
        <f>IF('Grants Non Need-Based '!CF36="—","—",'Grants Non Need-Based '!CF36*1000)</f>
        <v>—</v>
      </c>
      <c r="S42" s="181">
        <f>+Other!AI36*1000</f>
        <v>15211.893999999998</v>
      </c>
      <c r="T42" s="165">
        <f>('Distribution Check Figures'!AF35)*100</f>
        <v>4.2635473247367202</v>
      </c>
      <c r="U42" s="181" t="s">
        <v>66</v>
      </c>
    </row>
    <row r="43" spans="1:21">
      <c r="A43" s="126" t="s">
        <v>67</v>
      </c>
      <c r="B43" s="126"/>
      <c r="C43" s="129">
        <f>+'Total State Aid'!AI37*1000</f>
        <v>17032.618999999999</v>
      </c>
      <c r="D43" s="128">
        <f>+'Grants Need-Based'!DN37*1000</f>
        <v>17032.618999999999</v>
      </c>
      <c r="E43" s="255">
        <f>IF(((('Grants Need-Based'!DN37-'Grants Need-Based'!DI37)/'Grants Need-Based'!DI37)*100)&gt;500,"*",(('Grants Need-Based'!DN37-'Grants Need-Based'!DI37)/'Grants Need-Based'!DI37)*100)</f>
        <v>9.9801058952670001</v>
      </c>
      <c r="F43" s="129">
        <f>+'Grants Need-Based'!AI37*1000</f>
        <v>0</v>
      </c>
      <c r="G43" s="255">
        <f>IF('Grants Need-Based'!AD37&gt;0,IF(((('Grants Need-Based'!AI37-'Grants Need-Based'!AD37)/'Grants Need-Based'!AD37)*100)&gt;500,"*",(('Grants Need-Based'!AI37-'Grants Need-Based'!AD37)/'Grants Need-Based'!AD37)*100),0)</f>
        <v>0</v>
      </c>
      <c r="H43" s="128" t="str">
        <f>IF('Grants Need-Based'!BQ37="—","—",'Grants Need-Based'!BQ37*1000)</f>
        <v>—</v>
      </c>
      <c r="I43" s="255" t="str">
        <f>IF('Grants Need-Based'!BQ37="—","—",(('Grants Need-Based'!BQ37-'Grants Need-Based'!BL37)/'Grants Need-Based'!BL37)*100)</f>
        <v>—</v>
      </c>
      <c r="J43" s="128">
        <f>IF('Grants Need-Based'!CF37="—","—",'Grants Need-Based'!CF37*1000)</f>
        <v>17032.618999999999</v>
      </c>
      <c r="K43" s="114"/>
      <c r="L43" s="128" t="str">
        <f>IF(('Grants Non Need-Based '!DN37*1000)&gt;0,'Grants Non Need-Based '!DN37*1000,"—")</f>
        <v>—</v>
      </c>
      <c r="M43" s="255" t="str">
        <f>IF('Grants Non Need-Based '!DN37&gt;0,(('Grants Non Need-Based '!DN37-'Grants Non Need-Based '!DI37)/'Grants Non Need-Based '!DI37)*100,"—")</f>
        <v>—</v>
      </c>
      <c r="N43" s="128" t="str">
        <f>IF('Grants Non Need-Based '!AI37="—","—",'Grants Non Need-Based '!AI37*1000)</f>
        <v>—</v>
      </c>
      <c r="O43" s="255" t="str">
        <f>IF('Grants Non Need-Based '!AI37="—","—",(('Grants Non Need-Based '!AI37-'Grants Non Need-Based '!AD37)/'Grants Non Need-Based '!AD37)*100)</f>
        <v>—</v>
      </c>
      <c r="P43" s="128" t="str">
        <f>IF('Grants Non Need-Based '!BQ37="—","—",'Grants Non Need-Based '!BQ37*1000)</f>
        <v>—</v>
      </c>
      <c r="Q43" s="255" t="str">
        <f>IF('Grants Non Need-Based '!BQ37="—","—",(('Grants Non Need-Based '!BQ37-'Grants Non Need-Based '!BL37)/'Grants Non Need-Based '!BL37)*100)</f>
        <v>—</v>
      </c>
      <c r="R43" s="257" t="str">
        <f>IF('Grants Non Need-Based '!CF37="—","—",'Grants Non Need-Based '!CF37*1000)</f>
        <v>—</v>
      </c>
      <c r="S43" s="129" t="str">
        <f>IF(Other!AI37="—","—",Other!AI37*1000)</f>
        <v>—</v>
      </c>
      <c r="T43" s="129" t="str">
        <f>IF('Distribution Check Figures'!AF36="—","—",'Distribution Check Figures'!AF36*100)</f>
        <v>—</v>
      </c>
      <c r="U43" s="129" t="s">
        <v>67</v>
      </c>
    </row>
    <row r="44" spans="1:21">
      <c r="A44" s="117" t="s">
        <v>68</v>
      </c>
      <c r="B44" s="117"/>
      <c r="C44" s="124">
        <f>+'Total State Aid'!AI38*1000</f>
        <v>1747459.3560000001</v>
      </c>
      <c r="D44" s="120">
        <f>+'Grants Need-Based'!DN38*1000</f>
        <v>1346491.3820000002</v>
      </c>
      <c r="E44" s="175">
        <f>IF(((('Grants Need-Based'!DN38-'Grants Need-Based'!DI38)/'Grants Need-Based'!DI38)*100)&gt;500,"*",(('Grants Need-Based'!DN38-'Grants Need-Based'!DI38)/'Grants Need-Based'!DI38)*100)</f>
        <v>8.4174320887056044</v>
      </c>
      <c r="F44" s="124">
        <f>+'Grants Need-Based'!AI38*1000</f>
        <v>1346117.0940000003</v>
      </c>
      <c r="G44" s="175">
        <f>IF(((('Grants Need-Based'!AI38-'Grants Need-Based'!AD38)/'Grants Need-Based'!AD38)*100)&gt;500,"*",(('Grants Need-Based'!AI38-'Grants Need-Based'!AD38)/'Grants Need-Based'!AD38)*100)</f>
        <v>8.4703540692989669</v>
      </c>
      <c r="H44" s="124">
        <f>IF('Grants Need-Based'!BQ38="—","—",'Grants Need-Based'!BQ38*1000)</f>
        <v>374.28800000000001</v>
      </c>
      <c r="I44" s="119">
        <f>IF('Grants Need-Based'!BQ38="—","—",(('Grants Need-Based'!BQ38-'Grants Need-Based'!BL38)/'Grants Need-Based'!BL38)*100)</f>
        <v>99.089361702127661</v>
      </c>
      <c r="J44" s="120" t="str">
        <f>IF('Grants Need-Based'!CF38="—","—",'Grants Need-Based'!CF38*1000)</f>
        <v>—</v>
      </c>
      <c r="K44" s="117"/>
      <c r="L44" s="120">
        <f>IF(('Grants Non Need-Based '!DN38*1000)&gt;0,'Grants Non Need-Based '!DN38*1000,"NA")</f>
        <v>127451.03800000002</v>
      </c>
      <c r="M44" s="175">
        <f>IF('Grants Non Need-Based '!DN38&gt;0,(('Grants Non Need-Based '!DN38-'Grants Non Need-Based '!DI38)/'Grants Non Need-Based '!DI38)*100,"NA")</f>
        <v>8.5456433054838818</v>
      </c>
      <c r="N44" s="124">
        <f>IF('Grants Non Need-Based '!AI38="—","—",'Grants Non Need-Based '!AI38*1000)</f>
        <v>124643.974</v>
      </c>
      <c r="O44" s="175">
        <f>IF('Grants Non Need-Based '!AI38="—","—",(('Grants Non Need-Based '!AI38-'Grants Non Need-Based '!AD38)/'Grants Non Need-Based '!AD38)*100)</f>
        <v>19.349624650503667</v>
      </c>
      <c r="P44" s="276">
        <f>IF('Grants Non Need-Based '!BQ38="NA","NA",'Grants Non Need-Based '!BQ38*1000)</f>
        <v>2807.0639999999999</v>
      </c>
      <c r="Q44" s="175">
        <f>IF('Grants Non Need-Based '!BQ38="—","—",(('Grants Non Need-Based '!BQ38-'Grants Non Need-Based '!BL38)/'Grants Non Need-Based '!BL38)*100)</f>
        <v>-23.115201314708294</v>
      </c>
      <c r="R44" s="281" t="str">
        <f>IF('Grants Non Need-Based '!CF38="—","—",'Grants Non Need-Based '!CF38*1000)</f>
        <v>—</v>
      </c>
      <c r="S44" s="124">
        <f>+Other!AI38*1000</f>
        <v>273516.93599999999</v>
      </c>
      <c r="T44" s="119">
        <f>('Distribution Check Figures'!AF37)*100</f>
        <v>15.652263101906444</v>
      </c>
      <c r="U44" s="124" t="s">
        <v>68</v>
      </c>
    </row>
    <row r="45" spans="1:21">
      <c r="A45" s="118" t="s">
        <v>35</v>
      </c>
      <c r="B45" s="118"/>
      <c r="C45" s="119">
        <f>(C44/C$10)*100</f>
        <v>13.609878560959675</v>
      </c>
      <c r="D45" s="121">
        <f>(D44/D$10)*100</f>
        <v>16.052787116036292</v>
      </c>
      <c r="E45" s="175"/>
      <c r="F45" s="119">
        <f>(F44/F$10)*100</f>
        <v>16.395935643065343</v>
      </c>
      <c r="G45" s="175"/>
      <c r="H45" s="119">
        <f>(H44/H$10)*100</f>
        <v>0.25175587358961238</v>
      </c>
      <c r="I45" s="119"/>
      <c r="J45" s="121" t="str">
        <f>IF(J44="—","—",((J44/J$10)*100))</f>
        <v>—</v>
      </c>
      <c r="K45" s="118"/>
      <c r="L45" s="121">
        <f>(L44/L$10)*100</f>
        <v>4.9133691142737277</v>
      </c>
      <c r="M45" s="175"/>
      <c r="N45" s="119">
        <f>(N44/N$10)*100</f>
        <v>4.8985527413042007</v>
      </c>
      <c r="O45" s="175"/>
      <c r="P45" s="119">
        <f>(P44/P$10)*100</f>
        <v>6.5444385221255494</v>
      </c>
      <c r="Q45" s="175"/>
      <c r="R45" s="288"/>
      <c r="S45" s="119">
        <f>(S44/S$10)*100</f>
        <v>14.722803637674337</v>
      </c>
      <c r="T45" s="119"/>
      <c r="U45" s="119" t="s">
        <v>35</v>
      </c>
    </row>
    <row r="46" spans="1:21">
      <c r="A46" s="122" t="s">
        <v>69</v>
      </c>
      <c r="B46" s="122"/>
      <c r="C46" s="181">
        <f>+'Total State Aid'!AI40*1000</f>
        <v>350797.05200000003</v>
      </c>
      <c r="D46" s="123">
        <f>+'Grants Need-Based'!DN40*1000</f>
        <v>346533.06599999999</v>
      </c>
      <c r="E46" s="259">
        <f>IF(((('Grants Need-Based'!DN40-'Grants Need-Based'!DI40)/'Grants Need-Based'!DI40)*100)&gt;500,"*",(('Grants Need-Based'!DN40-'Grants Need-Based'!DI40)/'Grants Need-Based'!DI40)*100)</f>
        <v>-15.834875768100453</v>
      </c>
      <c r="F46" s="181">
        <f>+'Grants Need-Based'!AI40*1000</f>
        <v>346533.06599999999</v>
      </c>
      <c r="G46" s="259">
        <f>IF(((('Grants Need-Based'!AI40-'Grants Need-Based'!AD40)/'Grants Need-Based'!AD40)*100)&gt;500,"*",(('Grants Need-Based'!AI40-'Grants Need-Based'!AD40)/'Grants Need-Based'!AD40)*100)</f>
        <v>-15.824653614457828</v>
      </c>
      <c r="H46" s="181" t="str">
        <f>IF('Grants Need-Based'!BQ40="—","—",'Grants Need-Based'!BQ40*1000)</f>
        <v>—</v>
      </c>
      <c r="I46" s="165" t="str">
        <f>IF('Grants Need-Based'!BQ40="—","—",(('Grants Need-Based'!BQ40-'Grants Need-Based'!BL40)/'Grants Need-Based'!BL40)*100)</f>
        <v>—</v>
      </c>
      <c r="J46" s="123" t="str">
        <f>IF('Grants Need-Based'!CF40="—","—",'Grants Need-Based'!CF40*1000)</f>
        <v>—</v>
      </c>
      <c r="K46" s="117"/>
      <c r="L46" s="123">
        <f>IF(('Grants Non Need-Based '!DN40*1000)&gt;0,'Grants Non Need-Based '!DN40*1000,"NA")</f>
        <v>981.452</v>
      </c>
      <c r="M46" s="259">
        <f>IF('Grants Non Need-Based '!DN40&gt;0,(('Grants Non Need-Based '!DN40-'Grants Non Need-Based '!DI40)/'Grants Non Need-Based '!DI40)*100,"NA")</f>
        <v>-94.972327237334156</v>
      </c>
      <c r="N46" s="181">
        <f>IF('Grants Non Need-Based '!AI40="—","—",'Grants Non Need-Based '!AI40*1000)</f>
        <v>931.452</v>
      </c>
      <c r="O46" s="259">
        <f>IF('Grants Non Need-Based '!AI40="—","—",(('Grants Non Need-Based '!AI40-'Grants Non Need-Based '!AD40)/'Grants Non Need-Based '!AD40)*100)</f>
        <v>-94.135910350037776</v>
      </c>
      <c r="P46" s="123">
        <f>IF('Grants Non Need-Based '!BQ40="—","—",'Grants Non Need-Based '!BQ40*1000)</f>
        <v>50</v>
      </c>
      <c r="Q46" s="259">
        <f>IF('Grants Non Need-Based '!BQ40="—","—",(('Grants Non Need-Based '!BQ40-'Grants Non Need-Based '!BL40)/'Grants Non Need-Based '!BL40)*100)</f>
        <v>-98.625240582898002</v>
      </c>
      <c r="R46" s="262" t="str">
        <f>IF('Grants Non Need-Based '!CF40="—","—",'Grants Non Need-Based '!CF40*1000)</f>
        <v>—</v>
      </c>
      <c r="S46" s="181">
        <f>+Other!AI40*1000</f>
        <v>3282.5340000000001</v>
      </c>
      <c r="T46" s="165">
        <f>('Distribution Check Figures'!AF39)*100</f>
        <v>0.93573591376702914</v>
      </c>
      <c r="U46" s="181" t="s">
        <v>69</v>
      </c>
    </row>
    <row r="47" spans="1:21">
      <c r="A47" s="122" t="s">
        <v>70</v>
      </c>
      <c r="B47" s="122"/>
      <c r="C47" s="181">
        <f>+'Total State Aid'!AI41*1000</f>
        <v>335517.16500000004</v>
      </c>
      <c r="D47" s="123">
        <f>+'Grants Need-Based'!DN41*1000</f>
        <v>297922.99900000001</v>
      </c>
      <c r="E47" s="259">
        <f>IF(((('Grants Need-Based'!DN41-'Grants Need-Based'!DI41)/'Grants Need-Based'!DI41)*100)&gt;500,"*",(('Grants Need-Based'!DN41-'Grants Need-Based'!DI41)/'Grants Need-Based'!DI41)*100)</f>
        <v>19.013529902887029</v>
      </c>
      <c r="F47" s="181">
        <f>+'Grants Need-Based'!AI41*1000</f>
        <v>297922.99900000001</v>
      </c>
      <c r="G47" s="259">
        <f>IF(((('Grants Need-Based'!AI41-'Grants Need-Based'!AD41)/'Grants Need-Based'!AD41)*100)&gt;500,"*",(('Grants Need-Based'!AI41-'Grants Need-Based'!AD41)/'Grants Need-Based'!AD41)*100)</f>
        <v>19.013529902887029</v>
      </c>
      <c r="H47" s="181" t="str">
        <f>IF('Grants Need-Based'!BQ41="—","—",'Grants Need-Based'!BQ41*1000)</f>
        <v>—</v>
      </c>
      <c r="I47" s="165" t="str">
        <f>IF('Grants Need-Based'!BQ41="—","—",(('Grants Need-Based'!BQ41-'Grants Need-Based'!BL41)/'Grants Need-Based'!BL41)*100)</f>
        <v>—</v>
      </c>
      <c r="J47" s="123" t="str">
        <f>IF('Grants Need-Based'!CF41="—","—",'Grants Need-Based'!CF41*1000)</f>
        <v>—</v>
      </c>
      <c r="K47" s="117"/>
      <c r="L47" s="123">
        <f>IF(('Grants Non Need-Based '!DN41*1000)&gt;0,'Grants Non Need-Based '!DN41*1000,"NA")</f>
        <v>5903.4319999999998</v>
      </c>
      <c r="M47" s="259">
        <f>IF('Grants Non Need-Based '!DN41&gt;0,(('Grants Non Need-Based '!DN41-'Grants Non Need-Based '!DI41)/'Grants Non Need-Based '!DI41)*100,"NA")</f>
        <v>-31.23550378567268</v>
      </c>
      <c r="N47" s="181">
        <f>IF('Grants Non Need-Based '!AI41="—","—",'Grants Non Need-Based '!AI41*1000)</f>
        <v>5903.4319999999998</v>
      </c>
      <c r="O47" s="259">
        <f>IF('Grants Non Need-Based '!AI41="—","—",(('Grants Non Need-Based '!AI41-'Grants Non Need-Based '!AD41)/'Grants Non Need-Based '!AD41)*100)</f>
        <v>8581.5176470588231</v>
      </c>
      <c r="P47" s="123" t="str">
        <f>IF('Grants Non Need-Based '!BQ41="—","—",'Grants Non Need-Based '!BQ41*1000)</f>
        <v>—</v>
      </c>
      <c r="Q47" s="259" t="str">
        <f>IF('Grants Non Need-Based '!BQ41="—","—",(('Grants Non Need-Based '!BQ41-'Grants Non Need-Based '!BL41)/'Grants Non Need-Based '!BL41)*100)</f>
        <v>—</v>
      </c>
      <c r="R47" s="262" t="str">
        <f>IF('Grants Non Need-Based '!CF41="—","—",'Grants Non Need-Based '!CF41*1000)</f>
        <v>—</v>
      </c>
      <c r="S47" s="181">
        <f>+Other!AI41*1000</f>
        <v>31690.734</v>
      </c>
      <c r="T47" s="165">
        <f>('Distribution Check Figures'!AF40)*100</f>
        <v>9.4453391080602369</v>
      </c>
      <c r="U47" s="181" t="s">
        <v>70</v>
      </c>
    </row>
    <row r="48" spans="1:21">
      <c r="A48" s="122" t="s">
        <v>71</v>
      </c>
      <c r="B48" s="122"/>
      <c r="C48" s="181">
        <f>+'Total State Aid'!AI42*1000</f>
        <v>68193.734000000011</v>
      </c>
      <c r="D48" s="123">
        <f>+'Grants Need-Based'!DN42*1000</f>
        <v>61175.661000000007</v>
      </c>
      <c r="E48" s="259">
        <f>IF(((('Grants Need-Based'!DN42-'Grants Need-Based'!DI42)/'Grants Need-Based'!DI42)*100)&gt;500,"*",(('Grants Need-Based'!DN42-'Grants Need-Based'!DI42)/'Grants Need-Based'!DI42)*100)</f>
        <v>16.731850706966643</v>
      </c>
      <c r="F48" s="181">
        <f>+'Grants Need-Based'!AI42*1000</f>
        <v>61175.661000000007</v>
      </c>
      <c r="G48" s="259">
        <f>IF(((('Grants Need-Based'!AI42-'Grants Need-Based'!AD42)/'Grants Need-Based'!AD42)*100)&gt;500,"*",(('Grants Need-Based'!AI42-'Grants Need-Based'!AD42)/'Grants Need-Based'!AD42)*100)</f>
        <v>16.731850706966643</v>
      </c>
      <c r="H48" s="181" t="str">
        <f>IF('Grants Need-Based'!BQ42="—","—",'Grants Need-Based'!BQ42*1000)</f>
        <v>—</v>
      </c>
      <c r="I48" s="165" t="str">
        <f>IF('Grants Need-Based'!BQ42="—","—",(('Grants Need-Based'!BQ42-'Grants Need-Based'!BL42)/'Grants Need-Based'!BL42)*100)</f>
        <v>—</v>
      </c>
      <c r="J48" s="123" t="str">
        <f>IF('Grants Need-Based'!CF42="—","—",'Grants Need-Based'!CF42*1000)</f>
        <v>—</v>
      </c>
      <c r="K48" s="117"/>
      <c r="L48" s="123">
        <f>IF(('Grants Non Need-Based '!DN42*1000)&gt;0,'Grants Non Need-Based '!DN42*1000,"NA")</f>
        <v>5215.8890000000001</v>
      </c>
      <c r="M48" s="259">
        <f>IF('Grants Non Need-Based '!DN42&gt;0,(('Grants Non Need-Based '!DN42-'Grants Non Need-Based '!DI42)/'Grants Non Need-Based '!DI42)*100,"NA")</f>
        <v>0.40209817131856573</v>
      </c>
      <c r="N48" s="181">
        <f>IF('Grants Non Need-Based '!AI42="—","—",'Grants Non Need-Based '!AI42*1000)</f>
        <v>5215.8890000000001</v>
      </c>
      <c r="O48" s="259">
        <f>IF('Grants Non Need-Based '!AI42="—","—",(('Grants Non Need-Based '!AI42-'Grants Non Need-Based '!AD42)/'Grants Non Need-Based '!AD42)*100)</f>
        <v>0.40209817131856573</v>
      </c>
      <c r="P48" s="123" t="str">
        <f>IF('Grants Non Need-Based '!BQ42="—","—",'Grants Non Need-Based '!BQ42*1000)</f>
        <v>—</v>
      </c>
      <c r="Q48" s="259" t="str">
        <f>IF('Grants Non Need-Based '!BQ42="—","—",(('Grants Non Need-Based '!BQ42-'Grants Non Need-Based '!BL42)/'Grants Non Need-Based '!BL42)*100)</f>
        <v>—</v>
      </c>
      <c r="R48" s="262" t="str">
        <f>IF('Grants Non Need-Based '!CF42="—","—",'Grants Non Need-Based '!CF42*1000)</f>
        <v>—</v>
      </c>
      <c r="S48" s="181">
        <f>+Other!AI42*1000</f>
        <v>1802.184</v>
      </c>
      <c r="T48" s="165">
        <f>('Distribution Check Figures'!AF41)*100</f>
        <v>2.6427413404287261</v>
      </c>
      <c r="U48" s="181" t="s">
        <v>71</v>
      </c>
    </row>
    <row r="49" spans="1:21">
      <c r="A49" s="122" t="s">
        <v>72</v>
      </c>
      <c r="B49" s="122"/>
      <c r="C49" s="181">
        <f>+'Total State Aid'!AI43*1000</f>
        <v>20475.877</v>
      </c>
      <c r="D49" s="123">
        <f>+'Grants Need-Based'!DN43*1000</f>
        <v>17250.646000000001</v>
      </c>
      <c r="E49" s="259">
        <f>IF(((('Grants Need-Based'!DN43-'Grants Need-Based'!DI43)/'Grants Need-Based'!DI43)*100)&gt;500,"*",(('Grants Need-Based'!DN43-'Grants Need-Based'!DI43)/'Grants Need-Based'!DI43)*100)</f>
        <v>-3.2276113542017324</v>
      </c>
      <c r="F49" s="181">
        <f>+'Grants Need-Based'!AI43*1000</f>
        <v>17250.646000000001</v>
      </c>
      <c r="G49" s="259">
        <f>IF(((('Grants Need-Based'!AI43-'Grants Need-Based'!AD43)/'Grants Need-Based'!AD43)*100)&gt;500,"*",(('Grants Need-Based'!AI43-'Grants Need-Based'!AD43)/'Grants Need-Based'!AD43)*100)</f>
        <v>-3.2276113542017324</v>
      </c>
      <c r="H49" s="181" t="str">
        <f>IF('Grants Need-Based'!BQ43="—","—",'Grants Need-Based'!BQ43*1000)</f>
        <v>—</v>
      </c>
      <c r="I49" s="165" t="str">
        <f>IF('Grants Need-Based'!BQ43="—","—",(('Grants Need-Based'!BQ43-'Grants Need-Based'!BL43)/'Grants Need-Based'!BL43)*100)</f>
        <v>—</v>
      </c>
      <c r="J49" s="123" t="str">
        <f>IF('Grants Need-Based'!CF43="—","—",'Grants Need-Based'!CF43*1000)</f>
        <v>—</v>
      </c>
      <c r="K49" s="117"/>
      <c r="L49" s="123" t="str">
        <f>IF(('Grants Non Need-Based '!DN43*1000)&gt;0,'Grants Non Need-Based '!DN43*1000,"—")</f>
        <v>—</v>
      </c>
      <c r="M49" s="259" t="str">
        <f>IF('Grants Non Need-Based '!DN43&gt;0,(('Grants Non Need-Based '!DN43-'Grants Non Need-Based '!DI43)/'Grants Non Need-Based '!DI43)*100,"—")</f>
        <v>—</v>
      </c>
      <c r="N49" s="181" t="str">
        <f>IF('Grants Non Need-Based '!AI43="—","—",'Grants Non Need-Based '!AI43*1000)</f>
        <v>—</v>
      </c>
      <c r="O49" s="259" t="str">
        <f>IF('Grants Non Need-Based '!AI43="—","—",(('Grants Non Need-Based '!AI43-'Grants Non Need-Based '!AD43)/'Grants Non Need-Based '!AD43)*100)</f>
        <v>—</v>
      </c>
      <c r="P49" s="123" t="str">
        <f>IF('Grants Non Need-Based '!BQ43="—","—",'Grants Non Need-Based '!BQ43*1000)</f>
        <v>—</v>
      </c>
      <c r="Q49" s="259" t="str">
        <f>IF('Grants Non Need-Based '!BQ43="—","—",(('Grants Non Need-Based '!BQ43-'Grants Non Need-Based '!BL43)/'Grants Non Need-Based '!BL43)*100)</f>
        <v>—</v>
      </c>
      <c r="R49" s="262" t="str">
        <f>IF('Grants Non Need-Based '!CF43="—","—",'Grants Non Need-Based '!CF43*1000)</f>
        <v>—</v>
      </c>
      <c r="S49" s="181">
        <f>+Other!AI43*1000</f>
        <v>3225.2309999999998</v>
      </c>
      <c r="T49" s="165">
        <f>('Distribution Check Figures'!AF42)*100</f>
        <v>15.751369282009264</v>
      </c>
      <c r="U49" s="181" t="s">
        <v>72</v>
      </c>
    </row>
    <row r="50" spans="1:21">
      <c r="A50" s="117" t="s">
        <v>73</v>
      </c>
      <c r="B50" s="117"/>
      <c r="C50" s="124">
        <f>+'Total State Aid'!AI44*1000</f>
        <v>108405.54300000001</v>
      </c>
      <c r="D50" s="120">
        <f>+'Grants Need-Based'!DN44*1000</f>
        <v>107244.04800000001</v>
      </c>
      <c r="E50" s="175">
        <f>IF(((('Grants Need-Based'!DN44-'Grants Need-Based'!DI44)/'Grants Need-Based'!DI44)*100)&gt;500,"*",(('Grants Need-Based'!DN44-'Grants Need-Based'!DI44)/'Grants Need-Based'!DI44)*100)</f>
        <v>22.846822987663089</v>
      </c>
      <c r="F50" s="124">
        <f>+'Grants Need-Based'!AI44*1000</f>
        <v>107244.04800000001</v>
      </c>
      <c r="G50" s="175">
        <f>IF(((('Grants Need-Based'!AI44-'Grants Need-Based'!AD44)/'Grants Need-Based'!AD44)*100)&gt;500,"*",(('Grants Need-Based'!AI44-'Grants Need-Based'!AD44)/'Grants Need-Based'!AD44)*100)</f>
        <v>22.846822987663089</v>
      </c>
      <c r="H50" s="124" t="str">
        <f>IF('Grants Need-Based'!BQ44="—","—",'Grants Need-Based'!BQ44*1000)</f>
        <v>—</v>
      </c>
      <c r="I50" s="119" t="str">
        <f>IF('Grants Need-Based'!BQ44="—","—",(('Grants Need-Based'!BQ44-'Grants Need-Based'!BL44)/'Grants Need-Based'!BL44)*100)</f>
        <v>—</v>
      </c>
      <c r="J50" s="120" t="str">
        <f>IF('Grants Need-Based'!CF44="—","—",'Grants Need-Based'!CF44*1000)</f>
        <v>—</v>
      </c>
      <c r="K50" s="117"/>
      <c r="L50" s="120">
        <f>IF(('Grants Non Need-Based '!DN44*1000)&gt;0,'Grants Non Need-Based '!DN44*1000,"NA")</f>
        <v>1099.768</v>
      </c>
      <c r="M50" s="175">
        <f>IF('Grants Non Need-Based '!DN44&gt;0,(('Grants Non Need-Based '!DN44-'Grants Non Need-Based '!DI44)/'Grants Non Need-Based '!DI44)*100,"NA")</f>
        <v>8.8879207920792158</v>
      </c>
      <c r="N50" s="124">
        <f>IF('Grants Non Need-Based '!AI44="—","—",'Grants Non Need-Based '!AI44*1000)</f>
        <v>1099.768</v>
      </c>
      <c r="O50" s="175">
        <f>IF('Grants Non Need-Based '!AI44="—","—",(('Grants Non Need-Based '!AI44-'Grants Non Need-Based '!AD44)/'Grants Non Need-Based '!AD44)*100)</f>
        <v>8.8879207920792158</v>
      </c>
      <c r="P50" s="120" t="str">
        <f>IF('Grants Non Need-Based '!BQ44="—","—",'Grants Non Need-Based '!BQ44*1000)</f>
        <v>—</v>
      </c>
      <c r="Q50" s="175" t="str">
        <f>IF('Grants Non Need-Based '!BQ44="—","—",(('Grants Non Need-Based '!BQ44-'Grants Non Need-Based '!BL44)/'Grants Non Need-Based '!BL44)*100)</f>
        <v>—</v>
      </c>
      <c r="R50" s="281" t="str">
        <f>IF('Grants Non Need-Based '!CF44="—","—",'Grants Non Need-Based '!CF44*1000)</f>
        <v>—</v>
      </c>
      <c r="S50" s="124">
        <f>+Other!AI44*1000</f>
        <v>61.726999999999997</v>
      </c>
      <c r="T50" s="119">
        <f>('Distribution Check Figures'!AF43)*100</f>
        <v>5.6940815286539354E-2</v>
      </c>
      <c r="U50" s="124" t="s">
        <v>73</v>
      </c>
    </row>
    <row r="51" spans="1:21">
      <c r="A51" s="117" t="s">
        <v>74</v>
      </c>
      <c r="B51" s="117"/>
      <c r="C51" s="124">
        <f>+'Total State Aid'!AI45*1000</f>
        <v>276459.92699999997</v>
      </c>
      <c r="D51" s="120">
        <f>+'Grants Need-Based'!DN45*1000</f>
        <v>194576.95499999999</v>
      </c>
      <c r="E51" s="175">
        <f>IF(((('Grants Need-Based'!DN45-'Grants Need-Based'!DI45)/'Grants Need-Based'!DI45)*100)&gt;500,"*",(('Grants Need-Based'!DN45-'Grants Need-Based'!DI45)/'Grants Need-Based'!DI45)*100)</f>
        <v>29.467665846031011</v>
      </c>
      <c r="F51" s="124">
        <f>+'Grants Need-Based'!AI45*1000</f>
        <v>194214.66699999999</v>
      </c>
      <c r="G51" s="175">
        <f>IF(((('Grants Need-Based'!AI45-'Grants Need-Based'!AD45)/'Grants Need-Based'!AD45)*100)&gt;500,"*",(('Grants Need-Based'!AI45-'Grants Need-Based'!AD45)/'Grants Need-Based'!AD45)*100)</f>
        <v>29.34537468698386</v>
      </c>
      <c r="H51" s="124">
        <f>IF('Grants Need-Based'!BQ45="—","—",'Grants Need-Based'!BQ45*1000)</f>
        <v>362.28800000000001</v>
      </c>
      <c r="I51" s="119">
        <f>IF('Grants Need-Based'!BQ45="—","—",(('Grants Need-Based'!BQ45-'Grants Need-Based'!BL45)/'Grants Need-Based'!BL45)*100)</f>
        <v>162.52753623188403</v>
      </c>
      <c r="J51" s="120" t="str">
        <f>IF('Grants Need-Based'!CF45="—","—",'Grants Need-Based'!CF45*1000)</f>
        <v>—</v>
      </c>
      <c r="K51" s="117"/>
      <c r="L51" s="120">
        <f>IF(('Grants Non Need-Based '!DN45*1000)&gt;0,'Grants Non Need-Based '!DN45*1000,"NA")</f>
        <v>1560.03</v>
      </c>
      <c r="M51" s="175">
        <f>IF(((('Grants Non Need-Based '!DN45-'Grants Non Need-Based '!DI45)/'Grants Non Need-Based '!DI45)*100)&gt;500,"*",(('Grants Non Need-Based '!DN45-'Grants Non Need-Based '!DI45)/'Grants Non Need-Based '!DI45))</f>
        <v>0.73336666666666683</v>
      </c>
      <c r="N51" s="124">
        <f>IF('Grants Non Need-Based '!AI45="—","—",'Grants Non Need-Based '!AI45*1000)</f>
        <v>1109.6289999999999</v>
      </c>
      <c r="O51" s="175" t="str">
        <f>IF(((('Grants Non Need-Based '!AI45-'Grants Non Need-Based '!AD45)/'Grants Non Need-Based '!AD45)*100)&gt;500, "*", (('Grants Non Need-Based '!AI45-'Grants Non Need-Based '!AD45)/'Grants Non Need-Based '!AD45)*100)</f>
        <v>*</v>
      </c>
      <c r="P51" s="124">
        <f>IF('Grants Non Need-Based '!BQ45="NA","NA",'Grants Non Need-Based '!BQ45*1000)</f>
        <v>450.40100000000001</v>
      </c>
      <c r="Q51" s="175">
        <f>IF('Grants Non Need-Based '!BL45="—","—",(('Grants Non Need-Based '!BQ45-'Grants Non Need-Based '!BL45)/'Grants Non Need-Based '!BL45)*100)</f>
        <v>3117.1499999999996</v>
      </c>
      <c r="R51" s="281" t="str">
        <f>IF('Grants Non Need-Based '!CF45="—","—",'Grants Non Need-Based '!CF45*1000)</f>
        <v>—</v>
      </c>
      <c r="S51" s="124">
        <f>+Other!AI45*1000</f>
        <v>80322.941999999995</v>
      </c>
      <c r="T51" s="119">
        <f>('Distribution Check Figures'!AF44)*100</f>
        <v>29.054099402985084</v>
      </c>
      <c r="U51" s="124" t="s">
        <v>74</v>
      </c>
    </row>
    <row r="52" spans="1:21">
      <c r="A52" s="117" t="s">
        <v>75</v>
      </c>
      <c r="B52" s="117"/>
      <c r="C52" s="124">
        <f>+'Total State Aid'!AI46*1000</f>
        <v>129622.52499999999</v>
      </c>
      <c r="D52" s="120">
        <f>+'Grants Need-Based'!DN46*1000</f>
        <v>75096.471000000005</v>
      </c>
      <c r="E52" s="175">
        <f>IF(((('Grants Need-Based'!DN46-'Grants Need-Based'!DI46)/'Grants Need-Based'!DI46)*100)&gt;500,"*",(('Grants Need-Based'!DN46-'Grants Need-Based'!DI46)/'Grants Need-Based'!DI46)*100)</f>
        <v>25.256815225005852</v>
      </c>
      <c r="F52" s="124">
        <f>+'Grants Need-Based'!AI46*1000</f>
        <v>75096.471000000005</v>
      </c>
      <c r="G52" s="175">
        <f>IF(((('Grants Need-Based'!AI46-'Grants Need-Based'!AD46)/'Grants Need-Based'!AD46)*100)&gt;500,"*",(('Grants Need-Based'!AI46-'Grants Need-Based'!AD46)/'Grants Need-Based'!AD46)*100)</f>
        <v>25.256815225005852</v>
      </c>
      <c r="H52" s="124" t="str">
        <f>IF('Grants Need-Based'!BQ46="—","—",'Grants Need-Based'!BQ46*1000)</f>
        <v>—</v>
      </c>
      <c r="I52" s="119" t="str">
        <f>IF('Grants Need-Based'!BQ46="—","—",(('Grants Need-Based'!BQ46-'Grants Need-Based'!BL46)/'Grants Need-Based'!BL46)*100)</f>
        <v>—</v>
      </c>
      <c r="J52" s="120" t="str">
        <f>IF('Grants Need-Based'!CF46="—","—",'Grants Need-Based'!CF46*1000)</f>
        <v>—</v>
      </c>
      <c r="K52" s="117"/>
      <c r="L52" s="120">
        <f>IF(('Grants Non Need-Based '!DN46*1000)&gt;0,'Grants Non Need-Based '!DN46*1000,"NA")</f>
        <v>54526.054000000004</v>
      </c>
      <c r="M52" s="175">
        <f>IF('Grants Non Need-Based '!DN46&gt;0,(('Grants Non Need-Based '!DN46-'Grants Non Need-Based '!DI46)/'Grants Non Need-Based '!DI46)*100,"NA")</f>
        <v>47.208569114470848</v>
      </c>
      <c r="N52" s="124">
        <f>IF('Grants Non Need-Based '!AI46="—","—",'Grants Non Need-Based '!AI46*1000)</f>
        <v>54526.054000000004</v>
      </c>
      <c r="O52" s="175">
        <f>IF('Grants Non Need-Based '!AI46="—","—",(('Grants Non Need-Based '!AI46-'Grants Non Need-Based '!AD46)/'Grants Non Need-Based '!AD46)*100)</f>
        <v>47.208569114470848</v>
      </c>
      <c r="P52" s="120" t="str">
        <f>IF('Grants Non Need-Based '!BQ46="—","—",'Grants Non Need-Based '!BQ46*1000)</f>
        <v>—</v>
      </c>
      <c r="Q52" s="175" t="str">
        <f>IF('Grants Non Need-Based '!BL46="—","—",(('Grants Non Need-Based '!BQ46-'Grants Non Need-Based '!BL46)/'Grants Non Need-Based '!BL46)*100)</f>
        <v>—</v>
      </c>
      <c r="R52" s="281" t="str">
        <f>IF('Grants Non Need-Based '!CF46="—","—",'Grants Non Need-Based '!CF46*1000)</f>
        <v>—</v>
      </c>
      <c r="S52" s="124" t="str">
        <f>IF(Other!AI46="—","—",Other!AI46*1000)</f>
        <v>—</v>
      </c>
      <c r="T52" s="124" t="str">
        <f>IF('Distribution Check Figures'!AF45="—","—",'Distribution Check Figures'!AF45*100)</f>
        <v>—</v>
      </c>
      <c r="U52" s="124" t="s">
        <v>75</v>
      </c>
    </row>
    <row r="53" spans="1:21">
      <c r="A53" s="117" t="s">
        <v>76</v>
      </c>
      <c r="B53" s="117"/>
      <c r="C53" s="124">
        <f>+'Total State Aid'!AI47*1000</f>
        <v>161637.07700000002</v>
      </c>
      <c r="D53" s="120">
        <f>+'Grants Need-Based'!DN47*1000</f>
        <v>17836.824000000001</v>
      </c>
      <c r="E53" s="175">
        <f>IF(((('Grants Need-Based'!DN47-'Grants Need-Based'!DI47)/'Grants Need-Based'!DI47)*100)&gt;500,"*",(('Grants Need-Based'!DN47-'Grants Need-Based'!DI47)/'Grants Need-Based'!DI47)*100)</f>
        <v>15.336721629485936</v>
      </c>
      <c r="F53" s="124">
        <f>+'Grants Need-Based'!AI47*1000</f>
        <v>17836.824000000001</v>
      </c>
      <c r="G53" s="175">
        <f>IF(((('Grants Need-Based'!AI47-'Grants Need-Based'!AD47)/'Grants Need-Based'!AD47)*100)&gt;500,"*",(('Grants Need-Based'!AI47-'Grants Need-Based'!AD47)/'Grants Need-Based'!AD47)*100)</f>
        <v>15.336721629485936</v>
      </c>
      <c r="H53" s="124" t="str">
        <f>IF('Grants Need-Based'!BQ47="—","—",'Grants Need-Based'!BQ47*1000)</f>
        <v>—</v>
      </c>
      <c r="I53" s="119" t="str">
        <f>IF('Grants Need-Based'!BQ47="—","—",(('Grants Need-Based'!BQ47-'Grants Need-Based'!BL47)/'Grants Need-Based'!BL47)*100)</f>
        <v>—</v>
      </c>
      <c r="J53" s="120" t="str">
        <f>IF('Grants Need-Based'!CF47="—","—",'Grants Need-Based'!CF47*1000)</f>
        <v>—</v>
      </c>
      <c r="K53" s="117"/>
      <c r="L53" s="120">
        <f>IF(('Grants Non Need-Based '!DN47*1000)&gt;0,'Grants Non Need-Based '!DN47*1000,"—")</f>
        <v>2579.9189999999999</v>
      </c>
      <c r="M53" s="175" t="str">
        <f>IF('Grants Non Need-Based '!DI47&gt;0,(('Grants Non Need-Based '!DN47-'Grants Non Need-Based '!DI47)/'Grants Non Need-Based '!DI47)*100,"—")</f>
        <v>—</v>
      </c>
      <c r="N53" s="124">
        <f>IF('Grants Non Need-Based '!AI47="—","—",'Grants Non Need-Based '!AI47*1000)</f>
        <v>2134.9629999999997</v>
      </c>
      <c r="O53" s="175" t="str">
        <f>IF('Grants Non Need-Based '!AD47="—","—",(('Grants Non Need-Based '!AI47-'Grants Non Need-Based '!AD47)/'Grants Non Need-Based '!AD47)*100)</f>
        <v>—</v>
      </c>
      <c r="P53" s="120">
        <f>IF('Grants Non Need-Based '!BQ47="—","—",'Grants Non Need-Based '!BQ47*1000)</f>
        <v>444.95600000000002</v>
      </c>
      <c r="Q53" s="175" t="str">
        <f>IF('Grants Non Need-Based '!BL47="—","—",(('Grants Non Need-Based '!BQ47-'Grants Non Need-Based '!BL47)/'Grants Non Need-Based '!BL47)*100)</f>
        <v>—</v>
      </c>
      <c r="R53" s="281" t="str">
        <f>IF('Grants Non Need-Based '!CF47="—","—",'Grants Non Need-Based '!CF47*1000)</f>
        <v>—</v>
      </c>
      <c r="S53" s="124">
        <f>+Other!AI47*1000</f>
        <v>141220.334</v>
      </c>
      <c r="T53" s="119">
        <f>('Distribution Check Figures'!AF46)*100</f>
        <v>87.36877492532237</v>
      </c>
      <c r="U53" s="124" t="s">
        <v>76</v>
      </c>
    </row>
    <row r="54" spans="1:21">
      <c r="A54" s="122" t="s">
        <v>77</v>
      </c>
      <c r="B54" s="122"/>
      <c r="C54" s="181">
        <f>+'Total State Aid'!AI48*1000</f>
        <v>22138.928000000004</v>
      </c>
      <c r="D54" s="123">
        <f>+'Grants Need-Based'!DN48*1000</f>
        <v>11242.744000000002</v>
      </c>
      <c r="E54" s="259">
        <f>IF(((('Grants Need-Based'!DN48-'Grants Need-Based'!DI48)/'Grants Need-Based'!DI48)*100)&gt;500,"*",(('Grants Need-Based'!DN48-'Grants Need-Based'!DI48)/'Grants Need-Based'!DI48)*100)</f>
        <v>19.286408488063671</v>
      </c>
      <c r="F54" s="181">
        <f>+'Grants Need-Based'!AI48*1000</f>
        <v>11230.744000000001</v>
      </c>
      <c r="G54" s="259">
        <f>IF(((('Grants Need-Based'!AI48-'Grants Need-Based'!AD48)/'Grants Need-Based'!AD48)*100)&gt;500,"*",(('Grants Need-Based'!AI48-'Grants Need-Based'!AD48)/'Grants Need-Based'!AD48)*100)</f>
        <v>19.159087533156505</v>
      </c>
      <c r="H54" s="181">
        <f>IF('Grants Need-Based'!BQ48="—","—",'Grants Need-Based'!BQ48*1000)</f>
        <v>12</v>
      </c>
      <c r="I54" s="165" t="str">
        <f>IF('Grants Need-Based'!BL48="—","—",(('Grants Need-Based'!BQ48-'Grants Need-Based'!BL48)/'Grants Need-Based'!BL48)*100)</f>
        <v>—</v>
      </c>
      <c r="J54" s="123" t="str">
        <f>IF('Grants Need-Based'!CF48="—","—",'Grants Need-Based'!CF48*1000)</f>
        <v>—</v>
      </c>
      <c r="K54" s="117"/>
      <c r="L54" s="123">
        <f>IF(('Grants Non Need-Based '!DN48*1000)&gt;0,'Grants Non Need-Based '!DN48*1000,"NA")</f>
        <v>9331.1010000000006</v>
      </c>
      <c r="M54" s="259">
        <f>IF(((('Grants Non Need-Based '!DN48-'Grants Non Need-Based '!DI48)/'Grants Non Need-Based '!DI48)*100)&gt;500,"*",(('Grants Non Need-Based '!DN48-'Grants Non Need-Based '!DI48)/'Grants Non Need-Based '!DI48))</f>
        <v>1.3234813247011954</v>
      </c>
      <c r="N54" s="181">
        <f>IF('Grants Non Need-Based '!AI48="—","—",'Grants Non Need-Based '!AI48*1000)</f>
        <v>7469.3940000000002</v>
      </c>
      <c r="O54" s="259">
        <f>IF(((('Grants Non Need-Based '!AI48-'Grants Non Need-Based '!AD48)/'Grants Non Need-Based '!AD48)*100)&gt;500,"*",(('Grants Non Need-Based '!AI48-'Grants Non Need-Based '!AD48)/'Grants Non Need-Based '!AD48))</f>
        <v>0.85990886454183268</v>
      </c>
      <c r="P54" s="181">
        <f>IF('Grants Non Need-Based '!BQ48="NA","NA",'Grants Non Need-Based '!BQ48*1000)</f>
        <v>1861.7070000000001</v>
      </c>
      <c r="Q54" s="259" t="str">
        <f>IF('Grants Non Need-Based '!BL48="—","—",(('Grants Non Need-Based '!BQ48-'Grants Non Need-Based '!BL48)/'Grants Non Need-Based '!BL48)*100)</f>
        <v>—</v>
      </c>
      <c r="R54" s="262" t="str">
        <f>IF('Grants Non Need-Based '!CF48="—","—",'Grants Non Need-Based '!CF48*1000)</f>
        <v>—</v>
      </c>
      <c r="S54" s="181">
        <f>+Other!AI48*1000</f>
        <v>1565.0830000000001</v>
      </c>
      <c r="T54" s="165">
        <f>('Distribution Check Figures'!AF47)*100</f>
        <v>7.0693711999063353</v>
      </c>
      <c r="U54" s="181" t="s">
        <v>77</v>
      </c>
    </row>
    <row r="55" spans="1:21">
      <c r="A55" s="122" t="s">
        <v>78</v>
      </c>
      <c r="B55" s="122"/>
      <c r="C55" s="181">
        <f>+'Total State Aid'!AI49*1000</f>
        <v>132580.04399999999</v>
      </c>
      <c r="D55" s="123">
        <f>+'Grants Need-Based'!DN49*1000</f>
        <v>94431.659</v>
      </c>
      <c r="E55" s="259">
        <f>IF(((('Grants Need-Based'!DN49-'Grants Need-Based'!DI49)/'Grants Need-Based'!DI49)*100)&gt;500,"*",(('Grants Need-Based'!DN49-'Grants Need-Based'!DI49)/'Grants Need-Based'!DI49)*100)</f>
        <v>26.024821502448919</v>
      </c>
      <c r="F55" s="181">
        <f>+'Grants Need-Based'!AI49*1000</f>
        <v>94431.659</v>
      </c>
      <c r="G55" s="259">
        <f>IF(((('Grants Need-Based'!AI49-'Grants Need-Based'!AD49)/'Grants Need-Based'!AD49)*100)&gt;500,"*",(('Grants Need-Based'!AI49-'Grants Need-Based'!AD49)/'Grants Need-Based'!AD49)*100)</f>
        <v>26.024821502448919</v>
      </c>
      <c r="H55" s="181" t="str">
        <f>IF('Grants Need-Based'!BQ49="—","—",'Grants Need-Based'!BQ49*1000)</f>
        <v>—</v>
      </c>
      <c r="I55" s="165" t="str">
        <f>IF('Grants Need-Based'!BQ49="—","—",(('Grants Need-Based'!BQ49-'Grants Need-Based'!BL49)/'Grants Need-Based'!BL49)*100)</f>
        <v>—</v>
      </c>
      <c r="J55" s="123" t="str">
        <f>IF('Grants Need-Based'!CF49="—","—",'Grants Need-Based'!CF49*1000)</f>
        <v>—</v>
      </c>
      <c r="K55" s="117"/>
      <c r="L55" s="123">
        <f>IF(('Grants Non Need-Based '!DN49*1000)&gt;0,'Grants Non Need-Based '!DN49*1000,"NA")</f>
        <v>37252.712</v>
      </c>
      <c r="M55" s="259">
        <f>IF('Grants Non Need-Based '!DN49&gt;0,(('Grants Non Need-Based '!DN49-'Grants Non Need-Based '!DI49)/'Grants Non Need-Based '!DI49)*100,"NA")</f>
        <v>10.023072152160431</v>
      </c>
      <c r="N55" s="181">
        <f>IF('Grants Non Need-Based '!AI49="—","—",'Grants Non Need-Based '!AI49*1000)</f>
        <v>37252.712</v>
      </c>
      <c r="O55" s="259">
        <f>IF('Grants Non Need-Based '!AI49="—","—",(('Grants Non Need-Based '!AI49-'Grants Non Need-Based '!AD49)/'Grants Non Need-Based '!AD49)*100)</f>
        <v>10.023072152160431</v>
      </c>
      <c r="P55" s="123" t="str">
        <f>IF('Grants Non Need-Based '!BQ49="—","—",'Grants Non Need-Based '!BQ49*1000)</f>
        <v>—</v>
      </c>
      <c r="Q55" s="259" t="str">
        <f>IF('Grants Non Need-Based '!BQ49="—","—",(('Grants Non Need-Based '!BQ49-'Grants Non Need-Based '!BL49)/'Grants Non Need-Based '!BL49)*100)</f>
        <v>—</v>
      </c>
      <c r="R55" s="262" t="str">
        <f>IF('Grants Non Need-Based '!CF49="—","—",'Grants Non Need-Based '!CF49*1000)</f>
        <v>—</v>
      </c>
      <c r="S55" s="181">
        <f>+Other!AI49*1000</f>
        <v>895.673</v>
      </c>
      <c r="T55" s="165">
        <f>('Distribution Check Figures'!AF48)*100</f>
        <v>0.6755715060707026</v>
      </c>
      <c r="U55" s="181" t="s">
        <v>78</v>
      </c>
    </row>
    <row r="56" spans="1:21">
      <c r="A56" s="122" t="s">
        <v>79</v>
      </c>
      <c r="B56" s="122"/>
      <c r="C56" s="181">
        <f>+'Total State Aid'!AI50*1000</f>
        <v>6133.9679999999998</v>
      </c>
      <c r="D56" s="123">
        <f>+'Grants Need-Based'!DN50*1000</f>
        <v>225.38200000000001</v>
      </c>
      <c r="E56" s="259">
        <f>IF('Grants Need-Based'!DI50&gt;0,IF(((('Grants Need-Based'!DN50-'Grants Need-Based'!DI50)/'Grants Need-Based'!DI50)*100)&gt;500,"*",(('Grants Need-Based'!DN50-'Grants Need-Based'!DI50)/'Grants Need-Based'!DI50)*100),0)</f>
        <v>0</v>
      </c>
      <c r="F56" s="181">
        <f>+'Grants Need-Based'!AI50*1000</f>
        <v>225.38200000000001</v>
      </c>
      <c r="G56" s="259">
        <f>IF('Grants Need-Based'!AD50&gt;0,IF(((('Grants Need-Based'!AI50-'Grants Need-Based'!AD50)/'Grants Need-Based'!AD50)*100)&gt;500,"*",(('Grants Need-Based'!AI50-'Grants Need-Based'!AD50)/'Grants Need-Based'!AD50)*100),0)</f>
        <v>0</v>
      </c>
      <c r="H56" s="181" t="str">
        <f>IF('Grants Need-Based'!BQ50="—","—",'Grants Need-Based'!BQ50*1000)</f>
        <v>—</v>
      </c>
      <c r="I56" s="165" t="str">
        <f>IF('Grants Need-Based'!BQ50="—","—",(('Grants Need-Based'!BQ50-'Grants Need-Based'!BL50)/'Grants Need-Based'!BL50)*100)</f>
        <v>—</v>
      </c>
      <c r="J56" s="123" t="str">
        <f>IF('Grants Need-Based'!CF50="—","—",'Grants Need-Based'!CF50*1000)</f>
        <v>—</v>
      </c>
      <c r="K56" s="117"/>
      <c r="L56" s="123">
        <f>IF(('Grants Non Need-Based '!DN50*1000)&gt;0,'Grants Non Need-Based '!DN50*1000,"NA")</f>
        <v>5337.0499999999993</v>
      </c>
      <c r="M56" s="259">
        <f>IF('Grants Non Need-Based '!DN50&gt;0,(('Grants Non Need-Based '!DN50-'Grants Non Need-Based '!DI50)/'Grants Non Need-Based '!DI50)*100,"NA")</f>
        <v>30.045077972709539</v>
      </c>
      <c r="N56" s="181">
        <f>IF('Grants Non Need-Based '!AI50="—","—",'Grants Non Need-Based '!AI50*1000)</f>
        <v>5337.0499999999993</v>
      </c>
      <c r="O56" s="259">
        <f>IF('Grants Non Need-Based '!AI50="—","—",(('Grants Non Need-Based '!AI50-'Grants Non Need-Based '!AD50)/'Grants Non Need-Based '!AD50)*100)</f>
        <v>30.045077972709539</v>
      </c>
      <c r="P56" s="123" t="str">
        <f>IF('Grants Non Need-Based '!BQ50="—","—",'Grants Non Need-Based '!BQ50*1000)</f>
        <v>—</v>
      </c>
      <c r="Q56" s="259" t="str">
        <f>IF('Grants Non Need-Based '!BQ50="—","—",(('Grants Non Need-Based '!BQ50-'Grants Non Need-Based '!BL50)/'Grants Non Need-Based '!BL50)*100)</f>
        <v>—</v>
      </c>
      <c r="R56" s="262" t="str">
        <f>IF('Grants Non Need-Based '!CF50="—","—",'Grants Non Need-Based '!CF50*1000)</f>
        <v>—</v>
      </c>
      <c r="S56" s="181">
        <f>+Other!AI50*1000</f>
        <v>571.53600000000006</v>
      </c>
      <c r="T56" s="165">
        <f>('Distribution Check Figures'!AF49)*100</f>
        <v>9.3175575744770764</v>
      </c>
      <c r="U56" s="181" t="s">
        <v>79</v>
      </c>
    </row>
    <row r="57" spans="1:21">
      <c r="A57" s="122" t="s">
        <v>80</v>
      </c>
      <c r="B57" s="122"/>
      <c r="C57" s="129">
        <f>+'Total State Aid'!AI51*1000</f>
        <v>135497.516</v>
      </c>
      <c r="D57" s="128">
        <f>+'Grants Need-Based'!DN51*1000</f>
        <v>122954.927</v>
      </c>
      <c r="E57" s="255">
        <f>IF(((('Grants Need-Based'!DN51-'Grants Need-Based'!DI51)/'Grants Need-Based'!DI51)*100)&gt;500,"*",(('Grants Need-Based'!DN51-'Grants Need-Based'!DI51)/'Grants Need-Based'!DI51)*100)</f>
        <v>9.4908385798373818</v>
      </c>
      <c r="F57" s="129">
        <f>+'Grants Need-Based'!AI51*1000</f>
        <v>122954.927</v>
      </c>
      <c r="G57" s="255">
        <f>IF(((('Grants Need-Based'!AI51-'Grants Need-Based'!AD51)/'Grants Need-Based'!AD51)*100)&gt;500,"*",(('Grants Need-Based'!AI51-'Grants Need-Based'!AD51)/'Grants Need-Based'!AD51)*100)</f>
        <v>10.239861387558943</v>
      </c>
      <c r="H57" s="128" t="str">
        <f>IF('Grants Need-Based'!BQ51="—","—",'Grants Need-Based'!BQ51*1000)</f>
        <v>—</v>
      </c>
      <c r="I57" s="255" t="str">
        <f>IF('Grants Need-Based'!BQ51="—","—",(('Grants Need-Based'!BQ51-'Grants Need-Based'!BL51)/'Grants Need-Based'!BL51)*100)</f>
        <v>—</v>
      </c>
      <c r="J57" s="128" t="str">
        <f>IF('Grants Need-Based'!CF51="—","—",'Grants Need-Based'!CF51*1000)</f>
        <v>—</v>
      </c>
      <c r="K57" s="117"/>
      <c r="L57" s="128">
        <f>IF(('Grants Non Need-Based '!DN51*1000)&gt;0,'Grants Non Need-Based '!DN51*1000,"NA")</f>
        <v>3663.6309999999999</v>
      </c>
      <c r="M57" s="255">
        <f>IF('Grants Non Need-Based '!DN51&gt;0,(('Grants Non Need-Based '!DN51-'Grants Non Need-Based '!DI51)/'Grants Non Need-Based '!DI51)*100,"NA")</f>
        <v>19.414308996088657</v>
      </c>
      <c r="N57" s="128">
        <f>IF('Grants Non Need-Based '!AI51="—","—",'Grants Non Need-Based '!AI51*1000)</f>
        <v>3663.6309999999999</v>
      </c>
      <c r="O57" s="255">
        <f>IF('Grants Non Need-Based '!AI51="—","—",(('Grants Non Need-Based '!AI51-'Grants Non Need-Based '!AD51)/'Grants Non Need-Based '!AD51)*100)</f>
        <v>19.414308996088657</v>
      </c>
      <c r="P57" s="128" t="str">
        <f>IF('Grants Non Need-Based '!BQ51="—","—",'Grants Non Need-Based '!BQ51*1000)</f>
        <v>—</v>
      </c>
      <c r="Q57" s="255" t="str">
        <f>IF('Grants Non Need-Based '!BQ51="—","—",(('Grants Non Need-Based '!BQ51-'Grants Non Need-Based '!BL51)/'Grants Non Need-Based '!BL51)*100)</f>
        <v>—</v>
      </c>
      <c r="R57" s="257" t="str">
        <f>IF('Grants Non Need-Based '!CF51="—","—",'Grants Non Need-Based '!CF51*1000)</f>
        <v>—</v>
      </c>
      <c r="S57" s="129">
        <f>+Other!AI51*1000</f>
        <v>8878.9580000000005</v>
      </c>
      <c r="T57" s="127">
        <f>('Distribution Check Figures'!AF50)*100</f>
        <v>6.5528566590106365</v>
      </c>
      <c r="U57" s="181" t="s">
        <v>80</v>
      </c>
    </row>
    <row r="58" spans="1:21">
      <c r="A58" s="130" t="s">
        <v>81</v>
      </c>
      <c r="B58" s="130"/>
      <c r="C58" s="124">
        <f>+'Total State Aid'!AI52*1000</f>
        <v>2471094.6310000001</v>
      </c>
      <c r="D58" s="120">
        <f>+'Grants Need-Based'!DN52*1000</f>
        <v>1948681.5129999998</v>
      </c>
      <c r="E58" s="175">
        <f>IF(((('Grants Need-Based'!DN52-'Grants Need-Based'!DI52)/'Grants Need-Based'!DI52)*100)&gt;500,"*",(('Grants Need-Based'!DN52-'Grants Need-Based'!DI52)/'Grants Need-Based'!DI52)*100)</f>
        <v>1.9724620458108428</v>
      </c>
      <c r="F58" s="124">
        <f>+'Grants Need-Based'!AI52*1000</f>
        <v>1944474.4690000003</v>
      </c>
      <c r="G58" s="175">
        <f>IF(((('Grants Need-Based'!AI52-'Grants Need-Based'!AD52)/'Grants Need-Based'!AD52)*100)&gt;500,"*",(('Grants Need-Based'!AI52-'Grants Need-Based'!AD52)/'Grants Need-Based'!AD52)*100)</f>
        <v>1.9926445264452697</v>
      </c>
      <c r="H58" s="124">
        <f>IF('Grants Need-Based'!BQ52="—","—",'Grants Need-Based'!BQ52*1000)</f>
        <v>1702.32</v>
      </c>
      <c r="I58" s="119">
        <f>IF('Grants Need-Based'!BQ52="—","—",(('Grants Need-Based'!BQ52-'Grants Need-Based'!BL52)/'Grants Need-Based'!BL52)*100)</f>
        <v>0.25441696113073498</v>
      </c>
      <c r="J58" s="120">
        <f>IF('Grants Need-Based'!CF52="—","—",'Grants Need-Based'!CF52*1000)</f>
        <v>2504.7240000000002</v>
      </c>
      <c r="K58" s="130"/>
      <c r="L58" s="120">
        <f>IF(('Grants Non Need-Based '!DN52*1000)&gt;0,'Grants Non Need-Based '!DN52*1000,"NA")</f>
        <v>54511.929000000004</v>
      </c>
      <c r="M58" s="175">
        <f>IF('Grants Non Need-Based '!DN52&gt;0,(('Grants Non Need-Based '!DN52-'Grants Non Need-Based '!DI52)/'Grants Non Need-Based '!DI52)*100,"NA")</f>
        <v>1.1615800022269223</v>
      </c>
      <c r="N58" s="124">
        <f>IF('Grants Non Need-Based '!AI52="—","—",'Grants Non Need-Based '!AI52*1000)</f>
        <v>53908.350000000006</v>
      </c>
      <c r="O58" s="175">
        <f>IF('Grants Non Need-Based '!AI52="—","—",(('Grants Non Need-Based '!AI52-'Grants Non Need-Based '!AD52)/'Grants Non Need-Based '!AD52)*100)</f>
        <v>3.0358371559633133</v>
      </c>
      <c r="P58" s="124">
        <f>IF('Grants Non Need-Based '!BQ52="NA","NA",'Grants Non Need-Based '!BQ52*1000)</f>
        <v>548.78599999999994</v>
      </c>
      <c r="Q58" s="175">
        <f>IF('Grants Non Need-Based '!BQ52="—","—",(('Grants Non Need-Based '!BQ52-'Grants Non Need-Based '!BL52)/'Grants Non Need-Based '!BL52)*100)</f>
        <v>-64.131633986928108</v>
      </c>
      <c r="R58" s="281">
        <f>IF('Grants Non Need-Based '!CF52="NA","NA",'Grants Non Need-Based '!CF52*1000)</f>
        <v>54.792999999999999</v>
      </c>
      <c r="S58" s="124">
        <f>+Other!AI52*1000</f>
        <v>467901.18900000001</v>
      </c>
      <c r="T58" s="119">
        <f>('Distribution Check Figures'!AF51)*100</f>
        <v>18.934976553716613</v>
      </c>
      <c r="U58" s="131" t="s">
        <v>81</v>
      </c>
    </row>
    <row r="59" spans="1:21">
      <c r="A59" s="118" t="s">
        <v>35</v>
      </c>
      <c r="B59" s="118"/>
      <c r="C59" s="119">
        <f>(C58/C$10)*100</f>
        <v>19.245825503794698</v>
      </c>
      <c r="D59" s="121">
        <f>(D58/D$10)*100</f>
        <v>23.232060675115783</v>
      </c>
      <c r="E59" s="175"/>
      <c r="F59" s="119">
        <f>(F58/F$10)*100</f>
        <v>23.684030457240187</v>
      </c>
      <c r="G59" s="175"/>
      <c r="H59" s="119">
        <f>(H58/H$10)*100</f>
        <v>1.145024843780909</v>
      </c>
      <c r="I59" s="119"/>
      <c r="J59" s="121">
        <f>(J58/J$10)*100</f>
        <v>8.5892688835137658</v>
      </c>
      <c r="K59" s="118"/>
      <c r="L59" s="121">
        <f>(L58/L$10)*100</f>
        <v>2.1014911491586465</v>
      </c>
      <c r="M59" s="175"/>
      <c r="N59" s="119">
        <f>(N58/N$10)*100</f>
        <v>2.1186174284822332</v>
      </c>
      <c r="O59" s="175"/>
      <c r="P59" s="119">
        <f>(P58/P$10)*100</f>
        <v>1.2794493601867261</v>
      </c>
      <c r="Q59" s="175"/>
      <c r="R59" s="283">
        <f>(R58/R$10)*100</f>
        <v>0.83452486623050581</v>
      </c>
      <c r="S59" s="119">
        <f>(S58/S$10)*100</f>
        <v>25.186072307717527</v>
      </c>
      <c r="T59" s="119"/>
      <c r="U59" s="119" t="s">
        <v>35</v>
      </c>
    </row>
    <row r="60" spans="1:21">
      <c r="A60" s="122" t="s">
        <v>82</v>
      </c>
      <c r="B60" s="122"/>
      <c r="C60" s="181">
        <f>+'Total State Aid'!AI54*1000</f>
        <v>146052.799</v>
      </c>
      <c r="D60" s="123">
        <f>+'Grants Need-Based'!DN54*1000</f>
        <v>35499.693999999996</v>
      </c>
      <c r="E60" s="259">
        <f>IF(((('Grants Need-Based'!DN54-'Grants Need-Based'!DI54)/'Grants Need-Based'!DI54)*100)&gt;500,"*",(('Grants Need-Based'!DN54-'Grants Need-Based'!DI54)/'Grants Need-Based'!DI54)*100)</f>
        <v>-32.007251345501906</v>
      </c>
      <c r="F60" s="181">
        <f>+'Grants Need-Based'!AI54*1000</f>
        <v>35499.693999999996</v>
      </c>
      <c r="G60" s="259">
        <f>IF(((('Grants Need-Based'!AI54-'Grants Need-Based'!AD54)/'Grants Need-Based'!AD54)*100)&gt;500,"*",(('Grants Need-Based'!AI54-'Grants Need-Based'!AD54)/'Grants Need-Based'!AD54)*100)</f>
        <v>-31.42673414591744</v>
      </c>
      <c r="H60" s="181" t="str">
        <f>IF('Grants Need-Based'!BQ54="—","—",'Grants Need-Based'!BQ54*1000)</f>
        <v>—</v>
      </c>
      <c r="I60" s="165" t="str">
        <f>IF('Grants Need-Based'!BQ54="—","—",(('Grants Need-Based'!BQ54-'Grants Need-Based'!BL54)/'Grants Need-Based'!BL54)*100)</f>
        <v>—</v>
      </c>
      <c r="J60" s="123" t="str">
        <f>IF('Grants Need-Based'!CF54="—","—",'Grants Need-Based'!CF54*1000)</f>
        <v>—</v>
      </c>
      <c r="K60" s="117"/>
      <c r="L60" s="123">
        <f>IF(('Grants Non Need-Based '!DN54*1000)&gt;0,'Grants Non Need-Based '!DN54*1000,"NA")</f>
        <v>214.49099999999999</v>
      </c>
      <c r="M60" s="259">
        <f>IF('Grants Non Need-Based '!DN54&gt;0,(('Grants Non Need-Based '!DN54-'Grants Non Need-Based '!DI54)/'Grants Non Need-Based '!DI54)*100,"NA")</f>
        <v>-30.80935483870968</v>
      </c>
      <c r="N60" s="181">
        <f>IF('Grants Non Need-Based '!AI54="—","—",'Grants Non Need-Based '!AI54*1000)</f>
        <v>214.49099999999999</v>
      </c>
      <c r="O60" s="259">
        <f>IF('Grants Non Need-Based '!AI54="—","—",(('Grants Non Need-Based '!AI54-'Grants Non Need-Based '!AD54)/'Grants Non Need-Based '!AD54)*100)</f>
        <v>-30.80935483870968</v>
      </c>
      <c r="P60" s="123" t="str">
        <f>IF('Grants Non Need-Based '!BQ54="—","—",'Grants Non Need-Based '!BQ54*1000)</f>
        <v>—</v>
      </c>
      <c r="Q60" s="259" t="str">
        <f>IF('Grants Non Need-Based '!BQ54="—","—",(('Grants Non Need-Based '!BQ54-'Grants Non Need-Based '!BL54)/'Grants Non Need-Based '!BL54)*100)</f>
        <v>—</v>
      </c>
      <c r="R60" s="262" t="str">
        <f>IF('Grants Non Need-Based '!CF54="—","—",'Grants Non Need-Based '!CF54*1000)</f>
        <v>—</v>
      </c>
      <c r="S60" s="181">
        <f>+Other!AI54*1000</f>
        <v>110338.614</v>
      </c>
      <c r="T60" s="165">
        <f>('Distribution Check Figures'!AF53)*100</f>
        <v>75.54707253504948</v>
      </c>
      <c r="U60" s="181" t="s">
        <v>82</v>
      </c>
    </row>
    <row r="61" spans="1:21">
      <c r="A61" s="122" t="s">
        <v>83</v>
      </c>
      <c r="B61" s="122"/>
      <c r="C61" s="181">
        <f>+'Total State Aid'!AI55*1000</f>
        <v>20659.934000000001</v>
      </c>
      <c r="D61" s="123">
        <f>+'Grants Need-Based'!DN55*1000</f>
        <v>18537.878000000001</v>
      </c>
      <c r="E61" s="259">
        <f>IF(((('Grants Need-Based'!DN55-'Grants Need-Based'!DI55)/'Grants Need-Based'!DI55)*100)&gt;500,"*",(('Grants Need-Based'!DN55-'Grants Need-Based'!DI55)/'Grants Need-Based'!DI55)*100)</f>
        <v>20.063976683937824</v>
      </c>
      <c r="F61" s="181">
        <f>+'Grants Need-Based'!AI55*1000</f>
        <v>18537.878000000001</v>
      </c>
      <c r="G61" s="259">
        <f>IF(((('Grants Need-Based'!AI55-'Grants Need-Based'!AD55)/'Grants Need-Based'!AD55)*100)&gt;500,"*",(('Grants Need-Based'!AI55-'Grants Need-Based'!AD55)/'Grants Need-Based'!AD55)*100)</f>
        <v>20.063976683937824</v>
      </c>
      <c r="H61" s="181" t="str">
        <f>IF('Grants Need-Based'!BQ55="—","—",'Grants Need-Based'!BQ55*1000)</f>
        <v>—</v>
      </c>
      <c r="I61" s="165" t="str">
        <f>IF('Grants Need-Based'!BQ55="—","—",(('Grants Need-Based'!BQ55-'Grants Need-Based'!BL55)/'Grants Need-Based'!BL55)*100)</f>
        <v>—</v>
      </c>
      <c r="J61" s="123" t="str">
        <f>IF('Grants Need-Based'!CF55="—","—",'Grants Need-Based'!CF55*1000)</f>
        <v>—</v>
      </c>
      <c r="K61" s="117"/>
      <c r="L61" s="123" t="str">
        <f>IF(('Grants Non Need-Based '!DN55*1000)&gt;0,'Grants Non Need-Based '!DN55*1000,"—")</f>
        <v>—</v>
      </c>
      <c r="M61" s="259" t="str">
        <f>IF('Grants Non Need-Based '!DN55&gt;0,(('Grants Non Need-Based '!DN55-'Grants Non Need-Based '!DI55)/'Grants Non Need-Based '!DI55)*100,"—")</f>
        <v>—</v>
      </c>
      <c r="N61" s="181" t="str">
        <f>IF('Grants Non Need-Based '!AI55="—","—",'Grants Non Need-Based '!AI55*1000)</f>
        <v>—</v>
      </c>
      <c r="O61" s="259" t="str">
        <f>IF('Grants Non Need-Based '!AI55="—","—",(('Grants Non Need-Based '!AI55-'Grants Non Need-Based '!AD55)/'Grants Non Need-Based '!AD55)*100)</f>
        <v>—</v>
      </c>
      <c r="P61" s="123" t="str">
        <f>IF('Grants Non Need-Based '!BQ55="—","—",'Grants Non Need-Based '!BQ55*1000)</f>
        <v>—</v>
      </c>
      <c r="Q61" s="259" t="str">
        <f>IF('Grants Non Need-Based '!BQ55="—","—",(('Grants Non Need-Based '!BQ55-'Grants Non Need-Based '!BL55)/'Grants Non Need-Based '!BL55)*100)</f>
        <v>—</v>
      </c>
      <c r="R61" s="262" t="str">
        <f>IF('Grants Non Need-Based '!CF55="—","—",'Grants Non Need-Based '!CF55*1000)</f>
        <v>—</v>
      </c>
      <c r="S61" s="181">
        <f>+Other!AI55*1000</f>
        <v>2122.056</v>
      </c>
      <c r="T61" s="165">
        <f>('Distribution Check Figures'!AF54)*100</f>
        <v>10.271359046935968</v>
      </c>
      <c r="U61" s="181" t="s">
        <v>83</v>
      </c>
    </row>
    <row r="62" spans="1:21">
      <c r="A62" s="122" t="s">
        <v>84</v>
      </c>
      <c r="B62" s="122"/>
      <c r="C62" s="181">
        <f>+'Total State Aid'!AI56*1000</f>
        <v>139511.16699999999</v>
      </c>
      <c r="D62" s="123">
        <f>+'Grants Need-Based'!DN56*1000</f>
        <v>90999.956999999995</v>
      </c>
      <c r="E62" s="259">
        <f>IF(((('Grants Need-Based'!DN56-'Grants Need-Based'!DI56)/'Grants Need-Based'!DI56)*100)&gt;500,"*",(('Grants Need-Based'!DN56-'Grants Need-Based'!DI56)/'Grants Need-Based'!DI56)*100)</f>
        <v>10.184112896390555</v>
      </c>
      <c r="F62" s="181">
        <f>+'Grants Need-Based'!AI56*1000</f>
        <v>90999.956999999995</v>
      </c>
      <c r="G62" s="259">
        <f>IF(((('Grants Need-Based'!AI56-'Grants Need-Based'!AD56)/'Grants Need-Based'!AD56)*100)&gt;500,"*",(('Grants Need-Based'!AI56-'Grants Need-Based'!AD56)/'Grants Need-Based'!AD56)*100)</f>
        <v>10.184112896390555</v>
      </c>
      <c r="H62" s="181" t="str">
        <f>IF('Grants Need-Based'!BQ56="—","—",'Grants Need-Based'!BQ56*1000)</f>
        <v>—</v>
      </c>
      <c r="I62" s="165" t="str">
        <f>IF('Grants Need-Based'!BQ56="—","—",(('Grants Need-Based'!BQ56-'Grants Need-Based'!BL56)/'Grants Need-Based'!BL56)*100)</f>
        <v>—</v>
      </c>
      <c r="J62" s="123" t="str">
        <f>IF('Grants Need-Based'!CF56="—","—",'Grants Need-Based'!CF56*1000)</f>
        <v>—</v>
      </c>
      <c r="K62" s="117"/>
      <c r="L62" s="123">
        <f>IF(('Grants Non Need-Based '!DN56*1000)&gt;0,'Grants Non Need-Based '!DN56*1000,"NA")</f>
        <v>2726.779</v>
      </c>
      <c r="M62" s="259">
        <f>IF('Grants Non Need-Based '!DN56&gt;0,(('Grants Non Need-Based '!DN56-'Grants Non Need-Based '!DI56)/'Grants Non Need-Based '!DI56)*100,"NA")</f>
        <v>-61.783055360896974</v>
      </c>
      <c r="N62" s="181">
        <f>IF('Grants Non Need-Based '!AI56="—","—",'Grants Non Need-Based '!AI56*1000)</f>
        <v>2726.779</v>
      </c>
      <c r="O62" s="259">
        <f>IF('Grants Non Need-Based '!AI56="—","—",(('Grants Non Need-Based '!AI56-'Grants Non Need-Based '!AD56)/'Grants Non Need-Based '!AD56)*100)</f>
        <v>-61.783055360896974</v>
      </c>
      <c r="P62" s="123" t="str">
        <f>IF('Grants Non Need-Based '!BQ56="—","—",'Grants Non Need-Based '!BQ56*1000)</f>
        <v>—</v>
      </c>
      <c r="Q62" s="259" t="str">
        <f>IF('Grants Non Need-Based '!BQ56="—","—",(('Grants Non Need-Based '!BQ56-'Grants Non Need-Based '!BL56)/'Grants Non Need-Based '!BL56)*100)</f>
        <v>—</v>
      </c>
      <c r="R62" s="262" t="str">
        <f>IF('Grants Non Need-Based '!CF56="—","—",'Grants Non Need-Based '!CF56*1000)</f>
        <v>—</v>
      </c>
      <c r="S62" s="181">
        <f>+Other!AI56*1000</f>
        <v>45784.430999999997</v>
      </c>
      <c r="T62" s="165">
        <f>('Distribution Check Figures'!AF55)*100</f>
        <v>32.817753578106043</v>
      </c>
      <c r="U62" s="181" t="s">
        <v>84</v>
      </c>
    </row>
    <row r="63" spans="1:21">
      <c r="A63" s="122" t="s">
        <v>85</v>
      </c>
      <c r="B63" s="122"/>
      <c r="C63" s="176">
        <f>+'Total State Aid'!AI57*1000</f>
        <v>10</v>
      </c>
      <c r="D63" s="181" t="str">
        <f>IF('Grants Need-Based'!DN57&gt;0,'Grants Need-Based'!DN57,"—")</f>
        <v>—</v>
      </c>
      <c r="E63" s="176" t="str">
        <f>IF('Grants Need-Based'!DN57&gt;0,'Grants Need-Based'!DN57,"—")</f>
        <v>—</v>
      </c>
      <c r="F63" s="181" t="str">
        <f>IF('Grants Need-Based'!AI57&gt;0,'Grants Need-Based'!AI57,"—")</f>
        <v>—</v>
      </c>
      <c r="G63" s="259" t="str">
        <f>IF('Grants Need-Based'!AD57="—","—",(('Grants Need-Based'!AI57-'Grants Need-Based'!AD57)/'Grants Need-Based'!AD57)*100)</f>
        <v>—</v>
      </c>
      <c r="H63" s="181" t="str">
        <f>IF('Grants Need-Based'!BQ57="—","—",'Grants Need-Based'!BQ57*1000)</f>
        <v>—</v>
      </c>
      <c r="I63" s="165" t="str">
        <f>IF('Grants Need-Based'!BQ57="—","—",(('Grants Need-Based'!BQ57-'Grants Need-Based'!BL57)/'Grants Need-Based'!BL57)*100)</f>
        <v>—</v>
      </c>
      <c r="J63" s="123" t="str">
        <f>IF('Grants Need-Based'!CF57="—","—",'Grants Need-Based'!CF57*1000)</f>
        <v>—</v>
      </c>
      <c r="K63" s="117"/>
      <c r="L63" s="123">
        <f>IF(('Grants Non Need-Based '!DN57*1000)&gt;0,'Grants Non Need-Based '!DN57*1000,"NA")</f>
        <v>10</v>
      </c>
      <c r="M63" s="259" t="str">
        <f>IF('Grants Non Need-Based '!DI57&gt;0,(('Grants Non Need-Based '!DN57-'Grants Non Need-Based '!DI57)/'Grants Non Need-Based '!DI57)*100,"—")</f>
        <v>—</v>
      </c>
      <c r="N63" s="181" t="str">
        <f>IF('Grants Non Need-Based '!AI57="—","—",'Grants Non Need-Based '!AI57*1000)</f>
        <v>—</v>
      </c>
      <c r="O63" s="259" t="str">
        <f>IF('Grants Non Need-Based '!AI57="—","—",(('Grants Non Need-Based '!AI57-'Grants Non Need-Based '!AD57)/'Grants Non Need-Based '!AD57)*100)</f>
        <v>—</v>
      </c>
      <c r="P63" s="123" t="str">
        <f>IF('Grants Non Need-Based '!BQ57="—","—",'Grants Non Need-Based '!BQ57*1000)</f>
        <v>—</v>
      </c>
      <c r="Q63" s="259" t="str">
        <f>IF('Grants Non Need-Based '!BQ57="—","—",(('Grants Non Need-Based '!BQ57-'Grants Non Need-Based '!BL57)/'Grants Non Need-Based '!BL57)*100)</f>
        <v>—</v>
      </c>
      <c r="R63" s="262">
        <f>IF('Grants Non Need-Based '!CF57="NA","NA",'Grants Non Need-Based '!CF57*1000)</f>
        <v>10</v>
      </c>
      <c r="S63" s="181" t="str">
        <f>IF(Other!AI57="—","—",Other!AI57*1000)</f>
        <v>—</v>
      </c>
      <c r="T63" s="181" t="str">
        <f>IF('Distribution Check Figures'!AF56="—","—",'Distribution Check Figures'!AF56*100)</f>
        <v>—</v>
      </c>
      <c r="U63" s="181" t="s">
        <v>85</v>
      </c>
    </row>
    <row r="64" spans="1:21">
      <c r="A64" s="117" t="s">
        <v>86</v>
      </c>
      <c r="B64" s="117"/>
      <c r="C64" s="124">
        <f>+'Total State Aid'!AI58*1000</f>
        <v>588048.91100000008</v>
      </c>
      <c r="D64" s="120">
        <f>+'Grants Need-Based'!DN58*1000</f>
        <v>411063.79300000001</v>
      </c>
      <c r="E64" s="175">
        <f>IF(((('Grants Need-Based'!DN58-'Grants Need-Based'!DI58)/'Grants Need-Based'!DI58)*100)&gt;500,"*",(('Grants Need-Based'!DN58-'Grants Need-Based'!DI58)/'Grants Need-Based'!DI58)*100)</f>
        <v>21.757716937987258</v>
      </c>
      <c r="F64" s="124">
        <f>+'Grants Need-Based'!AI58*1000</f>
        <v>410195.45800000004</v>
      </c>
      <c r="G64" s="175">
        <f>IF(((('Grants Need-Based'!AI58-'Grants Need-Based'!AD58)/'Grants Need-Based'!AD58)*100)&gt;500,"*",(('Grants Need-Based'!AI58-'Grants Need-Based'!AD58)/'Grants Need-Based'!AD58)*100)</f>
        <v>21.847714810216075</v>
      </c>
      <c r="H64" s="124">
        <f>IF('Grants Need-Based'!BQ58="—","—",'Grants Need-Based'!BQ58*1000)</f>
        <v>868.33499999999992</v>
      </c>
      <c r="I64" s="119">
        <f>IF('Grants Need-Based'!BQ58="—","—",(('Grants Need-Based'!BQ58-'Grants Need-Based'!BL58)/'Grants Need-Based'!BL58)*100)</f>
        <v>-9.7364864864864877</v>
      </c>
      <c r="J64" s="120" t="str">
        <f>IF('Grants Need-Based'!CF58="—","—",'Grants Need-Based'!CF58*1000)</f>
        <v>—</v>
      </c>
      <c r="K64" s="117"/>
      <c r="L64" s="120">
        <f>IF(('Grants Non Need-Based '!DN58*1000)&gt;0,'Grants Non Need-Based '!DN58*1000,"NA")</f>
        <v>7429.2800000000007</v>
      </c>
      <c r="M64" s="175">
        <f>IF('Grants Non Need-Based '!DN58&gt;0,(('Grants Non Need-Based '!DN58-'Grants Non Need-Based '!DI58)/'Grants Non Need-Based '!DI58)*100,"NA")</f>
        <v>-46.152931796767419</v>
      </c>
      <c r="N64" s="124">
        <f>IF('Grants Non Need-Based '!AI58="—","—",'Grants Non Need-Based '!AI58*1000)</f>
        <v>7429.2800000000007</v>
      </c>
      <c r="O64" s="175">
        <f>IF('Grants Non Need-Based '!AI58="—","—",(('Grants Non Need-Based '!AI58-'Grants Non Need-Based '!AD58)/'Grants Non Need-Based '!AD58)*100)</f>
        <v>-46.152931796767419</v>
      </c>
      <c r="P64" s="120" t="str">
        <f>IF('Grants Non Need-Based '!BQ58="—","—",'Grants Non Need-Based '!BQ58*1000)</f>
        <v>—</v>
      </c>
      <c r="Q64" s="175" t="str">
        <f>IF('Grants Non Need-Based '!BQ58="—","—",(('Grants Non Need-Based '!BQ58-'Grants Non Need-Based '!BL58)/'Grants Non Need-Based '!BL58)*100)</f>
        <v>—</v>
      </c>
      <c r="R64" s="281" t="str">
        <f>IF('Grants Non Need-Based '!CF58="—","—",'Grants Non Need-Based '!CF58*1000)</f>
        <v>—</v>
      </c>
      <c r="S64" s="124">
        <f>+Other!AI58*1000</f>
        <v>169555.83799999999</v>
      </c>
      <c r="T64" s="119">
        <f>('Distribution Check Figures'!AF57)*100</f>
        <v>28.833628432652596</v>
      </c>
      <c r="U64" s="124" t="s">
        <v>86</v>
      </c>
    </row>
    <row r="65" spans="1:21">
      <c r="A65" s="117" t="s">
        <v>87</v>
      </c>
      <c r="B65" s="117"/>
      <c r="C65" s="124">
        <f>+'Total State Aid'!AI59*1000</f>
        <v>1084112.9999999998</v>
      </c>
      <c r="D65" s="120">
        <f>+'Grants Need-Based'!DN59*1000</f>
        <v>928431.99999999988</v>
      </c>
      <c r="E65" s="175">
        <f>IF(((('Grants Need-Based'!DN59-'Grants Need-Based'!DI59)/'Grants Need-Based'!DI59)*100)&gt;500,"*",(('Grants Need-Based'!DN59-'Grants Need-Based'!DI59)/'Grants Need-Based'!DI59)*100)</f>
        <v>-0.42546163176924234</v>
      </c>
      <c r="F65" s="124">
        <f>+'Grants Need-Based'!AI59*1000</f>
        <v>928431.99999999988</v>
      </c>
      <c r="G65" s="175">
        <f>IF(((('Grants Need-Based'!AI59-'Grants Need-Based'!AD59)/'Grants Need-Based'!AD59)*100)&gt;500,"*",(('Grants Need-Based'!AI59-'Grants Need-Based'!AD59)/'Grants Need-Based'!AD59)*100)</f>
        <v>-0.42546163176924234</v>
      </c>
      <c r="H65" s="124" t="str">
        <f>IF('Grants Need-Based'!BQ59="—","—",'Grants Need-Based'!BQ59*1000)</f>
        <v>—</v>
      </c>
      <c r="I65" s="119" t="str">
        <f>IF('Grants Need-Based'!BQ59="—","—",(('Grants Need-Based'!BQ59-'Grants Need-Based'!BL59)/'Grants Need-Based'!BL59)*100)</f>
        <v>—</v>
      </c>
      <c r="J65" s="120" t="str">
        <f>IF('Grants Need-Based'!CF59="—","—",'Grants Need-Based'!CF59*1000)</f>
        <v>—</v>
      </c>
      <c r="K65" s="117"/>
      <c r="L65" s="120">
        <f>IF(('Grants Non Need-Based '!DN59*1000)&gt;0,'Grants Non Need-Based '!DN59*1000,"NA")</f>
        <v>41655</v>
      </c>
      <c r="M65" s="175">
        <f>IF('Grants Non Need-Based '!DN59&gt;0,(('Grants Non Need-Based '!DN59-'Grants Non Need-Based '!DI59)/'Grants Non Need-Based '!DI59)*100,"NA")</f>
        <v>29.556481711868621</v>
      </c>
      <c r="N65" s="124">
        <f>IF('Grants Non Need-Based '!AI59="—","—",'Grants Non Need-Based '!AI59*1000)</f>
        <v>41655</v>
      </c>
      <c r="O65" s="175">
        <f>IF('Grants Non Need-Based '!AI59="—","—",(('Grants Non Need-Based '!AI59-'Grants Non Need-Based '!AD59)/'Grants Non Need-Based '!AD59)*100)</f>
        <v>34.418664687469743</v>
      </c>
      <c r="P65" s="120" t="str">
        <f>IF('Grants Non Need-Based '!BQ59="—","—",'Grants Non Need-Based '!BQ59*1000)</f>
        <v>—</v>
      </c>
      <c r="Q65" s="175" t="str">
        <f>IF('Grants Non Need-Based '!BQ59="—","—",(('Grants Non Need-Based '!BQ59-'Grants Non Need-Based '!BL59)/'Grants Non Need-Based '!BL59)*100)</f>
        <v>—</v>
      </c>
      <c r="R65" s="281" t="str">
        <f>IF('Grants Non Need-Based '!CF59="—","—",'Grants Non Need-Based '!CF59*1000)</f>
        <v>—</v>
      </c>
      <c r="S65" s="124">
        <f>+Other!AI59*1000</f>
        <v>114026</v>
      </c>
      <c r="T65" s="119">
        <f>('Distribution Check Figures'!AF58)*100</f>
        <v>10.517907266124475</v>
      </c>
      <c r="U65" s="124" t="s">
        <v>87</v>
      </c>
    </row>
    <row r="66" spans="1:21">
      <c r="A66" s="117" t="s">
        <v>88</v>
      </c>
      <c r="B66" s="117"/>
      <c r="C66" s="124">
        <f>+'Total State Aid'!AI60*1000</f>
        <v>461507.43099999998</v>
      </c>
      <c r="D66" s="120">
        <f>+'Grants Need-Based'!DN60*1000</f>
        <v>433408.01899999997</v>
      </c>
      <c r="E66" s="175">
        <f>IF(((('Grants Need-Based'!DN60-'Grants Need-Based'!DI60)/'Grants Need-Based'!DI60)*100)&gt;500,"*",(('Grants Need-Based'!DN60-'Grants Need-Based'!DI60)/'Grants Need-Based'!DI60)*100)</f>
        <v>-5.1195902310450698</v>
      </c>
      <c r="F66" s="124">
        <f>+'Grants Need-Based'!AI60*1000</f>
        <v>433408.01899999997</v>
      </c>
      <c r="G66" s="175">
        <f>IF(((('Grants Need-Based'!AI60-'Grants Need-Based'!AD60)/'Grants Need-Based'!AD60)*100)&gt;500,"*",(('Grants Need-Based'!AI60-'Grants Need-Based'!AD60)/'Grants Need-Based'!AD60)*100)</f>
        <v>-5.1195902310450698</v>
      </c>
      <c r="H66" s="124" t="str">
        <f>IF('Grants Need-Based'!BQ60="—","—",'Grants Need-Based'!BQ60*1000)</f>
        <v>—</v>
      </c>
      <c r="I66" s="119" t="str">
        <f>IF('Grants Need-Based'!BQ60="—","—",(('Grants Need-Based'!BQ60-'Grants Need-Based'!BL60)/'Grants Need-Based'!BL60)*100)</f>
        <v>—</v>
      </c>
      <c r="J66" s="120" t="str">
        <f>IF('Grants Need-Based'!CF60="—","—",'Grants Need-Based'!CF60*1000)</f>
        <v>—</v>
      </c>
      <c r="K66" s="117"/>
      <c r="L66" s="120">
        <f>IF(('Grants Non Need-Based '!DN60*1000)&gt;0,'Grants Non Need-Based '!DN60*1000,"NA")</f>
        <v>2406.5789999999997</v>
      </c>
      <c r="M66" s="175">
        <f>IF('Grants Non Need-Based '!DN60&gt;0,(('Grants Non Need-Based '!DN60-'Grants Non Need-Based '!DI60)/'Grants Non Need-Based '!DI60)*100,"NA")</f>
        <v>497.16600496277914</v>
      </c>
      <c r="N66" s="124">
        <f>IF('Grants Non Need-Based '!AI60="—","—",'Grants Non Need-Based '!AI60*1000)</f>
        <v>1813</v>
      </c>
      <c r="O66" s="175" t="str">
        <f>IF('Grants Non Need-Based '!AD60="—","—",(('Grants Non Need-Based '!AI60-'Grants Non Need-Based '!AD60)/'Grants Non Need-Based '!AD60)*100)</f>
        <v>—</v>
      </c>
      <c r="P66" s="124">
        <f>IF('Grants Non Need-Based '!BQ60="NA","NA",'Grants Non Need-Based '!BQ60*1000)</f>
        <v>548.78599999999994</v>
      </c>
      <c r="Q66" s="175">
        <f>IF('Grants Non Need-Based '!BQ60="—","—",(('Grants Non Need-Based '!BQ60-'Grants Non Need-Based '!BL60)/'Grants Non Need-Based '!BL60)*100)</f>
        <v>49.532970027247956</v>
      </c>
      <c r="R66" s="281">
        <f>IF('Grants Non Need-Based '!CF60="NA","NA",'Grants Non Need-Based '!CF60*1000)</f>
        <v>44.792999999999999</v>
      </c>
      <c r="S66" s="124">
        <f>+Other!AI60*1000</f>
        <v>25692.832999999999</v>
      </c>
      <c r="T66" s="119">
        <f>('Distribution Check Figures'!AF59)*100</f>
        <v>5.5671547789227258</v>
      </c>
      <c r="U66" s="124" t="s">
        <v>88</v>
      </c>
    </row>
    <row r="67" spans="1:21">
      <c r="A67" s="117" t="s">
        <v>89</v>
      </c>
      <c r="B67" s="117"/>
      <c r="C67" s="124">
        <f>+'Total State Aid'!AI61*1000</f>
        <v>9418.9039999999986</v>
      </c>
      <c r="D67" s="120">
        <f>+'Grants Need-Based'!DN61*1000</f>
        <v>9418.9039999999986</v>
      </c>
      <c r="E67" s="175">
        <f>IF(((('Grants Need-Based'!DN61-'Grants Need-Based'!DI61)/'Grants Need-Based'!DI61)*100)&gt;500,"*",(('Grants Need-Based'!DN61-'Grants Need-Based'!DI61)/'Grants Need-Based'!DI61)*100)</f>
        <v>-25.300150686017925</v>
      </c>
      <c r="F67" s="124">
        <f>+'Grants Need-Based'!AI61*1000</f>
        <v>9418.9039999999986</v>
      </c>
      <c r="G67" s="175">
        <f>IF(((('Grants Need-Based'!AI61-'Grants Need-Based'!AD61)/'Grants Need-Based'!AD61)*100)&gt;500,"*",(('Grants Need-Based'!AI61-'Grants Need-Based'!AD61)/'Grants Need-Based'!AD61)*100)</f>
        <v>-25.300150686017925</v>
      </c>
      <c r="H67" s="124" t="str">
        <f>IF('Grants Need-Based'!BQ61="—","—",'Grants Need-Based'!BQ61*1000)</f>
        <v>—</v>
      </c>
      <c r="I67" s="119" t="str">
        <f>IF('Grants Need-Based'!BQ61="—","—",(('Grants Need-Based'!BQ61-'Grants Need-Based'!BL61)/'Grants Need-Based'!BL61)*100)</f>
        <v>—</v>
      </c>
      <c r="J67" s="120" t="str">
        <f>IF('Grants Need-Based'!CF61="—","—",'Grants Need-Based'!CF61*1000)</f>
        <v>—</v>
      </c>
      <c r="K67" s="117"/>
      <c r="L67" s="120" t="str">
        <f>IF(('Grants Non Need-Based '!DN61*1000)&gt;0,'Grants Non Need-Based '!DN61*1000,"—")</f>
        <v>—</v>
      </c>
      <c r="M67" s="175" t="str">
        <f>IF('Grants Non Need-Based '!DN61&gt;0,(('Grants Non Need-Based '!DN61-'Grants Non Need-Based '!DI61)/'Grants Non Need-Based '!DI61)*100,"—")</f>
        <v>—</v>
      </c>
      <c r="N67" s="124" t="str">
        <f>IF('Grants Non Need-Based '!AI61="—","—",'Grants Non Need-Based '!AI61*1000)</f>
        <v>—</v>
      </c>
      <c r="O67" s="175" t="str">
        <f>IF('Grants Non Need-Based '!AI61="—","—",(('Grants Non Need-Based '!AI61-'Grants Non Need-Based '!AD61)/'Grants Non Need-Based '!AD61)*100)</f>
        <v>—</v>
      </c>
      <c r="P67" s="120" t="str">
        <f>IF('Grants Non Need-Based '!BQ61="—","—",'Grants Non Need-Based '!BQ61*1000)</f>
        <v>—</v>
      </c>
      <c r="Q67" s="175" t="str">
        <f>IF('Grants Non Need-Based '!BQ61="—","—",(('Grants Non Need-Based '!BQ61-'Grants Non Need-Based '!BL61)/'Grants Non Need-Based '!BL61)*100)</f>
        <v>—</v>
      </c>
      <c r="R67" s="281" t="str">
        <f>IF('Grants Non Need-Based '!CF61="—","—",'Grants Non Need-Based '!CF61*1000)</f>
        <v>—</v>
      </c>
      <c r="S67" s="124" t="str">
        <f>IF(Other!AI61="—","—",Other!AI61*1000)</f>
        <v>—</v>
      </c>
      <c r="T67" s="124" t="str">
        <f>IF('Distribution Check Figures'!AF60="—","—",'Distribution Check Figures'!AF60*100)</f>
        <v>—</v>
      </c>
      <c r="U67" s="124" t="s">
        <v>89</v>
      </c>
    </row>
    <row r="68" spans="1:21">
      <c r="A68" s="114" t="s">
        <v>90</v>
      </c>
      <c r="B68" s="114"/>
      <c r="C68" s="124">
        <f>+'Total State Aid'!AI62*1000</f>
        <v>21772.484999999997</v>
      </c>
      <c r="D68" s="120">
        <f>+'Grants Need-Based'!DN62*1000</f>
        <v>21321.267999999996</v>
      </c>
      <c r="E68" s="175">
        <f>IF(((('Grants Need-Based'!DN62-'Grants Need-Based'!DI62)/'Grants Need-Based'!DI62)*100)&gt;500,"*",(('Grants Need-Based'!DN62-'Grants Need-Based'!DI62)/'Grants Need-Based'!DI62)*100)</f>
        <v>-7.8414096916321271E-2</v>
      </c>
      <c r="F68" s="124">
        <f>+'Grants Need-Based'!AI62*1000</f>
        <v>17982.558999999997</v>
      </c>
      <c r="G68" s="175">
        <f>IF(((('Grants Need-Based'!AI62-'Grants Need-Based'!AD62)/'Grants Need-Based'!AD62)*100)&gt;500,"*",(('Grants Need-Based'!AI62-'Grants Need-Based'!AD62)/'Grants Need-Based'!AD62)*100)</f>
        <v>-1.4060036186194547</v>
      </c>
      <c r="H68" s="132">
        <f>IF('Grants Need-Based'!BQ62="—","—",'Grants Need-Based'!BQ62*1000)</f>
        <v>833.98500000000001</v>
      </c>
      <c r="I68" s="256">
        <f>IF('Grants Need-Based'!BQ62="—","—",(('Grants Need-Based'!BQ62-'Grants Need-Based'!BL62)/'Grants Need-Based'!BL62)*100)</f>
        <v>183.66836734693877</v>
      </c>
      <c r="J68" s="132">
        <f>IF('Grants Need-Based'!CF62="—","—",'Grants Need-Based'!CF62*1000)</f>
        <v>2504.7240000000002</v>
      </c>
      <c r="K68" s="114"/>
      <c r="L68" s="132">
        <f>IF(('Grants Non Need-Based '!DN62*1000)&gt;0,'Grants Non Need-Based '!DN62*1000,"NA")</f>
        <v>69.8</v>
      </c>
      <c r="M68" s="256">
        <f>IF('Grants Non Need-Based '!DN62&gt;0,(('Grants Non Need-Based '!DN62-'Grants Non Need-Based '!DI62)/'Grants Non Need-Based '!DI62)*100,"NA")</f>
        <v>-21.573033707865164</v>
      </c>
      <c r="N68" s="132">
        <f>IF('Grants Non Need-Based '!AI62="—","—",'Grants Non Need-Based '!AI62*1000)</f>
        <v>69.8</v>
      </c>
      <c r="O68" s="256">
        <f>IF('Grants Non Need-Based '!AI62="—","—",(('Grants Non Need-Based '!AI62-'Grants Non Need-Based '!AD62)/'Grants Non Need-Based '!AD62)*100)</f>
        <v>-21.573033707865164</v>
      </c>
      <c r="P68" s="132" t="str">
        <f>IF('Grants Non Need-Based '!BQ62="—","—",'Grants Non Need-Based '!BQ62*1000)</f>
        <v>—</v>
      </c>
      <c r="Q68" s="256" t="str">
        <f>IF('Grants Non Need-Based '!BQ62="—","—",(('Grants Non Need-Based '!BQ62-'Grants Non Need-Based '!BL62)/'Grants Non Need-Based '!BL62)*100)</f>
        <v>—</v>
      </c>
      <c r="R68" s="258" t="str">
        <f>IF('Grants Non Need-Based '!CF62="—","—",'Grants Non Need-Based '!CF62*1000)</f>
        <v>—</v>
      </c>
      <c r="S68" s="132">
        <f>+Other!AI62*1000</f>
        <v>381.41700000000003</v>
      </c>
      <c r="T68" s="116">
        <f>('Distribution Check Figures'!AF61)*100</f>
        <v>1.7518303491769547</v>
      </c>
      <c r="U68" s="125" t="s">
        <v>90</v>
      </c>
    </row>
    <row r="69" spans="1:21">
      <c r="A69" s="133" t="s">
        <v>91</v>
      </c>
      <c r="B69" s="133"/>
      <c r="C69" s="270">
        <f>+'Total State Aid'!AI63*1000</f>
        <v>31013.749</v>
      </c>
      <c r="D69" s="270">
        <f>+'Grants Need-Based'!DN63*1000</f>
        <v>1070.0170000000001</v>
      </c>
      <c r="E69" s="272">
        <f>IF(((('Grants Need-Based'!DN63-'Grants Need-Based'!DI63)/'Grants Need-Based'!DI63)*100)&gt;500,"*",(('Grants Need-Based'!DN63-'Grants Need-Based'!DI63)/'Grants Need-Based'!DI63)*100)</f>
        <v>-29.231679894179898</v>
      </c>
      <c r="F69" s="135">
        <f>+'Grants Need-Based'!AI63*1000</f>
        <v>1070.0170000000001</v>
      </c>
      <c r="G69" s="272">
        <f>IF(((('Grants Need-Based'!AI63-'Grants Need-Based'!AD63)/'Grants Need-Based'!AD63)*100)&gt;500,"*",(('Grants Need-Based'!AI63-'Grants Need-Based'!AD63)/'Grants Need-Based'!AD63)*100)</f>
        <v>-29.231679894179898</v>
      </c>
      <c r="H69" s="128" t="str">
        <f>IF('Grants Need-Based'!BQ63="—","—",'Grants Need-Based'!BQ63*1000)</f>
        <v>—</v>
      </c>
      <c r="I69" s="165" t="str">
        <f>IF('Grants Need-Based'!BQ63="—","—",(('Grants Need-Based'!BQ63-'Grants Need-Based'!BL63)/'Grants Need-Based'!BL63)*100)</f>
        <v>—</v>
      </c>
      <c r="J69" s="128" t="str">
        <f>IF('Grants Need-Based'!CF63="—","—",'Grants Need-Based'!CF63*1000)</f>
        <v>—</v>
      </c>
      <c r="K69" s="134"/>
      <c r="L69" s="128">
        <f>IF(('Grants Non Need-Based '!DN63*1000)&gt;0,'Grants Non Need-Based '!DN63*1000,"NA")</f>
        <v>29943.732</v>
      </c>
      <c r="M69" s="255">
        <f>IF('Grants Non Need-Based '!DN63&gt;0,(('Grants Non Need-Based '!DN63-'Grants Non Need-Based '!DI63)/'Grants Non Need-Based '!DI63)*100,"NA")</f>
        <v>-11.077591019777868</v>
      </c>
      <c r="N69" s="128">
        <f>IF('Grants Non Need-Based '!AI63="—","—",'Grants Non Need-Based '!AI63*1000)</f>
        <v>29943.732</v>
      </c>
      <c r="O69" s="255">
        <f>IF('Grants Non Need-Based '!AI63="—","—",(('Grants Non Need-Based '!AI63-'Grants Non Need-Based '!AD63)/'Grants Non Need-Based '!AD63)*100)</f>
        <v>-11.077591019777868</v>
      </c>
      <c r="P69" s="270" t="str">
        <f>IF('Grants Non Need-Based '!BQ63="—","—",'Grants Non Need-Based '!BQ63*1000)</f>
        <v>—</v>
      </c>
      <c r="Q69" s="255" t="str">
        <f>IF('Grants Non Need-Based '!BQ63="—","—",(('Grants Non Need-Based '!BQ63-'Grants Non Need-Based '!BL63)/'Grants Non Need-Based '!BL63)*100)</f>
        <v>—</v>
      </c>
      <c r="R69" s="257" t="str">
        <f>IF('Grants Non Need-Based '!CF63="—","—",'Grants Non Need-Based '!CF63*1000)</f>
        <v>—</v>
      </c>
      <c r="S69" s="270" t="str">
        <f>IF(Other!AI63="—","—",Other!AI63*1000)</f>
        <v>—</v>
      </c>
      <c r="T69" s="135" t="str">
        <f>IF('Distribution Check Figures'!AF62="—","—",'Distribution Check Figures'!AF62*100)</f>
        <v>—</v>
      </c>
      <c r="U69" s="135" t="s">
        <v>91</v>
      </c>
    </row>
    <row r="70" spans="1:21" ht="10.9" customHeight="1">
      <c r="A70" s="160"/>
      <c r="B70" s="160"/>
      <c r="C70" s="160"/>
      <c r="D70" s="160"/>
      <c r="E70" s="160"/>
      <c r="F70" s="136"/>
      <c r="G70" s="137"/>
      <c r="H70" s="138"/>
      <c r="I70" s="274"/>
      <c r="J70" s="137"/>
      <c r="K70" s="137"/>
      <c r="L70" s="177"/>
      <c r="M70" s="160"/>
      <c r="N70" s="139"/>
      <c r="O70" s="137"/>
      <c r="P70" s="136"/>
      <c r="Q70" s="137"/>
      <c r="R70" s="136"/>
      <c r="S70" s="136"/>
      <c r="T70" s="137"/>
      <c r="U70" s="177"/>
    </row>
    <row r="71" spans="1:21" ht="18.75" customHeight="1">
      <c r="A71" s="300" t="s">
        <v>227</v>
      </c>
      <c r="B71" s="301"/>
      <c r="C71" s="301"/>
      <c r="D71" s="301"/>
      <c r="E71" s="301"/>
      <c r="F71" s="301"/>
      <c r="G71" s="301"/>
      <c r="H71" s="301"/>
      <c r="I71" s="301"/>
      <c r="J71" s="173"/>
      <c r="K71" s="137"/>
      <c r="N71" s="23"/>
      <c r="O71" s="23"/>
      <c r="P71" s="23"/>
      <c r="Q71" s="23"/>
      <c r="R71" s="23"/>
      <c r="S71" s="23"/>
      <c r="T71" s="23"/>
      <c r="U71" s="177"/>
    </row>
    <row r="72" spans="1:21" ht="17.25" customHeight="1">
      <c r="A72" s="178" t="s">
        <v>215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105"/>
      <c r="M72" s="291"/>
      <c r="N72" s="23"/>
      <c r="O72" s="23"/>
      <c r="P72" s="23"/>
      <c r="Q72" s="23"/>
      <c r="R72" s="23"/>
      <c r="S72" s="23"/>
      <c r="T72" s="23"/>
      <c r="U72" s="177"/>
    </row>
    <row r="73" spans="1:21" ht="31.5" customHeight="1">
      <c r="A73" s="302" t="s">
        <v>206</v>
      </c>
      <c r="B73" s="301"/>
      <c r="C73" s="301"/>
      <c r="D73" s="301"/>
      <c r="E73" s="301"/>
      <c r="F73" s="301"/>
      <c r="G73" s="301"/>
      <c r="H73" s="301"/>
      <c r="I73" s="301"/>
      <c r="J73" s="301"/>
      <c r="K73" s="7"/>
      <c r="L73" s="105"/>
      <c r="U73" s="182"/>
    </row>
    <row r="74" spans="1:21" ht="46.5" customHeight="1">
      <c r="A74" s="178" t="s">
        <v>184</v>
      </c>
      <c r="B74" s="300" t="s">
        <v>226</v>
      </c>
      <c r="C74" s="300"/>
      <c r="D74" s="300"/>
      <c r="E74" s="300"/>
      <c r="F74" s="300"/>
      <c r="G74" s="300"/>
      <c r="H74" s="300"/>
      <c r="I74" s="300"/>
      <c r="J74" s="300"/>
      <c r="K74" s="161"/>
      <c r="L74" s="105"/>
      <c r="U74" s="177"/>
    </row>
    <row r="75" spans="1:21">
      <c r="A75" s="16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05"/>
      <c r="M75" s="140"/>
      <c r="N75" s="140"/>
      <c r="O75" s="140"/>
      <c r="P75" s="140"/>
      <c r="Q75" s="140"/>
      <c r="R75" s="140"/>
      <c r="S75" s="140"/>
      <c r="T75" s="140"/>
      <c r="U75" s="105" t="s">
        <v>230</v>
      </c>
    </row>
    <row r="76" spans="1:21">
      <c r="A76" s="179"/>
      <c r="J76" s="8"/>
      <c r="K76" s="7"/>
    </row>
  </sheetData>
  <mergeCells count="4">
    <mergeCell ref="H5:I5"/>
    <mergeCell ref="A71:I71"/>
    <mergeCell ref="A73:J73"/>
    <mergeCell ref="B74:J74"/>
  </mergeCells>
  <pageMargins left="0.7" right="0.7" top="0.75" bottom="0.75" header="0.3" footer="0.3"/>
  <pageSetup scale="68" orientation="portrait" r:id="rId1"/>
  <colBreaks count="1" manualBreakCount="1">
    <brk id="1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9933"/>
  </sheetPr>
  <dimension ref="A1:AE67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7109375" defaultRowHeight="12.75"/>
  <cols>
    <col min="1" max="1" width="15.28515625" style="23" customWidth="1"/>
    <col min="2" max="2" width="8.85546875" style="202" customWidth="1"/>
    <col min="3" max="3" width="6.5703125" style="202" customWidth="1"/>
    <col min="4" max="4" width="9.85546875" style="213" customWidth="1"/>
    <col min="5" max="5" width="7.85546875" style="203" customWidth="1"/>
    <col min="6" max="6" width="9.85546875" style="213" customWidth="1"/>
    <col min="7" max="7" width="8" style="203" customWidth="1"/>
    <col min="8" max="8" width="15.140625" style="23" bestFit="1" customWidth="1"/>
    <col min="9" max="9" width="16.7109375" style="23" customWidth="1"/>
    <col min="10" max="10" width="14.5703125" style="23" customWidth="1"/>
    <col min="11" max="11" width="10.85546875" style="23" customWidth="1"/>
    <col min="12" max="13" width="15.5703125" style="23" customWidth="1"/>
    <col min="14" max="14" width="15.7109375" style="23" customWidth="1"/>
    <col min="15" max="15" width="7.5703125" style="23" customWidth="1"/>
    <col min="16" max="21" width="9.7109375" style="23"/>
    <col min="22" max="23" width="14.5703125" style="23" bestFit="1" customWidth="1"/>
    <col min="24" max="24" width="14.140625" style="23" customWidth="1"/>
    <col min="25" max="25" width="9.7109375" style="23"/>
    <col min="26" max="26" width="13.5703125" style="23" bestFit="1" customWidth="1"/>
    <col min="27" max="27" width="13.85546875" style="23" customWidth="1"/>
    <col min="28" max="28" width="13.5703125" style="23" customWidth="1"/>
    <col min="29" max="16384" width="9.7109375" style="23"/>
  </cols>
  <sheetData>
    <row r="1" spans="1:29" s="72" customFormat="1" ht="14.25" customHeight="1">
      <c r="A1" s="84" t="s">
        <v>185</v>
      </c>
      <c r="B1" s="191"/>
      <c r="C1" s="191"/>
      <c r="D1" s="210"/>
      <c r="E1" s="191"/>
      <c r="F1" s="210"/>
      <c r="G1" s="191"/>
      <c r="H1" s="104"/>
      <c r="I1" s="104"/>
      <c r="J1" s="104"/>
      <c r="K1" s="104"/>
      <c r="L1" s="104"/>
      <c r="M1" s="104"/>
    </row>
    <row r="2" spans="1:29" s="72" customFormat="1">
      <c r="A2" s="142"/>
      <c r="B2" s="192"/>
      <c r="C2" s="192"/>
      <c r="D2" s="211"/>
      <c r="E2" s="192"/>
      <c r="F2" s="211"/>
      <c r="G2" s="192"/>
      <c r="M2" s="143"/>
      <c r="P2" s="241" t="s">
        <v>205</v>
      </c>
    </row>
    <row r="3" spans="1:29" s="72" customFormat="1" ht="25.5" customHeight="1">
      <c r="A3" s="144"/>
      <c r="B3" s="227" t="s">
        <v>186</v>
      </c>
      <c r="C3" s="221"/>
      <c r="D3" s="221"/>
      <c r="E3" s="221"/>
      <c r="F3" s="221"/>
      <c r="G3" s="222"/>
      <c r="H3" s="146" t="s">
        <v>187</v>
      </c>
      <c r="I3" s="145"/>
      <c r="J3" s="144"/>
      <c r="K3" s="144"/>
      <c r="L3" s="228" t="s">
        <v>188</v>
      </c>
      <c r="M3" s="147"/>
      <c r="N3" s="144"/>
      <c r="O3" s="144"/>
      <c r="P3" s="227" t="s">
        <v>186</v>
      </c>
      <c r="Q3" s="221"/>
      <c r="R3" s="221"/>
      <c r="S3" s="221"/>
      <c r="T3" s="221"/>
      <c r="U3" s="222"/>
      <c r="V3" s="146" t="s">
        <v>187</v>
      </c>
      <c r="W3" s="145"/>
      <c r="X3" s="144"/>
      <c r="Y3" s="144"/>
      <c r="Z3" s="228" t="s">
        <v>188</v>
      </c>
      <c r="AA3" s="147"/>
      <c r="AB3" s="144"/>
      <c r="AC3" s="144"/>
    </row>
    <row r="4" spans="1:29" ht="25.5">
      <c r="A4" s="32"/>
      <c r="B4" s="194" t="s">
        <v>28</v>
      </c>
      <c r="C4" s="193" t="s">
        <v>189</v>
      </c>
      <c r="D4" s="194" t="s">
        <v>198</v>
      </c>
      <c r="E4" s="193" t="s">
        <v>189</v>
      </c>
      <c r="F4" s="226" t="s">
        <v>201</v>
      </c>
      <c r="G4" s="193" t="s">
        <v>189</v>
      </c>
      <c r="H4" s="149" t="s">
        <v>28</v>
      </c>
      <c r="I4" s="148" t="s">
        <v>198</v>
      </c>
      <c r="J4" s="150" t="s">
        <v>190</v>
      </c>
      <c r="K4" s="151" t="s">
        <v>179</v>
      </c>
      <c r="L4" s="229" t="s">
        <v>28</v>
      </c>
      <c r="M4" s="148" t="s">
        <v>198</v>
      </c>
      <c r="N4" s="150" t="s">
        <v>190</v>
      </c>
      <c r="O4" s="151" t="s">
        <v>179</v>
      </c>
      <c r="P4" s="250" t="s">
        <v>29</v>
      </c>
      <c r="Q4" s="251" t="s">
        <v>189</v>
      </c>
      <c r="R4" s="250" t="s">
        <v>202</v>
      </c>
      <c r="S4" s="251" t="s">
        <v>189</v>
      </c>
      <c r="T4" s="253" t="s">
        <v>201</v>
      </c>
      <c r="U4" s="251" t="s">
        <v>189</v>
      </c>
      <c r="V4" s="243" t="s">
        <v>29</v>
      </c>
      <c r="W4" s="247" t="s">
        <v>202</v>
      </c>
      <c r="X4" s="248" t="s">
        <v>190</v>
      </c>
      <c r="Y4" s="249" t="s">
        <v>179</v>
      </c>
      <c r="Z4" s="240" t="s">
        <v>29</v>
      </c>
      <c r="AA4" s="247" t="s">
        <v>202</v>
      </c>
      <c r="AB4" s="248" t="s">
        <v>190</v>
      </c>
      <c r="AC4" s="249" t="s">
        <v>179</v>
      </c>
    </row>
    <row r="5" spans="1:29">
      <c r="A5" s="152" t="s">
        <v>33</v>
      </c>
      <c r="B5" s="195">
        <f>(L5/H5)*100</f>
        <v>60.24997811711016</v>
      </c>
      <c r="C5" s="196"/>
      <c r="D5" s="195">
        <f>(M5/I5)*100</f>
        <v>28.329975322532597</v>
      </c>
      <c r="E5" s="196"/>
      <c r="F5" s="195">
        <f>+D5-B5</f>
        <v>-31.920002794577563</v>
      </c>
      <c r="G5" s="196"/>
      <c r="H5" s="153">
        <f>+'[1]Total Funding'!AM4</f>
        <v>12183392378</v>
      </c>
      <c r="I5" s="183">
        <f>+'[1]Total Funding'!AW4</f>
        <v>32471906153.350002</v>
      </c>
      <c r="J5" s="184">
        <f>+I5-H5</f>
        <v>20288513775.350002</v>
      </c>
      <c r="K5" s="185">
        <f>+J5/H5</f>
        <v>1.6652598181099147</v>
      </c>
      <c r="L5" s="230">
        <f>SUM('Grants Need-Based'!Y4,'Grants Non Need-Based '!Y4)*1000000</f>
        <v>7340491241.666667</v>
      </c>
      <c r="M5" s="186">
        <f>SUM('Grants Non Need-Based '!AD4,'Grants Need-Based'!AD4)*1000000</f>
        <v>9199283000</v>
      </c>
      <c r="N5" s="184">
        <f>+M5-L5</f>
        <v>1858791758.333333</v>
      </c>
      <c r="O5" s="185">
        <f>+N5/L5</f>
        <v>0.25322443650396514</v>
      </c>
      <c r="P5" s="195">
        <f>(Z5/V5)*100</f>
        <v>56.256287899774726</v>
      </c>
      <c r="Q5" s="196"/>
      <c r="R5" s="195">
        <f>(AA5/W5)*100</f>
        <v>30.181936820327426</v>
      </c>
      <c r="S5" s="196"/>
      <c r="T5" s="195">
        <f>+R5-P5</f>
        <v>-26.0743510794473</v>
      </c>
      <c r="U5" s="196"/>
      <c r="V5" s="153">
        <f>+'[1]Total Funding'!AO4</f>
        <v>13980961288</v>
      </c>
      <c r="W5" s="183">
        <f>+'[1]Total Funding'!AY4</f>
        <v>31011323281.600002</v>
      </c>
      <c r="X5" s="184">
        <f>+W5-V5</f>
        <v>17030361993.600002</v>
      </c>
      <c r="Y5" s="185">
        <f>+X5/V5</f>
        <v>1.2181109469359117</v>
      </c>
      <c r="Z5" s="230">
        <f>SUM('Grants Need-Based'!Z4,'Grants Non Need-Based '!Z4)*1000000</f>
        <v>7865169833.333333</v>
      </c>
      <c r="AA5" s="186">
        <f>SUM('Grants Non Need-Based '!AE4,'Grants Need-Based'!AE4)*1000000</f>
        <v>9359818000.0000019</v>
      </c>
      <c r="AB5" s="184">
        <f>+AA5-Z5</f>
        <v>1494648166.6666689</v>
      </c>
      <c r="AC5" s="185">
        <f>+AB5/Z5</f>
        <v>0.19003380706824774</v>
      </c>
    </row>
    <row r="6" spans="1:29">
      <c r="A6" s="152" t="s">
        <v>34</v>
      </c>
      <c r="B6" s="195">
        <f t="shared" ref="B6:B64" si="0">(L6/H6)*100</f>
        <v>62.500445325979513</v>
      </c>
      <c r="C6" s="196"/>
      <c r="D6" s="195">
        <f t="shared" ref="D6:D64" si="1">(M6/I6)*100</f>
        <v>31.773772839294896</v>
      </c>
      <c r="E6" s="196"/>
      <c r="F6" s="195">
        <f t="shared" ref="F6:F64" si="2">+D6-B6</f>
        <v>-30.726672486684617</v>
      </c>
      <c r="G6" s="196"/>
      <c r="H6" s="155">
        <f>+'[1]Total Funding'!AM5</f>
        <v>4531090915</v>
      </c>
      <c r="I6" s="154">
        <f>+'[1]Total Funding'!AW5</f>
        <v>11867602311.730001</v>
      </c>
      <c r="J6" s="184">
        <f t="shared" ref="J6:J64" si="3">+I6-H6</f>
        <v>7336511396.7300014</v>
      </c>
      <c r="K6" s="185">
        <f t="shared" ref="K6:K64" si="4">+J6/H6</f>
        <v>1.6191490160664768</v>
      </c>
      <c r="L6" s="231">
        <f>SUM('Grants Need-Based'!Y5,'Grants Non Need-Based '!Y5)*1000000</f>
        <v>2831952000</v>
      </c>
      <c r="M6" s="187">
        <f>SUM('Grants Non Need-Based '!AD5,'Grants Need-Based'!AD5)*1000000</f>
        <v>3770785000</v>
      </c>
      <c r="N6" s="184">
        <f t="shared" ref="N6:N64" si="5">+M6-L6</f>
        <v>938833000</v>
      </c>
      <c r="O6" s="185">
        <f t="shared" ref="O6:O64" si="6">+N6/L6</f>
        <v>0.33151444657254076</v>
      </c>
      <c r="P6" s="195">
        <f t="shared" ref="P6" si="7">(Z6/V6)*100</f>
        <v>63.360160619876694</v>
      </c>
      <c r="Q6" s="196"/>
      <c r="R6" s="195">
        <f t="shared" ref="R6" si="8">(AA6/W6)*100</f>
        <v>34.155656698009246</v>
      </c>
      <c r="S6" s="196"/>
      <c r="T6" s="195">
        <f t="shared" ref="T6" si="9">+R6-P6</f>
        <v>-29.204503921867449</v>
      </c>
      <c r="U6" s="196"/>
      <c r="V6" s="242">
        <f>+'[1]Total Funding'!AO5</f>
        <v>5093028440</v>
      </c>
      <c r="W6" s="245">
        <f>+'[1]Total Funding'!AY5</f>
        <v>11243824219.090002</v>
      </c>
      <c r="X6" s="244">
        <f t="shared" ref="X6" si="10">+W6-V6</f>
        <v>6150795779.0900021</v>
      </c>
      <c r="Y6" s="185">
        <f t="shared" ref="Y6" si="11">+X6/V6</f>
        <v>1.2076892661314105</v>
      </c>
      <c r="Z6" s="231">
        <f>SUM('Grants Need-Based'!Z5,'Grants Non Need-Based '!Z5)*1000000</f>
        <v>3226951000</v>
      </c>
      <c r="AA6" s="187">
        <f>SUM('Grants Non Need-Based '!AE5,'Grants Need-Based'!AE5)*1000000</f>
        <v>3840402000</v>
      </c>
      <c r="AB6" s="184">
        <f t="shared" ref="AB6" si="12">+AA6-Z6</f>
        <v>613451000</v>
      </c>
      <c r="AC6" s="185">
        <f t="shared" ref="AC6" si="13">+AB6/Z6</f>
        <v>0.19010235978172585</v>
      </c>
    </row>
    <row r="7" spans="1:29">
      <c r="A7" s="152"/>
      <c r="B7" s="204"/>
      <c r="C7" s="197"/>
      <c r="D7" s="212"/>
      <c r="E7" s="197"/>
      <c r="F7" s="195"/>
      <c r="G7" s="197"/>
      <c r="H7" s="155"/>
      <c r="I7" s="154"/>
      <c r="J7" s="184"/>
      <c r="K7" s="185"/>
      <c r="L7" s="231"/>
      <c r="M7" s="187"/>
      <c r="N7" s="184"/>
      <c r="O7" s="185"/>
      <c r="P7" s="204"/>
      <c r="Q7" s="197"/>
      <c r="R7" s="212"/>
      <c r="S7" s="197"/>
      <c r="T7" s="195"/>
      <c r="U7" s="197"/>
      <c r="V7" s="242"/>
      <c r="W7" s="245"/>
      <c r="X7" s="184"/>
      <c r="Y7" s="185"/>
      <c r="Z7" s="231"/>
      <c r="AA7" s="187"/>
      <c r="AB7" s="184"/>
      <c r="AC7" s="185"/>
    </row>
    <row r="8" spans="1:29">
      <c r="A8" s="152" t="s">
        <v>36</v>
      </c>
      <c r="B8" s="195">
        <f t="shared" si="0"/>
        <v>3.6583035548105145</v>
      </c>
      <c r="C8" s="198">
        <f>RANK(B8,$B$8:$B$64)</f>
        <v>51</v>
      </c>
      <c r="D8" s="195">
        <f t="shared" si="1"/>
        <v>3.0540305458906349</v>
      </c>
      <c r="E8" s="198">
        <f>RANK(D8,$D$8:$D$64)</f>
        <v>50</v>
      </c>
      <c r="F8" s="195">
        <f t="shared" si="2"/>
        <v>-0.60427300891987956</v>
      </c>
      <c r="G8" s="198">
        <f>RANK(F8,$F$8:$F$64)</f>
        <v>5</v>
      </c>
      <c r="H8" s="155">
        <f>+'[1]Total Funding'!AM7</f>
        <v>239783273</v>
      </c>
      <c r="I8" s="154">
        <f>+'[1]Total Funding'!AW7</f>
        <v>612141880.01999998</v>
      </c>
      <c r="J8" s="184">
        <f t="shared" si="3"/>
        <v>372358607.01999998</v>
      </c>
      <c r="K8" s="185">
        <f t="shared" si="4"/>
        <v>1.5528965067550813</v>
      </c>
      <c r="L8" s="231">
        <f>SUM('Grants Need-Based'!Y7,'Grants Non Need-Based '!Y7)*1000000</f>
        <v>8772000</v>
      </c>
      <c r="M8" s="187">
        <f>SUM('Grants Non Need-Based '!AD7,'Grants Need-Based'!AD7)*1000000</f>
        <v>18695000</v>
      </c>
      <c r="N8" s="184">
        <f t="shared" si="5"/>
        <v>9923000</v>
      </c>
      <c r="O8" s="185">
        <f t="shared" si="6"/>
        <v>1.1312129502963977</v>
      </c>
      <c r="P8" s="195">
        <f t="shared" ref="P8:P24" si="14">(Z8/V8)*100</f>
        <v>7.4191060643906086</v>
      </c>
      <c r="Q8" s="198">
        <f>RANK(P8,$P$8:$P$64)</f>
        <v>49</v>
      </c>
      <c r="R8" s="195">
        <f t="shared" ref="R8:R24" si="15">(AA8/W8)*100</f>
        <v>1.5680511579240608</v>
      </c>
      <c r="S8" s="198">
        <f>RANK(R8,$R$8:$R$64)</f>
        <v>51</v>
      </c>
      <c r="T8" s="195">
        <f t="shared" ref="T8:T24" si="16">+R8-P8</f>
        <v>-5.8510549064665476</v>
      </c>
      <c r="U8" s="198">
        <f>RANK(T8,$T$8:$T$64)</f>
        <v>12</v>
      </c>
      <c r="V8" s="155">
        <f>+'[1]Total Funding'!AO7</f>
        <v>267431141</v>
      </c>
      <c r="W8" s="245">
        <f>+'[1]Total Funding'!AY7</f>
        <v>560632218.88999999</v>
      </c>
      <c r="X8" s="184">
        <f t="shared" ref="X8:X24" si="17">+W8-V8</f>
        <v>293201077.88999999</v>
      </c>
      <c r="Y8" s="185">
        <f t="shared" ref="Y8:Y24" si="18">+X8/V8</f>
        <v>1.096361017619859</v>
      </c>
      <c r="Z8" s="231">
        <f>SUM('Grants Need-Based'!Z7,'Grants Non Need-Based '!Z7)*1000000</f>
        <v>19841000</v>
      </c>
      <c r="AA8" s="187">
        <f>SUM('Grants Non Need-Based '!AE7,'Grants Need-Based'!AE7)*1000000</f>
        <v>8791000</v>
      </c>
      <c r="AB8" s="184">
        <f t="shared" ref="AB8:AB24" si="19">+AA8-Z8</f>
        <v>-11050000</v>
      </c>
      <c r="AC8" s="185">
        <f t="shared" ref="AC8:AC24" si="20">+AB8/Z8</f>
        <v>-0.55692757421500927</v>
      </c>
    </row>
    <row r="9" spans="1:29">
      <c r="A9" s="152" t="s">
        <v>38</v>
      </c>
      <c r="B9" s="195">
        <f t="shared" si="0"/>
        <v>20.843287741780451</v>
      </c>
      <c r="C9" s="198">
        <f t="shared" ref="C9:C64" si="21">RANK(B9,$B$8:$B$64)</f>
        <v>40</v>
      </c>
      <c r="D9" s="195">
        <f t="shared" si="1"/>
        <v>45.591217605919134</v>
      </c>
      <c r="E9" s="198">
        <f t="shared" ref="E9:E64" si="22">RANK(D9,$D$8:$D$64)</f>
        <v>7</v>
      </c>
      <c r="F9" s="195">
        <f t="shared" si="2"/>
        <v>24.747929864138683</v>
      </c>
      <c r="G9" s="198">
        <f t="shared" ref="G9:G64" si="23">RANK(F9,$F$8:$F$64)</f>
        <v>1</v>
      </c>
      <c r="H9" s="155">
        <f>+'[1]Total Funding'!AM8</f>
        <v>144948342</v>
      </c>
      <c r="I9" s="154">
        <f>+'[1]Total Funding'!AW8</f>
        <v>328289104.48000002</v>
      </c>
      <c r="J9" s="184">
        <f t="shared" si="3"/>
        <v>183340762.48000002</v>
      </c>
      <c r="K9" s="185">
        <f t="shared" si="4"/>
        <v>1.2648696766741907</v>
      </c>
      <c r="L9" s="231">
        <f>SUM('Grants Need-Based'!Y8,'Grants Non Need-Based '!Y8)*1000000</f>
        <v>30212000.000000004</v>
      </c>
      <c r="M9" s="187">
        <f>SUM('Grants Non Need-Based '!AD8,'Grants Need-Based'!AD8)*1000000</f>
        <v>149671000.00000003</v>
      </c>
      <c r="N9" s="184">
        <f t="shared" si="5"/>
        <v>119459000.00000003</v>
      </c>
      <c r="O9" s="185">
        <f t="shared" si="6"/>
        <v>3.9540248907718794</v>
      </c>
      <c r="P9" s="195">
        <f t="shared" si="14"/>
        <v>20.959231557893091</v>
      </c>
      <c r="Q9" s="198">
        <f t="shared" ref="Q9:Q64" si="24">RANK(P9,$P$8:$P$64)</f>
        <v>40</v>
      </c>
      <c r="R9" s="195">
        <f t="shared" si="15"/>
        <v>48.269021967269346</v>
      </c>
      <c r="S9" s="198">
        <f t="shared" ref="S9:S64" si="25">RANK(R9,$R$8:$R$64)</f>
        <v>8</v>
      </c>
      <c r="T9" s="195">
        <f t="shared" si="16"/>
        <v>27.309790409376255</v>
      </c>
      <c r="U9" s="198">
        <f t="shared" ref="U9:U64" si="26">RANK(T9,$T$8:$T$64)</f>
        <v>1</v>
      </c>
      <c r="V9" s="155">
        <f>+'[1]Total Funding'!AO8</f>
        <v>161141404</v>
      </c>
      <c r="W9" s="245">
        <f>+'[1]Total Funding'!AY8</f>
        <v>312523423.61999995</v>
      </c>
      <c r="X9" s="184">
        <f t="shared" si="17"/>
        <v>151382019.61999995</v>
      </c>
      <c r="Y9" s="185">
        <f t="shared" si="18"/>
        <v>0.93943589829960739</v>
      </c>
      <c r="Z9" s="231">
        <f>SUM('Grants Need-Based'!Z8,'Grants Non Need-Based '!Z8)*1000000</f>
        <v>33774000</v>
      </c>
      <c r="AA9" s="187">
        <f>SUM('Grants Non Need-Based '!AE8,'Grants Need-Based'!AE8)*1000000</f>
        <v>150852000</v>
      </c>
      <c r="AB9" s="184">
        <f t="shared" si="19"/>
        <v>117078000</v>
      </c>
      <c r="AC9" s="185">
        <f t="shared" si="20"/>
        <v>3.4665127020785218</v>
      </c>
    </row>
    <row r="10" spans="1:29">
      <c r="A10" s="152" t="s">
        <v>39</v>
      </c>
      <c r="B10" s="195">
        <f t="shared" si="0"/>
        <v>66.158767701847751</v>
      </c>
      <c r="C10" s="198">
        <f t="shared" si="21"/>
        <v>19</v>
      </c>
      <c r="D10" s="195">
        <f t="shared" si="1"/>
        <v>31.881070245610175</v>
      </c>
      <c r="E10" s="198">
        <f t="shared" si="22"/>
        <v>19</v>
      </c>
      <c r="F10" s="195">
        <f t="shared" si="2"/>
        <v>-34.277697456237576</v>
      </c>
      <c r="G10" s="198">
        <f t="shared" si="23"/>
        <v>33</v>
      </c>
      <c r="H10" s="155">
        <f>+'[1]Total Funding'!AM9</f>
        <v>20388832</v>
      </c>
      <c r="I10" s="154">
        <f>+'[1]Total Funding'!AW9</f>
        <v>63087593.5</v>
      </c>
      <c r="J10" s="184">
        <f t="shared" si="3"/>
        <v>42698761.5</v>
      </c>
      <c r="K10" s="185">
        <f t="shared" si="4"/>
        <v>2.0942230285677965</v>
      </c>
      <c r="L10" s="231">
        <f>SUM('Grants Need-Based'!Y9,'Grants Non Need-Based '!Y9)*1000000</f>
        <v>13489000</v>
      </c>
      <c r="M10" s="187">
        <f>SUM('Grants Non Need-Based '!AD9,'Grants Need-Based'!AD9)*1000000</f>
        <v>20113000</v>
      </c>
      <c r="N10" s="184">
        <f t="shared" si="5"/>
        <v>6624000</v>
      </c>
      <c r="O10" s="185">
        <f t="shared" si="6"/>
        <v>0.49106679516643192</v>
      </c>
      <c r="P10" s="195">
        <f t="shared" si="14"/>
        <v>71.182776945819086</v>
      </c>
      <c r="Q10" s="198">
        <f t="shared" si="24"/>
        <v>17</v>
      </c>
      <c r="R10" s="195">
        <f t="shared" si="15"/>
        <v>32.869598601521346</v>
      </c>
      <c r="S10" s="198">
        <f t="shared" si="25"/>
        <v>19</v>
      </c>
      <c r="T10" s="195">
        <f t="shared" si="16"/>
        <v>-38.313178344297739</v>
      </c>
      <c r="U10" s="198">
        <f t="shared" si="26"/>
        <v>43</v>
      </c>
      <c r="V10" s="155">
        <f>+'[1]Total Funding'!AO9</f>
        <v>23852680</v>
      </c>
      <c r="W10" s="245">
        <f>+'[1]Total Funding'!AY9</f>
        <v>61646630.510000005</v>
      </c>
      <c r="X10" s="184">
        <f t="shared" si="17"/>
        <v>37793950.510000005</v>
      </c>
      <c r="Y10" s="185">
        <f t="shared" si="18"/>
        <v>1.5844739672858565</v>
      </c>
      <c r="Z10" s="231">
        <f>SUM('Grants Need-Based'!Z9,'Grants Non Need-Based '!Z9)*1000000</f>
        <v>16979000</v>
      </c>
      <c r="AA10" s="187">
        <f>SUM('Grants Non Need-Based '!AE9,'Grants Need-Based'!AE9)*1000000</f>
        <v>20262999.999999996</v>
      </c>
      <c r="AB10" s="184">
        <f t="shared" si="19"/>
        <v>3283999.9999999963</v>
      </c>
      <c r="AC10" s="185">
        <f t="shared" si="20"/>
        <v>0.19341539548854444</v>
      </c>
    </row>
    <row r="11" spans="1:29">
      <c r="A11" s="152" t="s">
        <v>40</v>
      </c>
      <c r="B11" s="195">
        <f t="shared" si="0"/>
        <v>71.119932976857868</v>
      </c>
      <c r="C11" s="198">
        <f t="shared" si="21"/>
        <v>18</v>
      </c>
      <c r="D11" s="195">
        <f t="shared" si="1"/>
        <v>21.306817589088674</v>
      </c>
      <c r="E11" s="198">
        <f t="shared" si="22"/>
        <v>29</v>
      </c>
      <c r="F11" s="195">
        <f t="shared" si="2"/>
        <v>-49.813115387769194</v>
      </c>
      <c r="G11" s="198">
        <f t="shared" si="23"/>
        <v>46</v>
      </c>
      <c r="H11" s="155">
        <f>+'[1]Total Funding'!AM10</f>
        <v>680859753</v>
      </c>
      <c r="I11" s="154">
        <f>+'[1]Total Funding'!AW10</f>
        <v>2272446356.5499997</v>
      </c>
      <c r="J11" s="184">
        <f t="shared" si="3"/>
        <v>1591586603.5499997</v>
      </c>
      <c r="K11" s="185">
        <f t="shared" si="4"/>
        <v>2.3376129908357202</v>
      </c>
      <c r="L11" s="231">
        <f>SUM('Grants Need-Based'!Y10,'Grants Non Need-Based '!Y10)*1000000</f>
        <v>484227000.00000006</v>
      </c>
      <c r="M11" s="187">
        <f>SUM('Grants Non Need-Based '!AD10,'Grants Need-Based'!AD10)*1000000</f>
        <v>484186000</v>
      </c>
      <c r="N11" s="184">
        <f t="shared" si="5"/>
        <v>-41000.000000059605</v>
      </c>
      <c r="O11" s="185">
        <f t="shared" si="6"/>
        <v>-8.4671032387825538E-5</v>
      </c>
      <c r="P11" s="195">
        <f t="shared" si="14"/>
        <v>66.591024375666748</v>
      </c>
      <c r="Q11" s="198">
        <f t="shared" si="24"/>
        <v>18</v>
      </c>
      <c r="R11" s="195">
        <f t="shared" si="15"/>
        <v>21.551596541466179</v>
      </c>
      <c r="S11" s="198">
        <f t="shared" si="25"/>
        <v>31</v>
      </c>
      <c r="T11" s="195">
        <f t="shared" si="16"/>
        <v>-45.039427834200566</v>
      </c>
      <c r="U11" s="198">
        <f t="shared" si="26"/>
        <v>49</v>
      </c>
      <c r="V11" s="155">
        <f>+'[1]Total Funding'!AO10</f>
        <v>800517795</v>
      </c>
      <c r="W11" s="245">
        <f>+'[1]Total Funding'!AY10</f>
        <v>2156740448.9299998</v>
      </c>
      <c r="X11" s="184">
        <f t="shared" si="17"/>
        <v>1356222653.9299998</v>
      </c>
      <c r="Y11" s="185">
        <f t="shared" si="18"/>
        <v>1.6941817688512468</v>
      </c>
      <c r="Z11" s="231">
        <f>SUM('Grants Need-Based'!Z10,'Grants Non Need-Based '!Z10)*1000000</f>
        <v>533073000</v>
      </c>
      <c r="AA11" s="187">
        <f>SUM('Grants Non Need-Based '!AE10,'Grants Need-Based'!AE10)*1000000</f>
        <v>464811999.99999994</v>
      </c>
      <c r="AB11" s="184">
        <f t="shared" si="19"/>
        <v>-68261000.00000006</v>
      </c>
      <c r="AC11" s="185">
        <f t="shared" si="20"/>
        <v>-0.12805188032408329</v>
      </c>
    </row>
    <row r="12" spans="1:29">
      <c r="A12" s="152" t="s">
        <v>41</v>
      </c>
      <c r="B12" s="195">
        <f t="shared" si="0"/>
        <v>126.6264053893281</v>
      </c>
      <c r="C12" s="198">
        <f t="shared" si="21"/>
        <v>2</v>
      </c>
      <c r="D12" s="195">
        <f t="shared" si="1"/>
        <v>51.238670475580697</v>
      </c>
      <c r="E12" s="198">
        <f t="shared" si="22"/>
        <v>5</v>
      </c>
      <c r="F12" s="195">
        <f t="shared" si="2"/>
        <v>-75.387734913747408</v>
      </c>
      <c r="G12" s="198">
        <f t="shared" si="23"/>
        <v>53</v>
      </c>
      <c r="H12" s="155">
        <f>+'[1]Total Funding'!AM11</f>
        <v>379644355</v>
      </c>
      <c r="I12" s="154">
        <f>+'[1]Total Funding'!AW11</f>
        <v>1094915216.95</v>
      </c>
      <c r="J12" s="184">
        <f t="shared" si="3"/>
        <v>715270861.95000005</v>
      </c>
      <c r="K12" s="185">
        <f t="shared" si="4"/>
        <v>1.8840550439634485</v>
      </c>
      <c r="L12" s="231">
        <f>SUM('Grants Need-Based'!Y11,'Grants Non Need-Based '!Y11)*1000000</f>
        <v>480729999.99999994</v>
      </c>
      <c r="M12" s="187">
        <f>SUM('Grants Non Need-Based '!AD11,'Grants Need-Based'!AD11)*1000000</f>
        <v>561020000</v>
      </c>
      <c r="N12" s="184">
        <f t="shared" si="5"/>
        <v>80290000.00000006</v>
      </c>
      <c r="O12" s="185">
        <f t="shared" si="6"/>
        <v>0.16701682857321171</v>
      </c>
      <c r="P12" s="195">
        <f t="shared" si="14"/>
        <v>112.04089759881785</v>
      </c>
      <c r="Q12" s="198">
        <f t="shared" si="24"/>
        <v>2</v>
      </c>
      <c r="R12" s="195">
        <f t="shared" si="15"/>
        <v>53.769336987175684</v>
      </c>
      <c r="S12" s="198">
        <f t="shared" si="25"/>
        <v>5</v>
      </c>
      <c r="T12" s="195">
        <f t="shared" si="16"/>
        <v>-58.271560611642165</v>
      </c>
      <c r="U12" s="198">
        <f t="shared" si="26"/>
        <v>53</v>
      </c>
      <c r="V12" s="155">
        <f>+'[1]Total Funding'!AO11</f>
        <v>444183339</v>
      </c>
      <c r="W12" s="245">
        <f>+'[1]Total Funding'!AY11</f>
        <v>996835799.04999995</v>
      </c>
      <c r="X12" s="184">
        <f t="shared" si="17"/>
        <v>552652460.04999995</v>
      </c>
      <c r="Y12" s="185">
        <f t="shared" si="18"/>
        <v>1.2441989861533278</v>
      </c>
      <c r="Z12" s="231">
        <f>SUM('Grants Need-Based'!Z11,'Grants Non Need-Based '!Z11)*1000000</f>
        <v>497667000</v>
      </c>
      <c r="AA12" s="187">
        <f>SUM('Grants Non Need-Based '!AE11,'Grants Need-Based'!AE11)*1000000</f>
        <v>535991999.99999994</v>
      </c>
      <c r="AB12" s="184">
        <f t="shared" si="19"/>
        <v>38324999.99999994</v>
      </c>
      <c r="AC12" s="185">
        <f t="shared" si="20"/>
        <v>7.7009325512842799E-2</v>
      </c>
    </row>
    <row r="13" spans="1:29">
      <c r="A13" s="152" t="s">
        <v>42</v>
      </c>
      <c r="B13" s="195">
        <f t="shared" si="0"/>
        <v>90.386293273503995</v>
      </c>
      <c r="C13" s="198">
        <f t="shared" si="21"/>
        <v>9</v>
      </c>
      <c r="D13" s="195">
        <f t="shared" si="1"/>
        <v>41.74785366757397</v>
      </c>
      <c r="E13" s="198">
        <f t="shared" si="22"/>
        <v>12</v>
      </c>
      <c r="F13" s="195">
        <f t="shared" si="2"/>
        <v>-48.638439605930024</v>
      </c>
      <c r="G13" s="198">
        <f t="shared" si="23"/>
        <v>45</v>
      </c>
      <c r="H13" s="155">
        <f>+'[1]Total Funding'!AM12</f>
        <v>204013234</v>
      </c>
      <c r="I13" s="154">
        <f>+'[1]Total Funding'!AW12</f>
        <v>466613209.75</v>
      </c>
      <c r="J13" s="184">
        <f t="shared" si="3"/>
        <v>262599975.75</v>
      </c>
      <c r="K13" s="185">
        <f t="shared" si="4"/>
        <v>1.2871712810062115</v>
      </c>
      <c r="L13" s="231">
        <f>SUM('Grants Need-Based'!Y12,'Grants Non Need-Based '!Y12)*1000000</f>
        <v>184399999.99999997</v>
      </c>
      <c r="M13" s="187">
        <f>SUM('Grants Non Need-Based '!AD12,'Grants Need-Based'!AD12)*1000000</f>
        <v>194801000</v>
      </c>
      <c r="N13" s="184">
        <f t="shared" si="5"/>
        <v>10401000.00000003</v>
      </c>
      <c r="O13" s="185">
        <f t="shared" si="6"/>
        <v>5.640455531453379E-2</v>
      </c>
      <c r="P13" s="195">
        <f t="shared" si="14"/>
        <v>79.932449582214588</v>
      </c>
      <c r="Q13" s="198">
        <f t="shared" si="24"/>
        <v>9</v>
      </c>
      <c r="R13" s="195">
        <f t="shared" si="15"/>
        <v>44.314159653748305</v>
      </c>
      <c r="S13" s="198">
        <f t="shared" si="25"/>
        <v>11</v>
      </c>
      <c r="T13" s="195">
        <f t="shared" si="16"/>
        <v>-35.618289928466282</v>
      </c>
      <c r="U13" s="198">
        <f t="shared" si="26"/>
        <v>42</v>
      </c>
      <c r="V13" s="155">
        <f>+'[1]Total Funding'!AO12</f>
        <v>233932528</v>
      </c>
      <c r="W13" s="245">
        <f>+'[1]Total Funding'!AY12</f>
        <v>441071209.57999998</v>
      </c>
      <c r="X13" s="184">
        <f t="shared" si="17"/>
        <v>207138681.57999998</v>
      </c>
      <c r="Y13" s="185">
        <f t="shared" si="18"/>
        <v>0.88546335710953361</v>
      </c>
      <c r="Z13" s="231">
        <f>SUM('Grants Need-Based'!Z12,'Grants Non Need-Based '!Z12)*1000000</f>
        <v>186988000</v>
      </c>
      <c r="AA13" s="187">
        <f>SUM('Grants Non Need-Based '!AE12,'Grants Need-Based'!AE12)*1000000</f>
        <v>195457000</v>
      </c>
      <c r="AB13" s="184">
        <f t="shared" si="19"/>
        <v>8469000</v>
      </c>
      <c r="AC13" s="185">
        <f t="shared" si="20"/>
        <v>4.5291676471217401E-2</v>
      </c>
    </row>
    <row r="14" spans="1:29">
      <c r="A14" s="152" t="s">
        <v>43</v>
      </c>
      <c r="B14" s="195">
        <f t="shared" si="0"/>
        <v>55.265317001614854</v>
      </c>
      <c r="C14" s="198">
        <f t="shared" si="21"/>
        <v>25</v>
      </c>
      <c r="D14" s="195">
        <f t="shared" si="1"/>
        <v>44.898629266939473</v>
      </c>
      <c r="E14" s="198">
        <f t="shared" si="22"/>
        <v>9</v>
      </c>
      <c r="F14" s="195">
        <f t="shared" si="2"/>
        <v>-10.366687734675381</v>
      </c>
      <c r="G14" s="198">
        <f t="shared" si="23"/>
        <v>16</v>
      </c>
      <c r="H14" s="155">
        <f>+'[1]Total Funding'!AM13</f>
        <v>217686257</v>
      </c>
      <c r="I14" s="154">
        <f>+'[1]Total Funding'!AW13</f>
        <v>439681574.29999995</v>
      </c>
      <c r="J14" s="184">
        <f t="shared" si="3"/>
        <v>221995317.29999995</v>
      </c>
      <c r="K14" s="185">
        <f t="shared" si="4"/>
        <v>1.0197948201204081</v>
      </c>
      <c r="L14" s="231">
        <f>SUM('Grants Need-Based'!Y13,'Grants Non Need-Based '!Y13)*1000000</f>
        <v>120305000</v>
      </c>
      <c r="M14" s="187">
        <f>SUM('Grants Non Need-Based '!AD13,'Grants Need-Based'!AD13)*1000000</f>
        <v>197411000</v>
      </c>
      <c r="N14" s="184">
        <f t="shared" si="5"/>
        <v>77106000</v>
      </c>
      <c r="O14" s="185">
        <f t="shared" si="6"/>
        <v>0.64092099247745316</v>
      </c>
      <c r="P14" s="195">
        <f t="shared" si="14"/>
        <v>59.421591739378158</v>
      </c>
      <c r="Q14" s="198">
        <f t="shared" si="24"/>
        <v>22</v>
      </c>
      <c r="R14" s="195">
        <f t="shared" si="15"/>
        <v>52.924882480579228</v>
      </c>
      <c r="S14" s="198">
        <f t="shared" si="25"/>
        <v>6</v>
      </c>
      <c r="T14" s="195">
        <f t="shared" si="16"/>
        <v>-6.4967092587989299</v>
      </c>
      <c r="U14" s="198">
        <f t="shared" si="26"/>
        <v>13</v>
      </c>
      <c r="V14" s="155">
        <f>+'[1]Total Funding'!AO13</f>
        <v>231139887</v>
      </c>
      <c r="W14" s="245">
        <f>+'[1]Total Funding'!AY13</f>
        <v>410459106.98000002</v>
      </c>
      <c r="X14" s="184">
        <f t="shared" si="17"/>
        <v>179319219.98000002</v>
      </c>
      <c r="Y14" s="185">
        <f t="shared" si="18"/>
        <v>0.77580387490628144</v>
      </c>
      <c r="Z14" s="231">
        <f>SUM('Grants Need-Based'!Z13,'Grants Non Need-Based '!Z13)*1000000</f>
        <v>137347000</v>
      </c>
      <c r="AA14" s="187">
        <f>SUM('Grants Non Need-Based '!AE13,'Grants Need-Based'!AE13)*1000000</f>
        <v>217235000</v>
      </c>
      <c r="AB14" s="184">
        <f t="shared" si="19"/>
        <v>79888000</v>
      </c>
      <c r="AC14" s="185">
        <f t="shared" si="20"/>
        <v>0.58165085513334835</v>
      </c>
    </row>
    <row r="15" spans="1:29">
      <c r="A15" s="152" t="s">
        <v>44</v>
      </c>
      <c r="B15" s="195">
        <f t="shared" si="0"/>
        <v>61.504822474446463</v>
      </c>
      <c r="C15" s="198">
        <f t="shared" si="21"/>
        <v>22</v>
      </c>
      <c r="D15" s="195">
        <f t="shared" si="1"/>
        <v>20.758640443822266</v>
      </c>
      <c r="E15" s="198">
        <f t="shared" si="22"/>
        <v>30</v>
      </c>
      <c r="F15" s="195">
        <f t="shared" si="2"/>
        <v>-40.746182030624198</v>
      </c>
      <c r="G15" s="198">
        <f t="shared" si="23"/>
        <v>37</v>
      </c>
      <c r="H15" s="155">
        <f>+'[1]Total Funding'!AM14</f>
        <v>154604137</v>
      </c>
      <c r="I15" s="154">
        <f>+'[1]Total Funding'!AW14</f>
        <v>432643940.44999993</v>
      </c>
      <c r="J15" s="184">
        <f t="shared" si="3"/>
        <v>278039803.44999993</v>
      </c>
      <c r="K15" s="185">
        <f t="shared" si="4"/>
        <v>1.7983982113622221</v>
      </c>
      <c r="L15" s="231">
        <f>SUM('Grants Need-Based'!Y14,'Grants Non Need-Based '!Y14)*1000000</f>
        <v>95089000</v>
      </c>
      <c r="M15" s="187">
        <f>SUM('Grants Non Need-Based '!AD14,'Grants Need-Based'!AD14)*1000000</f>
        <v>89811000</v>
      </c>
      <c r="N15" s="184">
        <f t="shared" si="5"/>
        <v>-5278000</v>
      </c>
      <c r="O15" s="185">
        <f t="shared" si="6"/>
        <v>-5.5505894477805004E-2</v>
      </c>
      <c r="P15" s="195">
        <f t="shared" si="14"/>
        <v>56.297580999198907</v>
      </c>
      <c r="Q15" s="198">
        <f t="shared" si="24"/>
        <v>24</v>
      </c>
      <c r="R15" s="195">
        <f t="shared" si="15"/>
        <v>21.921170912355482</v>
      </c>
      <c r="S15" s="198">
        <f t="shared" si="25"/>
        <v>30</v>
      </c>
      <c r="T15" s="195">
        <f t="shared" si="16"/>
        <v>-34.376410086843421</v>
      </c>
      <c r="U15" s="198">
        <f t="shared" si="26"/>
        <v>39</v>
      </c>
      <c r="V15" s="155">
        <f>+'[1]Total Funding'!AO14</f>
        <v>177140826</v>
      </c>
      <c r="W15" s="245">
        <f>+'[1]Total Funding'!AY14</f>
        <v>413504371.47000003</v>
      </c>
      <c r="X15" s="184">
        <f t="shared" si="17"/>
        <v>236363545.47000003</v>
      </c>
      <c r="Y15" s="185">
        <f t="shared" si="18"/>
        <v>1.3343256368805689</v>
      </c>
      <c r="Z15" s="231">
        <f>SUM('Grants Need-Based'!Z14,'Grants Non Need-Based '!Z14)*1000000</f>
        <v>99726000</v>
      </c>
      <c r="AA15" s="187">
        <f>SUM('Grants Non Need-Based '!AE14,'Grants Need-Based'!AE14)*1000000</f>
        <v>90645000</v>
      </c>
      <c r="AB15" s="184">
        <f t="shared" si="19"/>
        <v>-9081000</v>
      </c>
      <c r="AC15" s="185">
        <f t="shared" si="20"/>
        <v>-9.105950303832501E-2</v>
      </c>
    </row>
    <row r="16" spans="1:29">
      <c r="A16" s="152" t="s">
        <v>46</v>
      </c>
      <c r="B16" s="195">
        <f t="shared" si="0"/>
        <v>11.303457942364115</v>
      </c>
      <c r="C16" s="198">
        <f t="shared" si="21"/>
        <v>45</v>
      </c>
      <c r="D16" s="195">
        <f t="shared" si="1"/>
        <v>5.5049715028545592</v>
      </c>
      <c r="E16" s="198">
        <f t="shared" si="22"/>
        <v>46</v>
      </c>
      <c r="F16" s="195">
        <f t="shared" si="2"/>
        <v>-5.7984864395095563</v>
      </c>
      <c r="G16" s="198">
        <f t="shared" si="23"/>
        <v>12</v>
      </c>
      <c r="H16" s="155">
        <f>+'[1]Total Funding'!AM15</f>
        <v>199832654</v>
      </c>
      <c r="I16" s="154">
        <f>+'[1]Total Funding'!AW15</f>
        <v>416151109.74000001</v>
      </c>
      <c r="J16" s="184">
        <f t="shared" si="3"/>
        <v>216318455.74000001</v>
      </c>
      <c r="K16" s="185">
        <f t="shared" si="4"/>
        <v>1.0824980372827355</v>
      </c>
      <c r="L16" s="231">
        <f>SUM('Grants Need-Based'!Y15,'Grants Non Need-Based '!Y15)*1000000</f>
        <v>22588000</v>
      </c>
      <c r="M16" s="187">
        <f>SUM('Grants Non Need-Based '!AD15,'Grants Need-Based'!AD15)*1000000</f>
        <v>22909000.000000004</v>
      </c>
      <c r="N16" s="184">
        <f t="shared" si="5"/>
        <v>321000.00000000373</v>
      </c>
      <c r="O16" s="185">
        <f t="shared" si="6"/>
        <v>1.4211085532141125E-2</v>
      </c>
      <c r="P16" s="195">
        <f t="shared" si="14"/>
        <v>10.477549693526299</v>
      </c>
      <c r="Q16" s="198">
        <f t="shared" si="24"/>
        <v>46</v>
      </c>
      <c r="R16" s="195">
        <f t="shared" si="15"/>
        <v>6.6972860453958187</v>
      </c>
      <c r="S16" s="198">
        <f t="shared" si="25"/>
        <v>45</v>
      </c>
      <c r="T16" s="195">
        <f t="shared" si="16"/>
        <v>-3.7802636481304805</v>
      </c>
      <c r="U16" s="198">
        <f t="shared" si="26"/>
        <v>8</v>
      </c>
      <c r="V16" s="155">
        <f>+'[1]Total Funding'!AO15</f>
        <v>218782069</v>
      </c>
      <c r="W16" s="245">
        <f>+'[1]Total Funding'!AY15</f>
        <v>370702398.43000001</v>
      </c>
      <c r="X16" s="184">
        <f t="shared" si="17"/>
        <v>151920329.43000001</v>
      </c>
      <c r="Y16" s="185">
        <f t="shared" si="18"/>
        <v>0.69439113600301494</v>
      </c>
      <c r="Z16" s="231">
        <f>SUM('Grants Need-Based'!Z15,'Grants Non Need-Based '!Z15)*1000000</f>
        <v>22923000</v>
      </c>
      <c r="AA16" s="187">
        <f>SUM('Grants Non Need-Based '!AE15,'Grants Need-Based'!AE15)*1000000</f>
        <v>24827000</v>
      </c>
      <c r="AB16" s="184">
        <f t="shared" si="19"/>
        <v>1904000</v>
      </c>
      <c r="AC16" s="185">
        <f t="shared" si="20"/>
        <v>8.3060681411682588E-2</v>
      </c>
    </row>
    <row r="17" spans="1:31">
      <c r="A17" s="152" t="s">
        <v>47</v>
      </c>
      <c r="B17" s="195">
        <f t="shared" si="0"/>
        <v>61.617844693744885</v>
      </c>
      <c r="C17" s="198">
        <f t="shared" si="21"/>
        <v>21</v>
      </c>
      <c r="D17" s="195">
        <f t="shared" si="1"/>
        <v>34.56893292128251</v>
      </c>
      <c r="E17" s="198">
        <f t="shared" si="22"/>
        <v>17</v>
      </c>
      <c r="F17" s="195">
        <f t="shared" si="2"/>
        <v>-27.048911772462375</v>
      </c>
      <c r="G17" s="198">
        <f t="shared" si="23"/>
        <v>28</v>
      </c>
      <c r="H17" s="155">
        <f>+'[1]Total Funding'!AM16</f>
        <v>359688011</v>
      </c>
      <c r="I17" s="154">
        <f>+'[1]Total Funding'!AW16</f>
        <v>946717102.15999985</v>
      </c>
      <c r="J17" s="184">
        <f t="shared" si="3"/>
        <v>587029091.15999985</v>
      </c>
      <c r="K17" s="185">
        <f t="shared" si="4"/>
        <v>1.6320507584557771</v>
      </c>
      <c r="L17" s="231">
        <f>SUM('Grants Need-Based'!Y16,'Grants Non Need-Based '!Y16)*1000000</f>
        <v>221632000</v>
      </c>
      <c r="M17" s="187">
        <f>SUM('Grants Non Need-Based '!AD16,'Grants Need-Based'!AD16)*1000000</f>
        <v>327270000</v>
      </c>
      <c r="N17" s="184">
        <f t="shared" si="5"/>
        <v>105638000</v>
      </c>
      <c r="O17" s="185">
        <f t="shared" si="6"/>
        <v>0.47663694773317933</v>
      </c>
      <c r="P17" s="195">
        <f t="shared" si="14"/>
        <v>71.188098540872971</v>
      </c>
      <c r="Q17" s="198">
        <f t="shared" si="24"/>
        <v>16</v>
      </c>
      <c r="R17" s="195">
        <f t="shared" si="15"/>
        <v>36.816838963267166</v>
      </c>
      <c r="S17" s="198">
        <f t="shared" si="25"/>
        <v>16</v>
      </c>
      <c r="T17" s="195">
        <f t="shared" si="16"/>
        <v>-34.371259577605805</v>
      </c>
      <c r="U17" s="198">
        <f t="shared" si="26"/>
        <v>38</v>
      </c>
      <c r="V17" s="155">
        <f>+'[1]Total Funding'!AO16</f>
        <v>402838404</v>
      </c>
      <c r="W17" s="245">
        <f>+'[1]Total Funding'!AY16</f>
        <v>925125593.59000051</v>
      </c>
      <c r="X17" s="184">
        <f t="shared" si="17"/>
        <v>522287189.59000051</v>
      </c>
      <c r="Y17" s="185">
        <f t="shared" si="18"/>
        <v>1.296517870202863</v>
      </c>
      <c r="Z17" s="231">
        <f>SUM('Grants Need-Based'!Z16,'Grants Non Need-Based '!Z16)*1000000</f>
        <v>286772999.99999994</v>
      </c>
      <c r="AA17" s="187">
        <f>SUM('Grants Non Need-Based '!AE16,'Grants Need-Based'!AE16)*1000000</f>
        <v>340602000</v>
      </c>
      <c r="AB17" s="184">
        <f t="shared" si="19"/>
        <v>53829000.00000006</v>
      </c>
      <c r="AC17" s="185">
        <f t="shared" si="20"/>
        <v>0.18770595558159264</v>
      </c>
    </row>
    <row r="18" spans="1:31">
      <c r="A18" s="152" t="s">
        <v>48</v>
      </c>
      <c r="B18" s="195">
        <f t="shared" si="0"/>
        <v>38.260390370634397</v>
      </c>
      <c r="C18" s="198">
        <f t="shared" si="21"/>
        <v>32</v>
      </c>
      <c r="D18" s="195">
        <f t="shared" si="1"/>
        <v>25.358620682022803</v>
      </c>
      <c r="E18" s="198">
        <f t="shared" si="22"/>
        <v>26</v>
      </c>
      <c r="F18" s="195">
        <f t="shared" si="2"/>
        <v>-12.901769688611594</v>
      </c>
      <c r="G18" s="198">
        <f t="shared" si="23"/>
        <v>19</v>
      </c>
      <c r="H18" s="155">
        <f>+'[1]Total Funding'!AM17</f>
        <v>172695572</v>
      </c>
      <c r="I18" s="154">
        <f>+'[1]Total Funding'!AW17</f>
        <v>365422083.3300001</v>
      </c>
      <c r="J18" s="184">
        <f t="shared" si="3"/>
        <v>192726511.3300001</v>
      </c>
      <c r="K18" s="185">
        <f t="shared" si="4"/>
        <v>1.1159898838054754</v>
      </c>
      <c r="L18" s="231">
        <f>SUM('Grants Need-Based'!Y17,'Grants Non Need-Based '!Y17)*1000000</f>
        <v>66074000</v>
      </c>
      <c r="M18" s="187">
        <f>SUM('Grants Non Need-Based '!AD17,'Grants Need-Based'!AD17)*1000000</f>
        <v>92666000</v>
      </c>
      <c r="N18" s="184">
        <f t="shared" si="5"/>
        <v>26592000</v>
      </c>
      <c r="O18" s="185">
        <f t="shared" si="6"/>
        <v>0.40245785028906983</v>
      </c>
      <c r="P18" s="195">
        <f t="shared" si="14"/>
        <v>42.068111503753229</v>
      </c>
      <c r="Q18" s="198">
        <f t="shared" si="24"/>
        <v>30</v>
      </c>
      <c r="R18" s="195">
        <f t="shared" si="15"/>
        <v>27.473625682460302</v>
      </c>
      <c r="S18" s="198">
        <f t="shared" si="25"/>
        <v>26</v>
      </c>
      <c r="T18" s="195">
        <f t="shared" si="16"/>
        <v>-14.594485821292928</v>
      </c>
      <c r="U18" s="198">
        <f t="shared" si="26"/>
        <v>21</v>
      </c>
      <c r="V18" s="155">
        <f>+'[1]Total Funding'!AO17</f>
        <v>180241036</v>
      </c>
      <c r="W18" s="245">
        <f>+'[1]Total Funding'!AY17</f>
        <v>343485789.20999998</v>
      </c>
      <c r="X18" s="184">
        <f t="shared" si="17"/>
        <v>163244753.20999998</v>
      </c>
      <c r="Y18" s="185">
        <f t="shared" si="18"/>
        <v>0.90570247948419458</v>
      </c>
      <c r="Z18" s="231">
        <f>SUM('Grants Need-Based'!Z17,'Grants Non Need-Based '!Z17)*1000000</f>
        <v>75824000</v>
      </c>
      <c r="AA18" s="187">
        <f>SUM('Grants Non Need-Based '!AE17,'Grants Need-Based'!AE17)*1000000</f>
        <v>94368000.000000015</v>
      </c>
      <c r="AB18" s="184">
        <f t="shared" si="19"/>
        <v>18544000.000000015</v>
      </c>
      <c r="AC18" s="185">
        <f t="shared" si="20"/>
        <v>0.24456636421185923</v>
      </c>
    </row>
    <row r="19" spans="1:31">
      <c r="A19" s="152" t="s">
        <v>49</v>
      </c>
      <c r="B19" s="195">
        <f t="shared" si="0"/>
        <v>152.23567192636008</v>
      </c>
      <c r="C19" s="198">
        <f t="shared" si="21"/>
        <v>1</v>
      </c>
      <c r="D19" s="195">
        <f t="shared" si="1"/>
        <v>71.540004671746928</v>
      </c>
      <c r="E19" s="198">
        <f t="shared" si="22"/>
        <v>1</v>
      </c>
      <c r="F19" s="195">
        <f t="shared" si="2"/>
        <v>-80.695667254613156</v>
      </c>
      <c r="G19" s="198">
        <f t="shared" si="23"/>
        <v>54</v>
      </c>
      <c r="H19" s="155">
        <f>+'[1]Total Funding'!AM18</f>
        <v>178170462</v>
      </c>
      <c r="I19" s="154">
        <f>+'[1]Total Funding'!AW18</f>
        <v>453899886.49000001</v>
      </c>
      <c r="J19" s="184">
        <f t="shared" si="3"/>
        <v>275729424.49000001</v>
      </c>
      <c r="K19" s="185">
        <f t="shared" si="4"/>
        <v>1.5475596874750204</v>
      </c>
      <c r="L19" s="231">
        <f>SUM('Grants Need-Based'!Y18,'Grants Non Need-Based '!Y18)*1000000</f>
        <v>271239000.00000006</v>
      </c>
      <c r="M19" s="187">
        <f>SUM('Grants Non Need-Based '!AD18,'Grants Need-Based'!AD18)*1000000</f>
        <v>324720000</v>
      </c>
      <c r="N19" s="184">
        <f t="shared" si="5"/>
        <v>53480999.99999994</v>
      </c>
      <c r="O19" s="185">
        <f t="shared" si="6"/>
        <v>0.197172972913187</v>
      </c>
      <c r="P19" s="195">
        <f t="shared" si="14"/>
        <v>145.31228111909712</v>
      </c>
      <c r="Q19" s="198">
        <f t="shared" si="24"/>
        <v>1</v>
      </c>
      <c r="R19" s="195">
        <f t="shared" si="15"/>
        <v>80.932499724150219</v>
      </c>
      <c r="S19" s="198">
        <f t="shared" si="25"/>
        <v>1</v>
      </c>
      <c r="T19" s="195">
        <f t="shared" si="16"/>
        <v>-64.379781394946903</v>
      </c>
      <c r="U19" s="198">
        <f t="shared" si="26"/>
        <v>54</v>
      </c>
      <c r="V19" s="155">
        <f>+'[1]Total Funding'!AO18</f>
        <v>203442543</v>
      </c>
      <c r="W19" s="245">
        <f>+'[1]Total Funding'!AY18</f>
        <v>436435302.50999999</v>
      </c>
      <c r="X19" s="184">
        <f t="shared" si="17"/>
        <v>232992759.50999999</v>
      </c>
      <c r="Y19" s="185">
        <f t="shared" si="18"/>
        <v>1.1452509198629117</v>
      </c>
      <c r="Z19" s="231">
        <f>SUM('Grants Need-Based'!Z18,'Grants Non Need-Based '!Z18)*1000000</f>
        <v>295627000</v>
      </c>
      <c r="AA19" s="187">
        <f>SUM('Grants Non Need-Based '!AE18,'Grants Need-Based'!AE18)*1000000</f>
        <v>353217999.99999994</v>
      </c>
      <c r="AB19" s="184">
        <f t="shared" si="19"/>
        <v>57590999.99999994</v>
      </c>
      <c r="AC19" s="185">
        <f t="shared" si="20"/>
        <v>0.19480967570621066</v>
      </c>
    </row>
    <row r="20" spans="1:31">
      <c r="A20" s="152" t="s">
        <v>50</v>
      </c>
      <c r="B20" s="195">
        <f t="shared" si="0"/>
        <v>90.024429013363189</v>
      </c>
      <c r="C20" s="198">
        <f t="shared" si="21"/>
        <v>11</v>
      </c>
      <c r="D20" s="195">
        <f t="shared" si="1"/>
        <v>58.463799879631274</v>
      </c>
      <c r="E20" s="198">
        <f t="shared" si="22"/>
        <v>3</v>
      </c>
      <c r="F20" s="195">
        <f t="shared" si="2"/>
        <v>-31.560629133731915</v>
      </c>
      <c r="G20" s="198">
        <f t="shared" si="23"/>
        <v>30</v>
      </c>
      <c r="H20" s="155">
        <f>+'[1]Total Funding'!AM19</f>
        <v>256915820</v>
      </c>
      <c r="I20" s="154">
        <f>+'[1]Total Funding'!AW19</f>
        <v>627463491.52000022</v>
      </c>
      <c r="J20" s="184">
        <f t="shared" si="3"/>
        <v>370547671.52000022</v>
      </c>
      <c r="K20" s="185">
        <f t="shared" si="4"/>
        <v>1.4422921543718104</v>
      </c>
      <c r="L20" s="231">
        <f>SUM('Grants Need-Based'!Y19,'Grants Non Need-Based '!Y19)*1000000</f>
        <v>231286999.99999997</v>
      </c>
      <c r="M20" s="187">
        <f>SUM('Grants Non Need-Based '!AD19,'Grants Need-Based'!AD19)*1000000</f>
        <v>366839000.00000006</v>
      </c>
      <c r="N20" s="184">
        <f t="shared" si="5"/>
        <v>135552000.00000009</v>
      </c>
      <c r="O20" s="185">
        <f t="shared" si="6"/>
        <v>0.58607703848465376</v>
      </c>
      <c r="P20" s="195">
        <f t="shared" si="14"/>
        <v>95.723245118222451</v>
      </c>
      <c r="Q20" s="198">
        <f t="shared" si="24"/>
        <v>5</v>
      </c>
      <c r="R20" s="195">
        <f t="shared" si="15"/>
        <v>62.392646735393399</v>
      </c>
      <c r="S20" s="198">
        <f t="shared" si="25"/>
        <v>3</v>
      </c>
      <c r="T20" s="195">
        <f t="shared" si="16"/>
        <v>-33.330598382829052</v>
      </c>
      <c r="U20" s="198">
        <f t="shared" si="26"/>
        <v>36</v>
      </c>
      <c r="V20" s="155">
        <f>+'[1]Total Funding'!AO19</f>
        <v>291778658</v>
      </c>
      <c r="W20" s="245">
        <f>+'[1]Total Funding'!AY19</f>
        <v>598814154.46999991</v>
      </c>
      <c r="X20" s="184">
        <f t="shared" si="17"/>
        <v>307035496.46999991</v>
      </c>
      <c r="Y20" s="185">
        <f t="shared" si="18"/>
        <v>1.0522890830144263</v>
      </c>
      <c r="Z20" s="231">
        <f>SUM('Grants Need-Based'!Z19,'Grants Non Need-Based '!Z19)*1000000</f>
        <v>279300000</v>
      </c>
      <c r="AA20" s="187">
        <f>SUM('Grants Non Need-Based '!AE19,'Grants Need-Based'!AE19)*1000000</f>
        <v>373616000</v>
      </c>
      <c r="AB20" s="184">
        <f t="shared" si="19"/>
        <v>94316000</v>
      </c>
      <c r="AC20" s="185">
        <f t="shared" si="20"/>
        <v>0.33768707482993199</v>
      </c>
    </row>
    <row r="21" spans="1:31">
      <c r="A21" s="152" t="s">
        <v>51</v>
      </c>
      <c r="B21" s="195">
        <f t="shared" si="0"/>
        <v>37.502503519538848</v>
      </c>
      <c r="C21" s="198">
        <f t="shared" si="21"/>
        <v>33</v>
      </c>
      <c r="D21" s="195">
        <f t="shared" si="1"/>
        <v>25.615102833317444</v>
      </c>
      <c r="E21" s="198">
        <f t="shared" si="22"/>
        <v>25</v>
      </c>
      <c r="F21" s="195">
        <f t="shared" si="2"/>
        <v>-11.887400686221405</v>
      </c>
      <c r="G21" s="198">
        <f t="shared" si="23"/>
        <v>17</v>
      </c>
      <c r="H21" s="155">
        <f>+'[1]Total Funding'!AM20</f>
        <v>999213292</v>
      </c>
      <c r="I21" s="154">
        <f>+'[1]Total Funding'!AW20</f>
        <v>2384440944.7600002</v>
      </c>
      <c r="J21" s="184">
        <f t="shared" si="3"/>
        <v>1385227652.7600002</v>
      </c>
      <c r="K21" s="185">
        <f t="shared" si="4"/>
        <v>1.38631828044177</v>
      </c>
      <c r="L21" s="231">
        <f>SUM('Grants Need-Based'!Y20,'Grants Non Need-Based '!Y20)*1000000</f>
        <v>374730000</v>
      </c>
      <c r="M21" s="187">
        <f>SUM('Grants Non Need-Based '!AD20,'Grants Need-Based'!AD20)*1000000</f>
        <v>610777000</v>
      </c>
      <c r="N21" s="184">
        <f t="shared" si="5"/>
        <v>236047000</v>
      </c>
      <c r="O21" s="185">
        <f t="shared" si="6"/>
        <v>0.62991220345315291</v>
      </c>
      <c r="P21" s="195">
        <f t="shared" si="14"/>
        <v>44.976421296122112</v>
      </c>
      <c r="Q21" s="198">
        <f t="shared" si="24"/>
        <v>29</v>
      </c>
      <c r="R21" s="195">
        <f t="shared" si="15"/>
        <v>28.273614897128663</v>
      </c>
      <c r="S21" s="198">
        <f t="shared" si="25"/>
        <v>25</v>
      </c>
      <c r="T21" s="195">
        <f t="shared" si="16"/>
        <v>-16.702806398993449</v>
      </c>
      <c r="U21" s="198">
        <f t="shared" si="26"/>
        <v>23</v>
      </c>
      <c r="V21" s="155">
        <f>+'[1]Total Funding'!AO20</f>
        <v>1077915908</v>
      </c>
      <c r="W21" s="245">
        <f>+'[1]Total Funding'!AY20</f>
        <v>2275191914.2299995</v>
      </c>
      <c r="X21" s="184">
        <f t="shared" si="17"/>
        <v>1197276006.2299995</v>
      </c>
      <c r="Y21" s="185">
        <f t="shared" si="18"/>
        <v>1.1107322912150579</v>
      </c>
      <c r="Z21" s="231">
        <f>SUM('Grants Need-Based'!Z20,'Grants Non Need-Based '!Z20)*1000000</f>
        <v>484808000</v>
      </c>
      <c r="AA21" s="187">
        <f>SUM('Grants Non Need-Based '!AE20,'Grants Need-Based'!AE20)*1000000</f>
        <v>643279000</v>
      </c>
      <c r="AB21" s="184">
        <f t="shared" si="19"/>
        <v>158471000</v>
      </c>
      <c r="AC21" s="185">
        <f t="shared" si="20"/>
        <v>0.32687373145657661</v>
      </c>
    </row>
    <row r="22" spans="1:31">
      <c r="A22" s="152" t="s">
        <v>52</v>
      </c>
      <c r="B22" s="195">
        <f t="shared" si="0"/>
        <v>65.011755424431399</v>
      </c>
      <c r="C22" s="198">
        <f t="shared" si="21"/>
        <v>20</v>
      </c>
      <c r="D22" s="195">
        <f t="shared" si="1"/>
        <v>28.746910898066673</v>
      </c>
      <c r="E22" s="198">
        <f t="shared" si="22"/>
        <v>20</v>
      </c>
      <c r="F22" s="195">
        <f t="shared" si="2"/>
        <v>-36.264844526364726</v>
      </c>
      <c r="G22" s="198">
        <f t="shared" si="23"/>
        <v>34</v>
      </c>
      <c r="H22" s="155">
        <f>+'[1]Total Funding'!AM21</f>
        <v>229644622</v>
      </c>
      <c r="I22" s="154">
        <f>+'[1]Total Funding'!AW21</f>
        <v>716327402.03000021</v>
      </c>
      <c r="J22" s="184">
        <f t="shared" si="3"/>
        <v>486682780.03000021</v>
      </c>
      <c r="K22" s="185">
        <f t="shared" si="4"/>
        <v>2.1192866429504291</v>
      </c>
      <c r="L22" s="231">
        <f>SUM('Grants Need-Based'!Y21,'Grants Non Need-Based '!Y21)*1000000</f>
        <v>149296000</v>
      </c>
      <c r="M22" s="187">
        <f>SUM('Grants Non Need-Based '!AD21,'Grants Need-Based'!AD21)*1000000</f>
        <v>205922000</v>
      </c>
      <c r="N22" s="184">
        <f t="shared" si="5"/>
        <v>56626000</v>
      </c>
      <c r="O22" s="185">
        <f t="shared" si="6"/>
        <v>0.37928678598220983</v>
      </c>
      <c r="P22" s="195">
        <f t="shared" si="14"/>
        <v>63.540758762999872</v>
      </c>
      <c r="Q22" s="198">
        <f t="shared" si="24"/>
        <v>20</v>
      </c>
      <c r="R22" s="195">
        <f t="shared" si="15"/>
        <v>31.212439649484264</v>
      </c>
      <c r="S22" s="198">
        <f t="shared" si="25"/>
        <v>20</v>
      </c>
      <c r="T22" s="195">
        <f t="shared" si="16"/>
        <v>-32.328319113515604</v>
      </c>
      <c r="U22" s="198">
        <f t="shared" si="26"/>
        <v>34</v>
      </c>
      <c r="V22" s="155">
        <f>+'[1]Total Funding'!AO21</f>
        <v>273545679</v>
      </c>
      <c r="W22" s="245">
        <f>+'[1]Total Funding'!AY21</f>
        <v>705814740.76999998</v>
      </c>
      <c r="X22" s="184">
        <f t="shared" si="17"/>
        <v>432269061.76999998</v>
      </c>
      <c r="Y22" s="185">
        <f t="shared" si="18"/>
        <v>1.5802445257049738</v>
      </c>
      <c r="Z22" s="231">
        <f>SUM('Grants Need-Based'!Z21,'Grants Non Need-Based '!Z21)*1000000</f>
        <v>173813000</v>
      </c>
      <c r="AA22" s="187">
        <f>SUM('Grants Non Need-Based '!AE21,'Grants Need-Based'!AE21)*1000000</f>
        <v>220302000.00000003</v>
      </c>
      <c r="AB22" s="184">
        <f t="shared" si="19"/>
        <v>46489000.00000003</v>
      </c>
      <c r="AC22" s="185">
        <f t="shared" si="20"/>
        <v>0.2674656095919179</v>
      </c>
    </row>
    <row r="23" spans="1:31">
      <c r="A23" s="157" t="s">
        <v>53</v>
      </c>
      <c r="B23" s="199">
        <f t="shared" si="0"/>
        <v>83.742015882854687</v>
      </c>
      <c r="C23" s="200">
        <f t="shared" si="21"/>
        <v>14</v>
      </c>
      <c r="D23" s="199">
        <f t="shared" si="1"/>
        <v>42.03323291377815</v>
      </c>
      <c r="E23" s="200">
        <f t="shared" si="22"/>
        <v>11</v>
      </c>
      <c r="F23" s="199">
        <f t="shared" si="2"/>
        <v>-41.708782969076537</v>
      </c>
      <c r="G23" s="200">
        <f t="shared" si="23"/>
        <v>39</v>
      </c>
      <c r="H23" s="158">
        <f>+'[1]Total Funding'!AM22</f>
        <v>93002299</v>
      </c>
      <c r="I23" s="159">
        <f>+'[1]Total Funding'!AW22</f>
        <v>247361415.69999999</v>
      </c>
      <c r="J23" s="188">
        <f t="shared" si="3"/>
        <v>154359116.69999999</v>
      </c>
      <c r="K23" s="189">
        <f t="shared" si="4"/>
        <v>1.6597344190383938</v>
      </c>
      <c r="L23" s="232">
        <f>SUM('Grants Need-Based'!Y22,'Grants Non Need-Based '!Y22)*1000000</f>
        <v>77882000</v>
      </c>
      <c r="M23" s="190">
        <f>SUM('Grants Non Need-Based '!AD22,'Grants Need-Based'!AD22)*1000000</f>
        <v>103973999.99999999</v>
      </c>
      <c r="N23" s="188">
        <f t="shared" si="5"/>
        <v>26091999.999999985</v>
      </c>
      <c r="O23" s="189">
        <f t="shared" si="6"/>
        <v>0.33501964510413168</v>
      </c>
      <c r="P23" s="199">
        <f t="shared" si="14"/>
        <v>78.452002972707774</v>
      </c>
      <c r="Q23" s="200">
        <f t="shared" si="24"/>
        <v>10</v>
      </c>
      <c r="R23" s="199">
        <f t="shared" si="15"/>
        <v>45.197792202545472</v>
      </c>
      <c r="S23" s="200">
        <f t="shared" si="25"/>
        <v>10</v>
      </c>
      <c r="T23" s="199">
        <f t="shared" si="16"/>
        <v>-33.254210770162302</v>
      </c>
      <c r="U23" s="254">
        <f t="shared" si="26"/>
        <v>35</v>
      </c>
      <c r="V23" s="158">
        <f>+'[1]Total Funding'!AO22</f>
        <v>105144543</v>
      </c>
      <c r="W23" s="246">
        <f>+'[1]Total Funding'!AY22</f>
        <v>234841116.84999999</v>
      </c>
      <c r="X23" s="188">
        <f t="shared" si="17"/>
        <v>129696573.84999999</v>
      </c>
      <c r="Y23" s="189">
        <f t="shared" si="18"/>
        <v>1.2335074189252027</v>
      </c>
      <c r="Z23" s="232">
        <f>SUM('Grants Need-Based'!Z22,'Grants Non Need-Based '!Z22)*1000000</f>
        <v>82488000</v>
      </c>
      <c r="AA23" s="252">
        <f>SUM('Grants Non Need-Based '!AE22,'Grants Need-Based'!AE22)*1000000</f>
        <v>106143000</v>
      </c>
      <c r="AB23" s="188">
        <f t="shared" si="19"/>
        <v>23655000</v>
      </c>
      <c r="AC23" s="189">
        <f t="shared" si="20"/>
        <v>0.28676898457957523</v>
      </c>
    </row>
    <row r="24" spans="1:31">
      <c r="A24" s="160" t="s">
        <v>54</v>
      </c>
      <c r="B24" s="205">
        <f t="shared" si="0"/>
        <v>41.449071057634171</v>
      </c>
      <c r="C24" s="207">
        <f t="shared" si="21"/>
        <v>31</v>
      </c>
      <c r="D24" s="195">
        <f t="shared" si="1"/>
        <v>25.16756288125201</v>
      </c>
      <c r="E24" s="207">
        <f t="shared" si="22"/>
        <v>27</v>
      </c>
      <c r="F24" s="195">
        <f t="shared" si="2"/>
        <v>-16.281508176382161</v>
      </c>
      <c r="G24" s="207">
        <f t="shared" si="23"/>
        <v>23</v>
      </c>
      <c r="H24" s="155">
        <f>+'[1]Total Funding'!AM23</f>
        <v>2873725843</v>
      </c>
      <c r="I24" s="154">
        <f>+'[1]Total Funding'!AW23</f>
        <v>8300648774.999999</v>
      </c>
      <c r="J24" s="184">
        <f t="shared" si="3"/>
        <v>5426922931.999999</v>
      </c>
      <c r="K24" s="185">
        <f t="shared" si="4"/>
        <v>1.8884623059013215</v>
      </c>
      <c r="L24" s="231">
        <f>SUM('Grants Need-Based'!Y23,'Grants Non Need-Based '!Y23)*1000000</f>
        <v>1191132666.6666667</v>
      </c>
      <c r="M24" s="187">
        <f>SUM('Grants Non Need-Based '!AD23,'Grants Need-Based'!AD23)*1000000</f>
        <v>2089070999.9999995</v>
      </c>
      <c r="N24" s="184">
        <f t="shared" si="5"/>
        <v>897938333.33333278</v>
      </c>
      <c r="O24" s="185">
        <f t="shared" si="6"/>
        <v>0.75385249557983691</v>
      </c>
      <c r="P24" s="205">
        <f t="shared" si="14"/>
        <v>37.615873664350943</v>
      </c>
      <c r="Q24" s="198">
        <f t="shared" si="24"/>
        <v>34</v>
      </c>
      <c r="R24" s="195">
        <f t="shared" si="15"/>
        <v>26.320617083363494</v>
      </c>
      <c r="S24" s="198">
        <f t="shared" si="25"/>
        <v>27</v>
      </c>
      <c r="T24" s="195">
        <f t="shared" si="16"/>
        <v>-11.295256580987449</v>
      </c>
      <c r="U24" s="198">
        <f t="shared" si="26"/>
        <v>18</v>
      </c>
      <c r="V24" s="155">
        <f>+'[1]Total Funding'!AO23</f>
        <v>3380766441</v>
      </c>
      <c r="W24" s="245">
        <f>+'[1]Total Funding'!AY23</f>
        <v>8231497738.5900021</v>
      </c>
      <c r="X24" s="184">
        <f t="shared" si="17"/>
        <v>4850731297.5900021</v>
      </c>
      <c r="Y24" s="185">
        <f t="shared" si="18"/>
        <v>1.4348022503900624</v>
      </c>
      <c r="Z24" s="231">
        <f>SUM('Grants Need-Based'!Z23,'Grants Non Need-Based '!Z23)*1000000</f>
        <v>1271704833.3333335</v>
      </c>
      <c r="AA24" s="187">
        <f>SUM('Grants Non Need-Based '!AE23,'Grants Need-Based'!AE23)*1000000</f>
        <v>2166581000</v>
      </c>
      <c r="AB24" s="184">
        <f t="shared" si="19"/>
        <v>894876166.66666651</v>
      </c>
      <c r="AC24" s="185">
        <f t="shared" si="20"/>
        <v>0.70368228791036258</v>
      </c>
    </row>
    <row r="25" spans="1:31">
      <c r="A25" s="160"/>
      <c r="B25" s="205"/>
      <c r="C25" s="207"/>
      <c r="D25" s="195"/>
      <c r="E25" s="207"/>
      <c r="F25" s="195"/>
      <c r="G25" s="207"/>
      <c r="H25" s="155"/>
      <c r="I25" s="154"/>
      <c r="J25" s="184"/>
      <c r="K25" s="185"/>
      <c r="L25" s="231"/>
      <c r="M25" s="187"/>
      <c r="N25" s="184"/>
      <c r="O25" s="185"/>
      <c r="P25" s="205"/>
      <c r="Q25" s="198"/>
      <c r="R25" s="195"/>
      <c r="S25" s="198"/>
      <c r="T25" s="195"/>
      <c r="U25" s="198"/>
      <c r="V25" s="155"/>
      <c r="W25" s="245"/>
      <c r="X25" s="184"/>
      <c r="Y25" s="185"/>
      <c r="Z25" s="231"/>
      <c r="AA25" s="187"/>
      <c r="AB25" s="184"/>
      <c r="AC25" s="185"/>
      <c r="AD25" s="156"/>
      <c r="AE25" s="156"/>
    </row>
    <row r="26" spans="1:31">
      <c r="A26" s="23" t="s">
        <v>55</v>
      </c>
      <c r="B26" s="204">
        <f t="shared" si="0"/>
        <v>5.4365392861740567</v>
      </c>
      <c r="C26" s="208">
        <f t="shared" si="21"/>
        <v>50</v>
      </c>
      <c r="D26" s="212">
        <f t="shared" si="1"/>
        <v>14.026064843137309</v>
      </c>
      <c r="E26" s="208">
        <f t="shared" si="22"/>
        <v>36</v>
      </c>
      <c r="F26" s="195">
        <f t="shared" si="2"/>
        <v>8.5895255569632525</v>
      </c>
      <c r="G26" s="208">
        <f t="shared" si="23"/>
        <v>3</v>
      </c>
      <c r="H26" s="155">
        <f>+'[1]Total Funding'!AM25</f>
        <v>10797310</v>
      </c>
      <c r="I26" s="154">
        <f>+'[1]Total Funding'!AW25</f>
        <v>41529823.690000005</v>
      </c>
      <c r="J26" s="184">
        <f t="shared" si="3"/>
        <v>30732513.690000005</v>
      </c>
      <c r="K26" s="185">
        <f t="shared" si="4"/>
        <v>2.84631206198581</v>
      </c>
      <c r="L26" s="231">
        <f>SUM('Grants Need-Based'!Y25,'Grants Non Need-Based '!Y25)*1000000</f>
        <v>587000</v>
      </c>
      <c r="M26" s="187">
        <f>SUM('Grants Non Need-Based '!AD25,'Grants Need-Based'!AD25)*1000000</f>
        <v>5825000</v>
      </c>
      <c r="N26" s="184">
        <f t="shared" si="5"/>
        <v>5238000</v>
      </c>
      <c r="O26" s="185">
        <f t="shared" si="6"/>
        <v>8.9233390119250426</v>
      </c>
      <c r="P26" s="204">
        <f t="shared" ref="P26:P39" si="27">(Z26/V26)*100</f>
        <v>5.5434830812896356</v>
      </c>
      <c r="Q26" s="198">
        <f t="shared" si="24"/>
        <v>51</v>
      </c>
      <c r="R26" s="212">
        <f t="shared" ref="R26:R39" si="28">(AA26/W26)*100</f>
        <v>23.860911750859813</v>
      </c>
      <c r="S26" s="198">
        <f t="shared" si="25"/>
        <v>28</v>
      </c>
      <c r="T26" s="195">
        <f t="shared" ref="T26:T39" si="29">+R26-P26</f>
        <v>18.317428669570177</v>
      </c>
      <c r="U26" s="198">
        <f t="shared" si="26"/>
        <v>3</v>
      </c>
      <c r="V26" s="155">
        <f>+'[1]Total Funding'!AO25</f>
        <v>12086264</v>
      </c>
      <c r="W26" s="245">
        <f>+'[1]Total Funding'!AY25</f>
        <v>40233165.019999996</v>
      </c>
      <c r="X26" s="184">
        <f t="shared" ref="X26:X39" si="30">+W26-V26</f>
        <v>28146901.019999996</v>
      </c>
      <c r="Y26" s="185">
        <f t="shared" ref="Y26:Y39" si="31">+X26/V26</f>
        <v>2.3288338745537907</v>
      </c>
      <c r="Z26" s="231">
        <f>SUM('Grants Need-Based'!Z25,'Grants Non Need-Based '!Z25)*1000000</f>
        <v>670000</v>
      </c>
      <c r="AA26" s="187">
        <f>SUM('Grants Non Need-Based '!AE25,'Grants Need-Based'!AE25)*1000000</f>
        <v>9600000</v>
      </c>
      <c r="AB26" s="184">
        <f t="shared" ref="AB26:AB39" si="32">+AA26-Z26</f>
        <v>8930000</v>
      </c>
      <c r="AC26" s="185">
        <f t="shared" ref="AC26:AC39" si="33">+AB26/Z26</f>
        <v>13.328358208955224</v>
      </c>
    </row>
    <row r="27" spans="1:31">
      <c r="A27" s="23" t="s">
        <v>56</v>
      </c>
      <c r="B27" s="204">
        <f t="shared" si="0"/>
        <v>2.5674496540121456</v>
      </c>
      <c r="C27" s="208">
        <f t="shared" si="21"/>
        <v>52</v>
      </c>
      <c r="D27" s="212">
        <f t="shared" si="1"/>
        <v>0.86067339012893507</v>
      </c>
      <c r="E27" s="208">
        <f t="shared" si="22"/>
        <v>52</v>
      </c>
      <c r="F27" s="195">
        <f t="shared" si="2"/>
        <v>-1.7067762638832105</v>
      </c>
      <c r="G27" s="208">
        <f t="shared" si="23"/>
        <v>8</v>
      </c>
      <c r="H27" s="155">
        <f>+'[1]Total Funding'!AM26</f>
        <v>515336298</v>
      </c>
      <c r="I27" s="154">
        <f>+'[1]Total Funding'!AW26</f>
        <v>1842510780.73</v>
      </c>
      <c r="J27" s="184">
        <f t="shared" si="3"/>
        <v>1327174482.73</v>
      </c>
      <c r="K27" s="185">
        <f t="shared" si="4"/>
        <v>2.5753561080030889</v>
      </c>
      <c r="L27" s="231">
        <f>SUM('Grants Need-Based'!Y26,'Grants Non Need-Based '!Y26)*1000000</f>
        <v>13231000</v>
      </c>
      <c r="M27" s="187">
        <f>SUM('Grants Non Need-Based '!AD26,'Grants Need-Based'!AD26)*1000000</f>
        <v>15858000</v>
      </c>
      <c r="N27" s="184">
        <f t="shared" si="5"/>
        <v>2627000</v>
      </c>
      <c r="O27" s="185">
        <f t="shared" si="6"/>
        <v>0.19854886251983977</v>
      </c>
      <c r="P27" s="204">
        <f t="shared" si="27"/>
        <v>1.7678581957844264</v>
      </c>
      <c r="Q27" s="198">
        <f t="shared" si="24"/>
        <v>52</v>
      </c>
      <c r="R27" s="212">
        <f t="shared" si="28"/>
        <v>1.2858434954573112</v>
      </c>
      <c r="S27" s="198">
        <f t="shared" si="25"/>
        <v>52</v>
      </c>
      <c r="T27" s="195">
        <f t="shared" si="29"/>
        <v>-0.48201470032711513</v>
      </c>
      <c r="U27" s="198">
        <f t="shared" si="26"/>
        <v>5</v>
      </c>
      <c r="V27" s="155">
        <f>+'[1]Total Funding'!AO26</f>
        <v>688912721</v>
      </c>
      <c r="W27" s="245">
        <f>+'[1]Total Funding'!AY26</f>
        <v>1666532519.3700001</v>
      </c>
      <c r="X27" s="184">
        <f t="shared" si="30"/>
        <v>977619798.37000012</v>
      </c>
      <c r="Y27" s="185">
        <f t="shared" si="31"/>
        <v>1.4190764208141253</v>
      </c>
      <c r="Z27" s="231">
        <f>SUM('Grants Need-Based'!Z26,'Grants Non Need-Based '!Z26)*1000000</f>
        <v>12179000</v>
      </c>
      <c r="AA27" s="187">
        <f>SUM('Grants Non Need-Based '!AE26,'Grants Need-Based'!AE26)*1000000</f>
        <v>21429000.000000004</v>
      </c>
      <c r="AB27" s="184">
        <f t="shared" si="32"/>
        <v>9250000.0000000037</v>
      </c>
      <c r="AC27" s="185">
        <f t="shared" si="33"/>
        <v>0.75950406437310158</v>
      </c>
    </row>
    <row r="28" spans="1:31">
      <c r="A28" s="23" t="s">
        <v>57</v>
      </c>
      <c r="B28" s="204">
        <f t="shared" si="0"/>
        <v>54.241251752692051</v>
      </c>
      <c r="C28" s="208">
        <f t="shared" si="21"/>
        <v>26</v>
      </c>
      <c r="D28" s="212">
        <f t="shared" si="1"/>
        <v>39.528869401729466</v>
      </c>
      <c r="E28" s="208">
        <f t="shared" si="22"/>
        <v>15</v>
      </c>
      <c r="F28" s="195">
        <f t="shared" si="2"/>
        <v>-14.712382350962585</v>
      </c>
      <c r="G28" s="208">
        <f t="shared" si="23"/>
        <v>21</v>
      </c>
      <c r="H28" s="155">
        <f>+'[1]Total Funding'!AM27</f>
        <v>1406693200</v>
      </c>
      <c r="I28" s="154">
        <f>+'[1]Total Funding'!AW27</f>
        <v>3775701209.2400002</v>
      </c>
      <c r="J28" s="184">
        <f t="shared" si="3"/>
        <v>2369008009.2400002</v>
      </c>
      <c r="K28" s="185">
        <f t="shared" si="4"/>
        <v>1.6840971501390638</v>
      </c>
      <c r="L28" s="231">
        <f>SUM('Grants Need-Based'!Y27,'Grants Non Need-Based '!Y27)*1000000</f>
        <v>763008000</v>
      </c>
      <c r="M28" s="187">
        <f>SUM('Grants Non Need-Based '!AD27,'Grants Need-Based'!AD27)*1000000</f>
        <v>1492492000</v>
      </c>
      <c r="N28" s="184">
        <f t="shared" si="5"/>
        <v>729484000</v>
      </c>
      <c r="O28" s="185">
        <f t="shared" si="6"/>
        <v>0.95606337023989263</v>
      </c>
      <c r="P28" s="204">
        <f t="shared" si="27"/>
        <v>50.009772630193126</v>
      </c>
      <c r="Q28" s="198">
        <f t="shared" si="24"/>
        <v>26</v>
      </c>
      <c r="R28" s="212">
        <f t="shared" si="28"/>
        <v>38.547697719548239</v>
      </c>
      <c r="S28" s="198">
        <f t="shared" si="25"/>
        <v>15</v>
      </c>
      <c r="T28" s="195">
        <f t="shared" si="29"/>
        <v>-11.462074910644887</v>
      </c>
      <c r="U28" s="198">
        <f t="shared" si="26"/>
        <v>20</v>
      </c>
      <c r="V28" s="155">
        <f>+'[1]Total Funding'!AO27</f>
        <v>1626430110</v>
      </c>
      <c r="W28" s="245">
        <f>+'[1]Total Funding'!AY27</f>
        <v>3941145878.6800003</v>
      </c>
      <c r="X28" s="184">
        <f t="shared" si="30"/>
        <v>2314715768.6800003</v>
      </c>
      <c r="Y28" s="185">
        <f t="shared" si="31"/>
        <v>1.4231879712802418</v>
      </c>
      <c r="Z28" s="231">
        <f>SUM('Grants Need-Based'!Z27,'Grants Non Need-Based '!Z27)*1000000</f>
        <v>813374000</v>
      </c>
      <c r="AA28" s="187">
        <f>SUM('Grants Non Need-Based '!AE27,'Grants Need-Based'!AE27)*1000000</f>
        <v>1519221000</v>
      </c>
      <c r="AB28" s="184">
        <f t="shared" si="32"/>
        <v>705847000</v>
      </c>
      <c r="AC28" s="185">
        <f t="shared" si="33"/>
        <v>0.86780128206704421</v>
      </c>
    </row>
    <row r="29" spans="1:31">
      <c r="A29" s="23" t="s">
        <v>58</v>
      </c>
      <c r="B29" s="204">
        <f t="shared" si="0"/>
        <v>36.518756874601721</v>
      </c>
      <c r="C29" s="208">
        <f t="shared" si="21"/>
        <v>34</v>
      </c>
      <c r="D29" s="212">
        <f t="shared" si="1"/>
        <v>13.285314957506589</v>
      </c>
      <c r="E29" s="208">
        <f t="shared" si="22"/>
        <v>37</v>
      </c>
      <c r="F29" s="195">
        <f t="shared" si="2"/>
        <v>-23.233441917095131</v>
      </c>
      <c r="G29" s="208">
        <f t="shared" si="23"/>
        <v>26</v>
      </c>
      <c r="H29" s="155">
        <f>+'[1]Total Funding'!AM28</f>
        <v>184288858</v>
      </c>
      <c r="I29" s="154">
        <f>+'[1]Total Funding'!AW28</f>
        <v>522870554.60999995</v>
      </c>
      <c r="J29" s="184">
        <f t="shared" si="3"/>
        <v>338581696.60999995</v>
      </c>
      <c r="K29" s="185">
        <f t="shared" si="4"/>
        <v>1.8372336791516715</v>
      </c>
      <c r="L29" s="231">
        <f>SUM('Grants Need-Based'!Y28,'Grants Non Need-Based '!Y28)*1000000</f>
        <v>67300000</v>
      </c>
      <c r="M29" s="187">
        <f>SUM('Grants Non Need-Based '!AD28,'Grants Need-Based'!AD28)*1000000</f>
        <v>69464999.999999985</v>
      </c>
      <c r="N29" s="184">
        <f t="shared" si="5"/>
        <v>2164999.9999999851</v>
      </c>
      <c r="O29" s="185">
        <f t="shared" si="6"/>
        <v>3.2169390787518355E-2</v>
      </c>
      <c r="P29" s="204">
        <f t="shared" si="27"/>
        <v>34.635411861961479</v>
      </c>
      <c r="Q29" s="198">
        <f t="shared" si="24"/>
        <v>36</v>
      </c>
      <c r="R29" s="212">
        <f t="shared" si="28"/>
        <v>14.29074137895128</v>
      </c>
      <c r="S29" s="198">
        <f t="shared" si="25"/>
        <v>37</v>
      </c>
      <c r="T29" s="195">
        <f t="shared" si="29"/>
        <v>-20.344670483010198</v>
      </c>
      <c r="U29" s="198">
        <f t="shared" si="26"/>
        <v>25</v>
      </c>
      <c r="V29" s="155">
        <f>+'[1]Total Funding'!AO28</f>
        <v>217289173</v>
      </c>
      <c r="W29" s="245">
        <f>+'[1]Total Funding'!AY28</f>
        <v>488833981.02000004</v>
      </c>
      <c r="X29" s="184">
        <f t="shared" si="30"/>
        <v>271544808.02000004</v>
      </c>
      <c r="Y29" s="185">
        <f t="shared" si="31"/>
        <v>1.2496932280192352</v>
      </c>
      <c r="Z29" s="231">
        <f>SUM('Grants Need-Based'!Z28,'Grants Non Need-Based '!Z28)*1000000</f>
        <v>75259000</v>
      </c>
      <c r="AA29" s="187">
        <f>SUM('Grants Non Need-Based '!AE28,'Grants Need-Based'!AE28)*1000000</f>
        <v>69857999.999999985</v>
      </c>
      <c r="AB29" s="184">
        <f t="shared" si="32"/>
        <v>-5401000.0000000149</v>
      </c>
      <c r="AC29" s="185">
        <f t="shared" si="33"/>
        <v>-7.1765503129194053E-2</v>
      </c>
    </row>
    <row r="30" spans="1:31">
      <c r="A30" s="23" t="s">
        <v>59</v>
      </c>
      <c r="B30" s="204">
        <f t="shared" si="0"/>
        <v>1.5362217364381177</v>
      </c>
      <c r="C30" s="208">
        <f t="shared" si="21"/>
        <v>53</v>
      </c>
      <c r="D30" s="212">
        <f t="shared" si="1"/>
        <v>4.6011331055421092</v>
      </c>
      <c r="E30" s="208">
        <f t="shared" si="22"/>
        <v>47</v>
      </c>
      <c r="F30" s="195">
        <f t="shared" si="2"/>
        <v>3.0649113691039913</v>
      </c>
      <c r="G30" s="208">
        <f t="shared" si="23"/>
        <v>4</v>
      </c>
      <c r="H30" s="155">
        <f>+'[1]Total Funding'!AM29</f>
        <v>26558666</v>
      </c>
      <c r="I30" s="154">
        <f>+'[1]Total Funding'!AW29</f>
        <v>82023273.689999983</v>
      </c>
      <c r="J30" s="184">
        <f t="shared" si="3"/>
        <v>55464607.689999983</v>
      </c>
      <c r="K30" s="185">
        <f t="shared" si="4"/>
        <v>2.0883807827546752</v>
      </c>
      <c r="L30" s="231">
        <f>SUM('Grants Need-Based'!Y29,'Grants Non Need-Based '!Y29)*1000000</f>
        <v>408000</v>
      </c>
      <c r="M30" s="187">
        <f>SUM('Grants Non Need-Based '!AD29,'Grants Need-Based'!AD29)*1000000</f>
        <v>3774000</v>
      </c>
      <c r="N30" s="184">
        <f t="shared" si="5"/>
        <v>3366000</v>
      </c>
      <c r="O30" s="185">
        <f t="shared" si="6"/>
        <v>8.25</v>
      </c>
      <c r="P30" s="204">
        <f t="shared" si="27"/>
        <v>1.3452356796859324</v>
      </c>
      <c r="Q30" s="198">
        <f t="shared" si="24"/>
        <v>53</v>
      </c>
      <c r="R30" s="212">
        <f t="shared" si="28"/>
        <v>3.8513960619443735</v>
      </c>
      <c r="S30" s="198">
        <f t="shared" si="25"/>
        <v>48</v>
      </c>
      <c r="T30" s="195">
        <f t="shared" si="29"/>
        <v>2.5061603822584413</v>
      </c>
      <c r="U30" s="198">
        <f t="shared" si="26"/>
        <v>4</v>
      </c>
      <c r="V30" s="155">
        <f>+'[1]Total Funding'!AO29</f>
        <v>30329258</v>
      </c>
      <c r="W30" s="245">
        <f>+'[1]Total Funding'!AY29</f>
        <v>83735870.010000005</v>
      </c>
      <c r="X30" s="184">
        <f t="shared" si="30"/>
        <v>53406612.010000005</v>
      </c>
      <c r="Y30" s="185">
        <f t="shared" si="31"/>
        <v>1.7608941178185107</v>
      </c>
      <c r="Z30" s="231">
        <f>SUM('Grants Need-Based'!Z29,'Grants Non Need-Based '!Z29)*1000000</f>
        <v>408000</v>
      </c>
      <c r="AA30" s="187">
        <f>SUM('Grants Non Need-Based '!AE29,'Grants Need-Based'!AE29)*1000000</f>
        <v>3224999.9999999995</v>
      </c>
      <c r="AB30" s="184">
        <f t="shared" si="32"/>
        <v>2816999.9999999995</v>
      </c>
      <c r="AC30" s="185">
        <f t="shared" si="33"/>
        <v>6.9044117647058814</v>
      </c>
    </row>
    <row r="31" spans="1:31">
      <c r="A31" s="23" t="s">
        <v>60</v>
      </c>
      <c r="B31" s="204">
        <f t="shared" si="0"/>
        <v>7.6909365963734686</v>
      </c>
      <c r="C31" s="208">
        <f t="shared" si="21"/>
        <v>46</v>
      </c>
      <c r="D31" s="212">
        <f t="shared" si="1"/>
        <v>3.237931530560799</v>
      </c>
      <c r="E31" s="208">
        <f t="shared" si="22"/>
        <v>49</v>
      </c>
      <c r="F31" s="195">
        <f t="shared" si="2"/>
        <v>-4.4530050658126701</v>
      </c>
      <c r="G31" s="208">
        <f t="shared" si="23"/>
        <v>10</v>
      </c>
      <c r="H31" s="155">
        <f>+'[1]Total Funding'!AM30</f>
        <v>74763326</v>
      </c>
      <c r="I31" s="154">
        <f>+'[1]Total Funding'!AW30</f>
        <v>194167169.40000001</v>
      </c>
      <c r="J31" s="184">
        <f t="shared" si="3"/>
        <v>119403843.40000001</v>
      </c>
      <c r="K31" s="185">
        <f t="shared" si="4"/>
        <v>1.5970911112220985</v>
      </c>
      <c r="L31" s="231">
        <f>SUM('Grants Need-Based'!Y30,'Grants Non Need-Based '!Y30)*1000000</f>
        <v>5750000</v>
      </c>
      <c r="M31" s="187">
        <f>SUM('Grants Non Need-Based '!AD30,'Grants Need-Based'!AD30)*1000000</f>
        <v>6287000</v>
      </c>
      <c r="N31" s="184">
        <f t="shared" si="5"/>
        <v>537000</v>
      </c>
      <c r="O31" s="185">
        <f t="shared" si="6"/>
        <v>9.3391304347826082E-2</v>
      </c>
      <c r="P31" s="204">
        <f t="shared" si="27"/>
        <v>7.6538954963118151</v>
      </c>
      <c r="Q31" s="198">
        <f t="shared" si="24"/>
        <v>47</v>
      </c>
      <c r="R31" s="212">
        <f t="shared" si="28"/>
        <v>2.7496417787024017</v>
      </c>
      <c r="S31" s="198">
        <f t="shared" si="25"/>
        <v>49</v>
      </c>
      <c r="T31" s="195">
        <f t="shared" si="29"/>
        <v>-4.9042537176094134</v>
      </c>
      <c r="U31" s="198">
        <f t="shared" si="26"/>
        <v>9</v>
      </c>
      <c r="V31" s="155">
        <f>+'[1]Total Funding'!AO30</f>
        <v>81278873</v>
      </c>
      <c r="W31" s="245">
        <f>+'[1]Total Funding'!AY30</f>
        <v>193770695.56</v>
      </c>
      <c r="X31" s="184">
        <f t="shared" si="30"/>
        <v>112491822.56</v>
      </c>
      <c r="Y31" s="185">
        <f t="shared" si="31"/>
        <v>1.3840229128177011</v>
      </c>
      <c r="Z31" s="231">
        <f>SUM('Grants Need-Based'!Z30,'Grants Non Need-Based '!Z30)*1000000</f>
        <v>6221000</v>
      </c>
      <c r="AA31" s="187">
        <f>SUM('Grants Non Need-Based '!AE30,'Grants Need-Based'!AE30)*1000000</f>
        <v>5328000</v>
      </c>
      <c r="AB31" s="184">
        <f t="shared" si="32"/>
        <v>-893000</v>
      </c>
      <c r="AC31" s="185">
        <f t="shared" si="33"/>
        <v>-0.14354605368911749</v>
      </c>
    </row>
    <row r="32" spans="1:31">
      <c r="A32" s="23" t="s">
        <v>61</v>
      </c>
      <c r="B32" s="204">
        <f t="shared" si="0"/>
        <v>12.243889283623409</v>
      </c>
      <c r="C32" s="208">
        <f t="shared" si="21"/>
        <v>44</v>
      </c>
      <c r="D32" s="212">
        <f t="shared" si="1"/>
        <v>7.4295372796557402</v>
      </c>
      <c r="E32" s="208">
        <f t="shared" si="22"/>
        <v>44</v>
      </c>
      <c r="F32" s="195">
        <f t="shared" si="2"/>
        <v>-4.8143520039676684</v>
      </c>
      <c r="G32" s="208">
        <f t="shared" si="23"/>
        <v>11</v>
      </c>
      <c r="H32" s="155">
        <f>+'[1]Total Funding'!AM31</f>
        <v>40188755</v>
      </c>
      <c r="I32" s="154">
        <f>+'[1]Total Funding'!AW31</f>
        <v>86950233.329999998</v>
      </c>
      <c r="J32" s="184">
        <f t="shared" si="3"/>
        <v>46761478.329999998</v>
      </c>
      <c r="K32" s="185">
        <f t="shared" si="4"/>
        <v>1.163546328568775</v>
      </c>
      <c r="L32" s="231">
        <f>SUM('Grants Need-Based'!Y31,'Grants Non Need-Based '!Y31)*1000000</f>
        <v>4920666.666666667</v>
      </c>
      <c r="M32" s="187">
        <f>SUM('Grants Non Need-Based '!AD31,'Grants Need-Based'!AD31)*1000000</f>
        <v>6460000</v>
      </c>
      <c r="N32" s="184">
        <f t="shared" si="5"/>
        <v>1539333.333333333</v>
      </c>
      <c r="O32" s="185">
        <f t="shared" si="6"/>
        <v>0.31283023980490438</v>
      </c>
      <c r="P32" s="204">
        <f t="shared" si="27"/>
        <v>11.706010688196921</v>
      </c>
      <c r="Q32" s="198">
        <f t="shared" si="24"/>
        <v>43</v>
      </c>
      <c r="R32" s="212">
        <f t="shared" si="28"/>
        <v>6.7690662734386065</v>
      </c>
      <c r="S32" s="198">
        <f t="shared" si="25"/>
        <v>44</v>
      </c>
      <c r="T32" s="195">
        <f t="shared" si="29"/>
        <v>-4.9369444147583144</v>
      </c>
      <c r="U32" s="198">
        <f t="shared" si="26"/>
        <v>10</v>
      </c>
      <c r="V32" s="155">
        <f>+'[1]Total Funding'!AO31</f>
        <v>41942840</v>
      </c>
      <c r="W32" s="245">
        <f>+'[1]Total Funding'!AY31</f>
        <v>81429251.499999985</v>
      </c>
      <c r="X32" s="184">
        <f t="shared" si="30"/>
        <v>39486411.499999985</v>
      </c>
      <c r="Y32" s="185">
        <f t="shared" si="31"/>
        <v>0.94143390147162154</v>
      </c>
      <c r="Z32" s="231">
        <f>SUM('Grants Need-Based'!Z31,'Grants Non Need-Based '!Z31)*1000000</f>
        <v>4909833.333333333</v>
      </c>
      <c r="AA32" s="187">
        <f>SUM('Grants Non Need-Based '!AE31,'Grants Need-Based'!AE31)*1000000</f>
        <v>5512000</v>
      </c>
      <c r="AB32" s="184">
        <f t="shared" si="32"/>
        <v>602166.66666666698</v>
      </c>
      <c r="AC32" s="185">
        <f t="shared" si="33"/>
        <v>0.12264503207848203</v>
      </c>
    </row>
    <row r="33" spans="1:29">
      <c r="A33" s="23" t="s">
        <v>62</v>
      </c>
      <c r="B33" s="204">
        <f t="shared" si="0"/>
        <v>107.48032999829702</v>
      </c>
      <c r="C33" s="208">
        <f t="shared" si="21"/>
        <v>4</v>
      </c>
      <c r="D33" s="212">
        <f t="shared" si="1"/>
        <v>36.742966759749919</v>
      </c>
      <c r="E33" s="208">
        <f t="shared" si="22"/>
        <v>16</v>
      </c>
      <c r="F33" s="195">
        <f t="shared" si="2"/>
        <v>-70.737363238547104</v>
      </c>
      <c r="G33" s="208">
        <f t="shared" si="23"/>
        <v>52</v>
      </c>
      <c r="H33" s="155">
        <f>+'[1]Total Funding'!AM32</f>
        <v>35684669</v>
      </c>
      <c r="I33" s="154">
        <f>+'[1]Total Funding'!AW32</f>
        <v>137678049.59999999</v>
      </c>
      <c r="J33" s="184">
        <f t="shared" si="3"/>
        <v>101993380.59999999</v>
      </c>
      <c r="K33" s="185">
        <f t="shared" si="4"/>
        <v>2.8581848580408575</v>
      </c>
      <c r="L33" s="231">
        <f>SUM('Grants Need-Based'!Y32,'Grants Non Need-Based '!Y32)*1000000</f>
        <v>38354000</v>
      </c>
      <c r="M33" s="187">
        <f>SUM('Grants Non Need-Based '!AD32,'Grants Need-Based'!AD32)*1000000</f>
        <v>50587000</v>
      </c>
      <c r="N33" s="184">
        <f t="shared" si="5"/>
        <v>12233000</v>
      </c>
      <c r="O33" s="185">
        <f t="shared" si="6"/>
        <v>0.31894978359493142</v>
      </c>
      <c r="P33" s="204">
        <f t="shared" si="27"/>
        <v>93.077955917651778</v>
      </c>
      <c r="Q33" s="198">
        <f t="shared" si="24"/>
        <v>6</v>
      </c>
      <c r="R33" s="212">
        <f t="shared" si="28"/>
        <v>39.336963689828345</v>
      </c>
      <c r="S33" s="198">
        <f t="shared" si="25"/>
        <v>14</v>
      </c>
      <c r="T33" s="195">
        <f t="shared" si="29"/>
        <v>-53.740992227823433</v>
      </c>
      <c r="U33" s="198">
        <f t="shared" si="26"/>
        <v>51</v>
      </c>
      <c r="V33" s="155">
        <f>+'[1]Total Funding'!AO32</f>
        <v>42018542</v>
      </c>
      <c r="W33" s="245">
        <f>+'[1]Total Funding'!AY32</f>
        <v>133721556.18000001</v>
      </c>
      <c r="X33" s="184">
        <f t="shared" si="30"/>
        <v>91703014.180000007</v>
      </c>
      <c r="Y33" s="185">
        <f t="shared" si="31"/>
        <v>2.1824416035187513</v>
      </c>
      <c r="Z33" s="231">
        <f>SUM('Grants Need-Based'!Z32,'Grants Non Need-Based '!Z32)*1000000</f>
        <v>39110000</v>
      </c>
      <c r="AA33" s="187">
        <f>SUM('Grants Non Need-Based '!AE32,'Grants Need-Based'!AE32)*1000000</f>
        <v>52602000.000000007</v>
      </c>
      <c r="AB33" s="184">
        <f t="shared" si="32"/>
        <v>13492000.000000007</v>
      </c>
      <c r="AC33" s="185">
        <f t="shared" si="33"/>
        <v>0.34497570953720297</v>
      </c>
    </row>
    <row r="34" spans="1:29">
      <c r="A34" s="23" t="s">
        <v>63</v>
      </c>
      <c r="B34" s="204">
        <f t="shared" si="0"/>
        <v>73.455642740519735</v>
      </c>
      <c r="C34" s="208">
        <f t="shared" si="21"/>
        <v>16</v>
      </c>
      <c r="D34" s="212">
        <f t="shared" si="1"/>
        <v>39.799313055698384</v>
      </c>
      <c r="E34" s="208">
        <f t="shared" si="22"/>
        <v>14</v>
      </c>
      <c r="F34" s="195">
        <f t="shared" si="2"/>
        <v>-33.656329684821351</v>
      </c>
      <c r="G34" s="208">
        <f t="shared" si="23"/>
        <v>32</v>
      </c>
      <c r="H34" s="155">
        <f>+'[1]Total Funding'!AM33</f>
        <v>96002155</v>
      </c>
      <c r="I34" s="154">
        <f>+'[1]Total Funding'!AW33</f>
        <v>232647231.55000001</v>
      </c>
      <c r="J34" s="184">
        <f t="shared" si="3"/>
        <v>136645076.55000001</v>
      </c>
      <c r="K34" s="185">
        <f t="shared" si="4"/>
        <v>1.4233542627246234</v>
      </c>
      <c r="L34" s="231">
        <f>SUM('Grants Need-Based'!Y33,'Grants Non Need-Based '!Y33)*1000000</f>
        <v>70519000</v>
      </c>
      <c r="M34" s="187">
        <f>SUM('Grants Non Need-Based '!AD33,'Grants Need-Based'!AD33)*1000000</f>
        <v>92592000</v>
      </c>
      <c r="N34" s="184">
        <f t="shared" si="5"/>
        <v>22073000</v>
      </c>
      <c r="O34" s="185">
        <f t="shared" si="6"/>
        <v>0.31300784185822261</v>
      </c>
      <c r="P34" s="204">
        <f t="shared" si="27"/>
        <v>64.799084788093381</v>
      </c>
      <c r="Q34" s="198">
        <f t="shared" si="24"/>
        <v>19</v>
      </c>
      <c r="R34" s="212">
        <f t="shared" si="28"/>
        <v>32.877016629586784</v>
      </c>
      <c r="S34" s="198">
        <f t="shared" si="25"/>
        <v>18</v>
      </c>
      <c r="T34" s="195">
        <f t="shared" si="29"/>
        <v>-31.922068158506598</v>
      </c>
      <c r="U34" s="198">
        <f t="shared" si="26"/>
        <v>33</v>
      </c>
      <c r="V34" s="155">
        <f>+'[1]Total Funding'!AO33</f>
        <v>104601786</v>
      </c>
      <c r="W34" s="245">
        <f>+'[1]Total Funding'!AY33</f>
        <v>222425899.59999996</v>
      </c>
      <c r="X34" s="184">
        <f t="shared" si="30"/>
        <v>117824113.59999996</v>
      </c>
      <c r="Y34" s="185">
        <f t="shared" si="31"/>
        <v>1.1264063273259977</v>
      </c>
      <c r="Z34" s="231">
        <f>SUM('Grants Need-Based'!Z33,'Grants Non Need-Based '!Z33)*1000000</f>
        <v>67781000</v>
      </c>
      <c r="AA34" s="187">
        <f>SUM('Grants Non Need-Based '!AE33,'Grants Need-Based'!AE33)*1000000</f>
        <v>73127000</v>
      </c>
      <c r="AB34" s="184">
        <f t="shared" si="32"/>
        <v>5346000</v>
      </c>
      <c r="AC34" s="185">
        <f t="shared" si="33"/>
        <v>7.8871660199760996E-2</v>
      </c>
    </row>
    <row r="35" spans="1:29">
      <c r="A35" s="23" t="s">
        <v>64</v>
      </c>
      <c r="B35" s="204">
        <f t="shared" si="0"/>
        <v>23.442188191861607</v>
      </c>
      <c r="C35" s="208">
        <f t="shared" si="21"/>
        <v>39</v>
      </c>
      <c r="D35" s="212">
        <f t="shared" si="1"/>
        <v>10.118996307123226</v>
      </c>
      <c r="E35" s="208">
        <f t="shared" si="22"/>
        <v>39</v>
      </c>
      <c r="F35" s="195">
        <f t="shared" si="2"/>
        <v>-13.323191884738382</v>
      </c>
      <c r="G35" s="208">
        <f t="shared" si="23"/>
        <v>20</v>
      </c>
      <c r="H35" s="155">
        <f>+'[1]Total Funding'!AM34</f>
        <v>142405648</v>
      </c>
      <c r="I35" s="154">
        <f>+'[1]Total Funding'!AW34</f>
        <v>432374898.38</v>
      </c>
      <c r="J35" s="184">
        <f t="shared" si="3"/>
        <v>289969250.38</v>
      </c>
      <c r="K35" s="185">
        <f t="shared" si="4"/>
        <v>2.0362201531501052</v>
      </c>
      <c r="L35" s="231">
        <f>SUM('Grants Need-Based'!Y34,'Grants Non Need-Based '!Y34)*1000000</f>
        <v>33383000.000000004</v>
      </c>
      <c r="M35" s="187">
        <f>SUM('Grants Non Need-Based '!AD34,'Grants Need-Based'!AD34)*1000000</f>
        <v>43752000</v>
      </c>
      <c r="N35" s="184">
        <f t="shared" si="5"/>
        <v>10368999.999999996</v>
      </c>
      <c r="O35" s="185">
        <f t="shared" si="6"/>
        <v>0.31060719527903408</v>
      </c>
      <c r="P35" s="204">
        <f t="shared" si="27"/>
        <v>21.579262512889503</v>
      </c>
      <c r="Q35" s="198">
        <f t="shared" si="24"/>
        <v>39</v>
      </c>
      <c r="R35" s="212">
        <f t="shared" si="28"/>
        <v>12.294192864415095</v>
      </c>
      <c r="S35" s="198">
        <f t="shared" si="25"/>
        <v>38</v>
      </c>
      <c r="T35" s="195">
        <f t="shared" si="29"/>
        <v>-9.2850696484744084</v>
      </c>
      <c r="U35" s="198">
        <f t="shared" si="26"/>
        <v>17</v>
      </c>
      <c r="V35" s="155">
        <f>+'[1]Total Funding'!AO34</f>
        <v>162354946</v>
      </c>
      <c r="W35" s="245">
        <f>+'[1]Total Funding'!AY34</f>
        <v>424045730.98000002</v>
      </c>
      <c r="X35" s="184">
        <f t="shared" si="30"/>
        <v>261690784.98000002</v>
      </c>
      <c r="Y35" s="185">
        <f t="shared" si="31"/>
        <v>1.6118436267411282</v>
      </c>
      <c r="Z35" s="231">
        <f>SUM('Grants Need-Based'!Z34,'Grants Non Need-Based '!Z34)*1000000</f>
        <v>35035000</v>
      </c>
      <c r="AA35" s="187">
        <f>SUM('Grants Non Need-Based '!AE34,'Grants Need-Based'!AE34)*1000000</f>
        <v>52132999.999999993</v>
      </c>
      <c r="AB35" s="184">
        <f t="shared" si="32"/>
        <v>17097999.999999993</v>
      </c>
      <c r="AC35" s="185">
        <f t="shared" si="33"/>
        <v>0.48802625945483069</v>
      </c>
    </row>
    <row r="36" spans="1:29">
      <c r="A36" s="23" t="s">
        <v>65</v>
      </c>
      <c r="B36" s="204">
        <f t="shared" si="0"/>
        <v>6.3464366084630903</v>
      </c>
      <c r="C36" s="208">
        <f t="shared" si="21"/>
        <v>48</v>
      </c>
      <c r="D36" s="212">
        <f t="shared" si="1"/>
        <v>2.0963688223476526</v>
      </c>
      <c r="E36" s="208">
        <f t="shared" si="22"/>
        <v>51</v>
      </c>
      <c r="F36" s="195">
        <f t="shared" si="2"/>
        <v>-4.2500677861154372</v>
      </c>
      <c r="G36" s="208">
        <f t="shared" si="23"/>
        <v>9</v>
      </c>
      <c r="H36" s="155">
        <f>+'[1]Total Funding'!AM35</f>
        <v>134973380</v>
      </c>
      <c r="I36" s="154">
        <f>+'[1]Total Funding'!AW35</f>
        <v>414383189.99000001</v>
      </c>
      <c r="J36" s="184">
        <f t="shared" si="3"/>
        <v>279409809.99000001</v>
      </c>
      <c r="K36" s="185">
        <f t="shared" si="4"/>
        <v>2.0701104913428114</v>
      </c>
      <c r="L36" s="231">
        <f>SUM('Grants Need-Based'!Y35,'Grants Non Need-Based '!Y35)*1000000</f>
        <v>8566000</v>
      </c>
      <c r="M36" s="187">
        <f>SUM('Grants Non Need-Based '!AD35,'Grants Need-Based'!AD35)*1000000</f>
        <v>8687000</v>
      </c>
      <c r="N36" s="184">
        <f t="shared" si="5"/>
        <v>121000</v>
      </c>
      <c r="O36" s="185">
        <f t="shared" si="6"/>
        <v>1.4125612888162503E-2</v>
      </c>
      <c r="P36" s="204">
        <f t="shared" si="27"/>
        <v>7.5170924321838708</v>
      </c>
      <c r="Q36" s="198">
        <f t="shared" si="24"/>
        <v>48</v>
      </c>
      <c r="R36" s="212">
        <f t="shared" si="28"/>
        <v>2.1038799744166914</v>
      </c>
      <c r="S36" s="198">
        <f t="shared" si="25"/>
        <v>50</v>
      </c>
      <c r="T36" s="195">
        <f t="shared" si="29"/>
        <v>-5.4132124577671794</v>
      </c>
      <c r="U36" s="198">
        <f t="shared" si="26"/>
        <v>11</v>
      </c>
      <c r="V36" s="155">
        <f>+'[1]Total Funding'!AO35</f>
        <v>142408785</v>
      </c>
      <c r="W36" s="245">
        <f>+'[1]Total Funding'!AY35</f>
        <v>421459403.94999993</v>
      </c>
      <c r="X36" s="184">
        <f t="shared" si="30"/>
        <v>279050618.94999993</v>
      </c>
      <c r="Y36" s="185">
        <f t="shared" si="31"/>
        <v>1.9595042465252401</v>
      </c>
      <c r="Z36" s="231">
        <f>SUM('Grants Need-Based'!Z35,'Grants Non Need-Based '!Z35)*1000000</f>
        <v>10705000</v>
      </c>
      <c r="AA36" s="187">
        <f>SUM('Grants Non Need-Based '!AE35,'Grants Need-Based'!AE35)*1000000</f>
        <v>8867000</v>
      </c>
      <c r="AB36" s="184">
        <f t="shared" si="32"/>
        <v>-1838000</v>
      </c>
      <c r="AC36" s="185">
        <f t="shared" si="33"/>
        <v>-0.17169546940681923</v>
      </c>
    </row>
    <row r="37" spans="1:29">
      <c r="A37" s="23" t="s">
        <v>66</v>
      </c>
      <c r="B37" s="204">
        <f t="shared" si="0"/>
        <v>98.319805887294905</v>
      </c>
      <c r="C37" s="208">
        <f t="shared" si="21"/>
        <v>6</v>
      </c>
      <c r="D37" s="212">
        <f t="shared" si="1"/>
        <v>59.700679118399577</v>
      </c>
      <c r="E37" s="208">
        <f t="shared" si="22"/>
        <v>2</v>
      </c>
      <c r="F37" s="195">
        <f t="shared" si="2"/>
        <v>-38.619126768895327</v>
      </c>
      <c r="G37" s="208">
        <f t="shared" si="23"/>
        <v>35</v>
      </c>
      <c r="H37" s="155">
        <f>+'[1]Total Funding'!AM36</f>
        <v>188103504</v>
      </c>
      <c r="I37" s="154">
        <f>+'[1]Total Funding'!AW36</f>
        <v>491270793.44999999</v>
      </c>
      <c r="J37" s="184">
        <f t="shared" si="3"/>
        <v>303167289.44999999</v>
      </c>
      <c r="K37" s="185">
        <f t="shared" si="4"/>
        <v>1.6117046360284708</v>
      </c>
      <c r="L37" s="231">
        <f>SUM('Grants Need-Based'!Y36,'Grants Non Need-Based '!Y36)*1000000</f>
        <v>184943000</v>
      </c>
      <c r="M37" s="187">
        <f>SUM('Grants Non Need-Based '!AD36,'Grants Need-Based'!AD36)*1000000</f>
        <v>293292000.00000006</v>
      </c>
      <c r="N37" s="184">
        <f t="shared" si="5"/>
        <v>108349000.00000006</v>
      </c>
      <c r="O37" s="185">
        <f t="shared" si="6"/>
        <v>0.58585077564438803</v>
      </c>
      <c r="P37" s="204">
        <f t="shared" si="27"/>
        <v>97.90030937279478</v>
      </c>
      <c r="Q37" s="198">
        <f t="shared" si="24"/>
        <v>4</v>
      </c>
      <c r="R37" s="212">
        <f t="shared" si="28"/>
        <v>70.528176829171727</v>
      </c>
      <c r="S37" s="198">
        <f t="shared" si="25"/>
        <v>2</v>
      </c>
      <c r="T37" s="195">
        <f t="shared" si="29"/>
        <v>-27.372132543623053</v>
      </c>
      <c r="U37" s="198">
        <f t="shared" si="26"/>
        <v>29</v>
      </c>
      <c r="V37" s="155">
        <f>+'[1]Total Funding'!AO36</f>
        <v>210306792</v>
      </c>
      <c r="W37" s="245">
        <f>+'[1]Total Funding'!AY36</f>
        <v>490128932.20999992</v>
      </c>
      <c r="X37" s="184">
        <f t="shared" si="30"/>
        <v>279822140.20999992</v>
      </c>
      <c r="Y37" s="185">
        <f t="shared" si="31"/>
        <v>1.3305425732992966</v>
      </c>
      <c r="Z37" s="231">
        <f>SUM('Grants Need-Based'!Z36,'Grants Non Need-Based '!Z36)*1000000</f>
        <v>205891000.00000003</v>
      </c>
      <c r="AA37" s="187">
        <f>SUM('Grants Non Need-Based '!AE36,'Grants Need-Based'!AE36)*1000000</f>
        <v>345679000</v>
      </c>
      <c r="AB37" s="184">
        <f t="shared" si="32"/>
        <v>139787999.99999997</v>
      </c>
      <c r="AC37" s="185">
        <f t="shared" si="33"/>
        <v>0.67894177015993873</v>
      </c>
    </row>
    <row r="38" spans="1:29">
      <c r="A38" s="32" t="s">
        <v>67</v>
      </c>
      <c r="B38" s="206">
        <f t="shared" si="0"/>
        <v>0.90908715714168276</v>
      </c>
      <c r="C38" s="209">
        <f t="shared" si="21"/>
        <v>54</v>
      </c>
      <c r="D38" s="214">
        <f t="shared" si="1"/>
        <v>0</v>
      </c>
      <c r="E38" s="209">
        <f t="shared" si="22"/>
        <v>53</v>
      </c>
      <c r="F38" s="199">
        <f t="shared" si="2"/>
        <v>-0.90908715714168276</v>
      </c>
      <c r="G38" s="209">
        <f t="shared" si="23"/>
        <v>6</v>
      </c>
      <c r="H38" s="158">
        <f>+'[1]Total Funding'!AM37</f>
        <v>17930074</v>
      </c>
      <c r="I38" s="159">
        <f>+'[1]Total Funding'!AW37</f>
        <v>46541567.340000004</v>
      </c>
      <c r="J38" s="188">
        <f t="shared" si="3"/>
        <v>28611493.340000004</v>
      </c>
      <c r="K38" s="189">
        <f t="shared" si="4"/>
        <v>1.5957264504318278</v>
      </c>
      <c r="L38" s="232">
        <f>SUM('Grants Need-Based'!Y37,'Grants Non Need-Based '!Y37)*1000000</f>
        <v>163000</v>
      </c>
      <c r="M38" s="190">
        <f>SUM('Grants Non Need-Based '!AD37,'Grants Need-Based'!AD37)*1000000</f>
        <v>0</v>
      </c>
      <c r="N38" s="188">
        <f t="shared" si="5"/>
        <v>-163000</v>
      </c>
      <c r="O38" s="189">
        <f t="shared" si="6"/>
        <v>-1</v>
      </c>
      <c r="P38" s="206">
        <f t="shared" si="27"/>
        <v>0.77860841624751975</v>
      </c>
      <c r="Q38" s="200">
        <f t="shared" si="24"/>
        <v>54</v>
      </c>
      <c r="R38" s="214">
        <f t="shared" si="28"/>
        <v>0</v>
      </c>
      <c r="S38" s="200">
        <f t="shared" si="25"/>
        <v>53</v>
      </c>
      <c r="T38" s="199">
        <f t="shared" si="29"/>
        <v>-0.77860841624751975</v>
      </c>
      <c r="U38" s="254">
        <f t="shared" si="26"/>
        <v>6</v>
      </c>
      <c r="V38" s="158">
        <f>+'[1]Total Funding'!AO37</f>
        <v>20806351</v>
      </c>
      <c r="W38" s="246">
        <f>+'[1]Total Funding'!AY37</f>
        <v>44034854.509999998</v>
      </c>
      <c r="X38" s="188">
        <f t="shared" si="30"/>
        <v>23228503.509999998</v>
      </c>
      <c r="Y38" s="189">
        <f t="shared" si="31"/>
        <v>1.1164140944272256</v>
      </c>
      <c r="Z38" s="232">
        <f>SUM('Grants Need-Based'!Z37,'Grants Non Need-Based '!Z37)*1000000</f>
        <v>162000</v>
      </c>
      <c r="AA38" s="252">
        <f>SUM('Grants Non Need-Based '!AE37,'Grants Need-Based'!AE37)*1000000</f>
        <v>0</v>
      </c>
      <c r="AB38" s="188">
        <f t="shared" si="32"/>
        <v>-162000</v>
      </c>
      <c r="AC38" s="189">
        <f t="shared" si="33"/>
        <v>-1</v>
      </c>
    </row>
    <row r="39" spans="1:29">
      <c r="A39" s="23" t="s">
        <v>68</v>
      </c>
      <c r="B39" s="204">
        <f t="shared" si="0"/>
        <v>56.967759107939486</v>
      </c>
      <c r="C39" s="208">
        <f t="shared" si="21"/>
        <v>24</v>
      </c>
      <c r="D39" s="212">
        <f t="shared" si="1"/>
        <v>18.152887599254118</v>
      </c>
      <c r="E39" s="208">
        <f t="shared" si="22"/>
        <v>33</v>
      </c>
      <c r="F39" s="195">
        <f t="shared" si="2"/>
        <v>-38.814871508685371</v>
      </c>
      <c r="G39" s="208">
        <f t="shared" si="23"/>
        <v>36</v>
      </c>
      <c r="H39" s="155">
        <f>+'[1]Total Funding'!AM38</f>
        <v>2650835493</v>
      </c>
      <c r="I39" s="154">
        <f>+'[1]Total Funding'!AW38</f>
        <v>7411691350.1700001</v>
      </c>
      <c r="J39" s="184">
        <f t="shared" si="3"/>
        <v>4760855857.1700001</v>
      </c>
      <c r="K39" s="185">
        <f t="shared" si="4"/>
        <v>1.795983141821468</v>
      </c>
      <c r="L39" s="231">
        <f>SUM('Grants Need-Based'!Y38,'Grants Non Need-Based '!Y38)*1000000</f>
        <v>1510121578</v>
      </c>
      <c r="M39" s="187">
        <f>SUM('Grants Non Need-Based '!AD38,'Grants Need-Based'!AD38)*1000000</f>
        <v>1345436000</v>
      </c>
      <c r="N39" s="184">
        <f t="shared" si="5"/>
        <v>-164685578</v>
      </c>
      <c r="O39" s="185">
        <f t="shared" si="6"/>
        <v>-0.10905451613909725</v>
      </c>
      <c r="P39" s="204">
        <f t="shared" si="27"/>
        <v>49.808735841378152</v>
      </c>
      <c r="Q39" s="198">
        <f t="shared" si="24"/>
        <v>27</v>
      </c>
      <c r="R39" s="212">
        <f t="shared" si="28"/>
        <v>20.342657976373086</v>
      </c>
      <c r="S39" s="198">
        <f t="shared" si="25"/>
        <v>32</v>
      </c>
      <c r="T39" s="195">
        <f t="shared" si="29"/>
        <v>-29.466077865005065</v>
      </c>
      <c r="U39" s="198">
        <f t="shared" si="26"/>
        <v>32</v>
      </c>
      <c r="V39" s="155">
        <f>+'[1]Total Funding'!AO38</f>
        <v>3110289739</v>
      </c>
      <c r="W39" s="245">
        <f>+'[1]Total Funding'!AY38</f>
        <v>6685380059.8699999</v>
      </c>
      <c r="X39" s="184">
        <f t="shared" si="30"/>
        <v>3575090320.8699999</v>
      </c>
      <c r="Y39" s="185">
        <f t="shared" si="31"/>
        <v>1.1494396409575141</v>
      </c>
      <c r="Z39" s="231">
        <f>SUM('Grants Need-Based'!Z38,'Grants Non Need-Based '!Z38)*1000000</f>
        <v>1549196000</v>
      </c>
      <c r="AA39" s="187">
        <f>SUM('Grants Non Need-Based '!AE38,'Grants Need-Based'!AE38)*1000000</f>
        <v>1359984000.0000002</v>
      </c>
      <c r="AB39" s="184">
        <f t="shared" si="32"/>
        <v>-189211999.99999976</v>
      </c>
      <c r="AC39" s="185">
        <f t="shared" si="33"/>
        <v>-0.12213561098789293</v>
      </c>
    </row>
    <row r="40" spans="1:29">
      <c r="B40" s="204"/>
      <c r="C40" s="208"/>
      <c r="D40" s="212"/>
      <c r="E40" s="208"/>
      <c r="F40" s="195"/>
      <c r="G40" s="208"/>
      <c r="H40" s="155"/>
      <c r="I40" s="154"/>
      <c r="J40" s="184"/>
      <c r="K40" s="185"/>
      <c r="L40" s="231"/>
      <c r="M40" s="187"/>
      <c r="N40" s="184"/>
      <c r="O40" s="185"/>
      <c r="P40" s="204"/>
      <c r="Q40" s="198"/>
      <c r="R40" s="212"/>
      <c r="S40" s="198"/>
      <c r="T40" s="195"/>
      <c r="U40" s="198"/>
      <c r="V40" s="155"/>
      <c r="W40" s="245"/>
      <c r="X40" s="184"/>
      <c r="Y40" s="185"/>
      <c r="Z40" s="231"/>
      <c r="AA40" s="187"/>
      <c r="AB40" s="184"/>
      <c r="AC40" s="185"/>
    </row>
    <row r="41" spans="1:29">
      <c r="A41" s="23" t="s">
        <v>69</v>
      </c>
      <c r="B41" s="204">
        <f t="shared" si="0"/>
        <v>92.765085340354531</v>
      </c>
      <c r="C41" s="208">
        <f t="shared" si="21"/>
        <v>7</v>
      </c>
      <c r="D41" s="212">
        <f t="shared" si="1"/>
        <v>32.269295139593865</v>
      </c>
      <c r="E41" s="208">
        <f t="shared" si="22"/>
        <v>18</v>
      </c>
      <c r="F41" s="195">
        <f t="shared" si="2"/>
        <v>-60.495790200760666</v>
      </c>
      <c r="G41" s="208">
        <f t="shared" si="23"/>
        <v>50</v>
      </c>
      <c r="H41" s="155">
        <f>+'[1]Total Funding'!AM40</f>
        <v>479004572</v>
      </c>
      <c r="I41" s="154">
        <f>+'[1]Total Funding'!AW40</f>
        <v>1324987106.6300001</v>
      </c>
      <c r="J41" s="184">
        <f t="shared" si="3"/>
        <v>845982534.63000011</v>
      </c>
      <c r="K41" s="185">
        <f t="shared" si="4"/>
        <v>1.7661262210875099</v>
      </c>
      <c r="L41" s="231">
        <f>SUM('Grants Need-Based'!Y40,'Grants Non Need-Based '!Y40)*1000000</f>
        <v>444349000</v>
      </c>
      <c r="M41" s="187">
        <f>SUM('Grants Non Need-Based '!AD40,'Grants Need-Based'!AD40)*1000000</f>
        <v>427564000</v>
      </c>
      <c r="N41" s="184">
        <f t="shared" si="5"/>
        <v>-16785000</v>
      </c>
      <c r="O41" s="185">
        <f t="shared" si="6"/>
        <v>-3.7774362044248999E-2</v>
      </c>
      <c r="P41" s="204">
        <f t="shared" ref="P41:P53" si="34">(Z41/V41)*100</f>
        <v>74.510835623148637</v>
      </c>
      <c r="Q41" s="198">
        <f t="shared" si="24"/>
        <v>14</v>
      </c>
      <c r="R41" s="212">
        <f t="shared" ref="R41:R53" si="35">(AA41/W41)*100</f>
        <v>30.536117715723538</v>
      </c>
      <c r="S41" s="198">
        <f t="shared" si="25"/>
        <v>22</v>
      </c>
      <c r="T41" s="195">
        <f t="shared" ref="T41:T53" si="36">+R41-P41</f>
        <v>-43.974717907425102</v>
      </c>
      <c r="U41" s="198">
        <f t="shared" si="26"/>
        <v>46</v>
      </c>
      <c r="V41" s="155">
        <f>+'[1]Total Funding'!AO40</f>
        <v>557365914</v>
      </c>
      <c r="W41" s="245">
        <f>+'[1]Total Funding'!AY40</f>
        <v>1217924961.7199998</v>
      </c>
      <c r="X41" s="184">
        <f t="shared" ref="X41:X53" si="37">+W41-V41</f>
        <v>660559047.71999979</v>
      </c>
      <c r="Y41" s="185">
        <f t="shared" ref="Y41:Y53" si="38">+X41/V41</f>
        <v>1.1851443210429258</v>
      </c>
      <c r="Z41" s="231">
        <f>SUM('Grants Need-Based'!Z40,'Grants Non Need-Based '!Z40)*1000000</f>
        <v>415298000</v>
      </c>
      <c r="AA41" s="187">
        <f>SUM('Grants Non Need-Based '!AE40,'Grants Need-Based'!AE40)*1000000</f>
        <v>371907000</v>
      </c>
      <c r="AB41" s="184">
        <f t="shared" ref="AB41:AB53" si="39">+AA41-Z41</f>
        <v>-43391000</v>
      </c>
      <c r="AC41" s="185">
        <f t="shared" ref="AC41:AC53" si="40">+AB41/Z41</f>
        <v>-0.10448160116350187</v>
      </c>
    </row>
    <row r="42" spans="1:29">
      <c r="A42" s="23" t="s">
        <v>70</v>
      </c>
      <c r="B42" s="204">
        <f t="shared" si="0"/>
        <v>78.648322081801695</v>
      </c>
      <c r="C42" s="208">
        <f t="shared" si="21"/>
        <v>15</v>
      </c>
      <c r="D42" s="212">
        <f t="shared" si="1"/>
        <v>27.227781888596645</v>
      </c>
      <c r="E42" s="208">
        <f t="shared" si="22"/>
        <v>21</v>
      </c>
      <c r="F42" s="195">
        <f t="shared" si="2"/>
        <v>-51.420540193205049</v>
      </c>
      <c r="G42" s="208">
        <f t="shared" si="23"/>
        <v>47</v>
      </c>
      <c r="H42" s="155">
        <f>+'[1]Total Funding'!AM41</f>
        <v>254597930</v>
      </c>
      <c r="I42" s="154">
        <f>+'[1]Total Funding'!AW41</f>
        <v>919630548.76999998</v>
      </c>
      <c r="J42" s="184">
        <f t="shared" si="3"/>
        <v>665032618.76999998</v>
      </c>
      <c r="K42" s="185">
        <f t="shared" si="4"/>
        <v>2.6120896535568847</v>
      </c>
      <c r="L42" s="231">
        <f>SUM('Grants Need-Based'!Y41,'Grants Non Need-Based '!Y41)*1000000</f>
        <v>200237000</v>
      </c>
      <c r="M42" s="187">
        <f>SUM('Grants Non Need-Based '!AD41,'Grants Need-Based'!AD41)*1000000</f>
        <v>250395000</v>
      </c>
      <c r="N42" s="184">
        <f t="shared" si="5"/>
        <v>50158000</v>
      </c>
      <c r="O42" s="185">
        <f t="shared" si="6"/>
        <v>0.25049316559876544</v>
      </c>
      <c r="P42" s="204">
        <f t="shared" si="34"/>
        <v>75.978670794262754</v>
      </c>
      <c r="Q42" s="198">
        <f t="shared" si="24"/>
        <v>13</v>
      </c>
      <c r="R42" s="212">
        <f t="shared" si="35"/>
        <v>29.953385629389771</v>
      </c>
      <c r="S42" s="198">
        <f t="shared" si="25"/>
        <v>23</v>
      </c>
      <c r="T42" s="195">
        <f t="shared" si="36"/>
        <v>-46.025285164872983</v>
      </c>
      <c r="U42" s="198">
        <f t="shared" si="26"/>
        <v>50</v>
      </c>
      <c r="V42" s="155">
        <f>+'[1]Total Funding'!AO41</f>
        <v>294393147</v>
      </c>
      <c r="W42" s="245">
        <f>+'[1]Total Funding'!AY41</f>
        <v>866372847.5</v>
      </c>
      <c r="X42" s="184">
        <f t="shared" si="37"/>
        <v>571979700.5</v>
      </c>
      <c r="Y42" s="185">
        <f t="shared" si="38"/>
        <v>1.9429110573012083</v>
      </c>
      <c r="Z42" s="231">
        <f>SUM('Grants Need-Based'!Z41,'Grants Non Need-Based '!Z41)*1000000</f>
        <v>223676000.00000003</v>
      </c>
      <c r="AA42" s="187">
        <f>SUM('Grants Non Need-Based '!AE41,'Grants Need-Based'!AE41)*1000000</f>
        <v>259507999.99999997</v>
      </c>
      <c r="AB42" s="184">
        <f t="shared" si="39"/>
        <v>35831999.99999994</v>
      </c>
      <c r="AC42" s="185">
        <f t="shared" si="40"/>
        <v>0.16019599778250657</v>
      </c>
    </row>
    <row r="43" spans="1:29">
      <c r="A43" s="23" t="s">
        <v>71</v>
      </c>
      <c r="B43" s="204">
        <f t="shared" si="0"/>
        <v>28.934546286854594</v>
      </c>
      <c r="C43" s="208">
        <f t="shared" si="21"/>
        <v>36</v>
      </c>
      <c r="D43" s="212">
        <f t="shared" si="1"/>
        <v>7.6923094008286297</v>
      </c>
      <c r="E43" s="208">
        <f t="shared" si="22"/>
        <v>43</v>
      </c>
      <c r="F43" s="195">
        <f t="shared" si="2"/>
        <v>-21.242236886025964</v>
      </c>
      <c r="G43" s="208">
        <f t="shared" si="23"/>
        <v>25</v>
      </c>
      <c r="H43" s="155">
        <f>+'[1]Total Funding'!AM42</f>
        <v>193359099</v>
      </c>
      <c r="I43" s="154">
        <f>+'[1]Total Funding'!AW42</f>
        <v>748825833.67999995</v>
      </c>
      <c r="J43" s="184">
        <f t="shared" si="3"/>
        <v>555466734.67999995</v>
      </c>
      <c r="K43" s="185">
        <f t="shared" si="4"/>
        <v>2.8727209505666962</v>
      </c>
      <c r="L43" s="231">
        <f>SUM('Grants Need-Based'!Y42,'Grants Non Need-Based '!Y42)*1000000</f>
        <v>55947578</v>
      </c>
      <c r="M43" s="187">
        <f>SUM('Grants Non Need-Based '!AD42,'Grants Need-Based'!AD42)*1000000</f>
        <v>57602000</v>
      </c>
      <c r="N43" s="184">
        <f t="shared" si="5"/>
        <v>1654422</v>
      </c>
      <c r="O43" s="185">
        <f t="shared" si="6"/>
        <v>2.9570931560254494E-2</v>
      </c>
      <c r="P43" s="204">
        <f t="shared" si="34"/>
        <v>22.22820042020679</v>
      </c>
      <c r="Q43" s="198">
        <f t="shared" si="24"/>
        <v>38</v>
      </c>
      <c r="R43" s="212">
        <f t="shared" si="35"/>
        <v>14.854958929109067</v>
      </c>
      <c r="S43" s="198">
        <f t="shared" si="25"/>
        <v>36</v>
      </c>
      <c r="T43" s="195">
        <f t="shared" si="36"/>
        <v>-7.3732414910977226</v>
      </c>
      <c r="U43" s="198">
        <f t="shared" si="26"/>
        <v>14</v>
      </c>
      <c r="V43" s="155">
        <f>+'[1]Total Funding'!AO42</f>
        <v>268010900</v>
      </c>
      <c r="W43" s="245">
        <f>+'[1]Total Funding'!AY42</f>
        <v>422747718.79000008</v>
      </c>
      <c r="X43" s="184">
        <f t="shared" si="37"/>
        <v>154736818.79000008</v>
      </c>
      <c r="Y43" s="185">
        <f t="shared" si="38"/>
        <v>0.57735270763241375</v>
      </c>
      <c r="Z43" s="231">
        <f>SUM('Grants Need-Based'!Z42,'Grants Non Need-Based '!Z42)*1000000</f>
        <v>59574000</v>
      </c>
      <c r="AA43" s="187">
        <f>SUM('Grants Non Need-Based '!AE42,'Grants Need-Based'!AE42)*1000000</f>
        <v>62799000</v>
      </c>
      <c r="AB43" s="184">
        <f t="shared" si="39"/>
        <v>3225000</v>
      </c>
      <c r="AC43" s="185">
        <f t="shared" si="40"/>
        <v>5.4134353912780743E-2</v>
      </c>
    </row>
    <row r="44" spans="1:29">
      <c r="A44" s="23" t="s">
        <v>72</v>
      </c>
      <c r="B44" s="204">
        <f t="shared" si="0"/>
        <v>14.18486050362953</v>
      </c>
      <c r="C44" s="208">
        <f t="shared" si="21"/>
        <v>42</v>
      </c>
      <c r="D44" s="212">
        <f t="shared" si="1"/>
        <v>6.4602248833391593</v>
      </c>
      <c r="E44" s="208">
        <f t="shared" si="22"/>
        <v>45</v>
      </c>
      <c r="F44" s="195">
        <f t="shared" si="2"/>
        <v>-7.7246356202903703</v>
      </c>
      <c r="G44" s="208">
        <f t="shared" si="23"/>
        <v>14</v>
      </c>
      <c r="H44" s="155">
        <f>+'[1]Total Funding'!AM43</f>
        <v>116300051</v>
      </c>
      <c r="I44" s="154">
        <f>+'[1]Total Funding'!AW43</f>
        <v>277776707.84000003</v>
      </c>
      <c r="J44" s="184">
        <f t="shared" si="3"/>
        <v>161476656.84000003</v>
      </c>
      <c r="K44" s="185">
        <f t="shared" si="4"/>
        <v>1.3884487190809576</v>
      </c>
      <c r="L44" s="231">
        <f>SUM('Grants Need-Based'!Y43,'Grants Non Need-Based '!Y43)*1000000</f>
        <v>16497000</v>
      </c>
      <c r="M44" s="187">
        <f>SUM('Grants Non Need-Based '!AD43,'Grants Need-Based'!AD43)*1000000</f>
        <v>17945000</v>
      </c>
      <c r="N44" s="184">
        <f t="shared" si="5"/>
        <v>1448000</v>
      </c>
      <c r="O44" s="185">
        <f t="shared" si="6"/>
        <v>8.7773534582045218E-2</v>
      </c>
      <c r="P44" s="204">
        <f t="shared" si="34"/>
        <v>15.370394255121509</v>
      </c>
      <c r="Q44" s="198">
        <f t="shared" si="24"/>
        <v>42</v>
      </c>
      <c r="R44" s="212">
        <f t="shared" si="35"/>
        <v>6.5630666306333572</v>
      </c>
      <c r="S44" s="198">
        <f t="shared" si="25"/>
        <v>46</v>
      </c>
      <c r="T44" s="195">
        <f t="shared" si="36"/>
        <v>-8.8073276244881527</v>
      </c>
      <c r="U44" s="198">
        <f t="shared" si="26"/>
        <v>16</v>
      </c>
      <c r="V44" s="155">
        <f>+'[1]Total Funding'!AO43</f>
        <v>124199807</v>
      </c>
      <c r="W44" s="245">
        <f>+'[1]Total Funding'!AY43</f>
        <v>272692645.18000001</v>
      </c>
      <c r="X44" s="184">
        <f t="shared" si="37"/>
        <v>148492838.18000001</v>
      </c>
      <c r="Y44" s="185">
        <f t="shared" si="38"/>
        <v>1.195596368197255</v>
      </c>
      <c r="Z44" s="231">
        <f>SUM('Grants Need-Based'!Z43,'Grants Non Need-Based '!Z43)*1000000</f>
        <v>19090000</v>
      </c>
      <c r="AA44" s="187">
        <f>SUM('Grants Non Need-Based '!AE43,'Grants Need-Based'!AE43)*1000000</f>
        <v>17897000.000000004</v>
      </c>
      <c r="AB44" s="184">
        <f t="shared" si="39"/>
        <v>-1192999.9999999963</v>
      </c>
      <c r="AC44" s="185">
        <f t="shared" si="40"/>
        <v>-6.2493452069145958E-2</v>
      </c>
    </row>
    <row r="45" spans="1:29">
      <c r="A45" s="23" t="s">
        <v>73</v>
      </c>
      <c r="B45" s="204">
        <f t="shared" si="0"/>
        <v>49.164557475001097</v>
      </c>
      <c r="C45" s="208">
        <f t="shared" si="21"/>
        <v>28</v>
      </c>
      <c r="D45" s="212">
        <f t="shared" si="1"/>
        <v>8.1390051505036656</v>
      </c>
      <c r="E45" s="208">
        <f t="shared" si="22"/>
        <v>42</v>
      </c>
      <c r="F45" s="195">
        <f t="shared" si="2"/>
        <v>-41.025552324497433</v>
      </c>
      <c r="G45" s="208">
        <f t="shared" si="23"/>
        <v>38</v>
      </c>
      <c r="H45" s="155">
        <f>+'[1]Total Funding'!AM44</f>
        <v>419493250</v>
      </c>
      <c r="I45" s="154">
        <f>+'[1]Total Funding'!AW44</f>
        <v>1085009756.9300001</v>
      </c>
      <c r="J45" s="184">
        <f t="shared" si="3"/>
        <v>665516506.93000007</v>
      </c>
      <c r="K45" s="185">
        <f t="shared" si="4"/>
        <v>1.586477272113437</v>
      </c>
      <c r="L45" s="231">
        <f>SUM('Grants Need-Based'!Y44,'Grants Non Need-Based '!Y44)*1000000</f>
        <v>206242000.00000003</v>
      </c>
      <c r="M45" s="187">
        <f>SUM('Grants Non Need-Based '!AD44,'Grants Need-Based'!AD44)*1000000</f>
        <v>88309000.000000015</v>
      </c>
      <c r="N45" s="184">
        <f t="shared" si="5"/>
        <v>-117933000.00000001</v>
      </c>
      <c r="O45" s="185">
        <f t="shared" si="6"/>
        <v>-0.57181854326470849</v>
      </c>
      <c r="P45" s="204">
        <f t="shared" si="34"/>
        <v>38.056592790391377</v>
      </c>
      <c r="Q45" s="198">
        <f t="shared" si="24"/>
        <v>33</v>
      </c>
      <c r="R45" s="212">
        <f t="shared" si="35"/>
        <v>9.1167733357419802</v>
      </c>
      <c r="S45" s="198">
        <f t="shared" si="25"/>
        <v>42</v>
      </c>
      <c r="T45" s="195">
        <f t="shared" si="36"/>
        <v>-28.939819454649395</v>
      </c>
      <c r="U45" s="198">
        <f t="shared" si="26"/>
        <v>30</v>
      </c>
      <c r="V45" s="155">
        <f>+'[1]Total Funding'!AO44</f>
        <v>496831130</v>
      </c>
      <c r="W45" s="245">
        <f>+'[1]Total Funding'!AY44</f>
        <v>1016521927.0800002</v>
      </c>
      <c r="X45" s="184">
        <f t="shared" si="37"/>
        <v>519690797.08000016</v>
      </c>
      <c r="Y45" s="185">
        <f t="shared" si="38"/>
        <v>1.0460109395319093</v>
      </c>
      <c r="Z45" s="231">
        <f>SUM('Grants Need-Based'!Z44,'Grants Non Need-Based '!Z44)*1000000</f>
        <v>189077000</v>
      </c>
      <c r="AA45" s="187">
        <f>SUM('Grants Non Need-Based '!AE44,'Grants Need-Based'!AE44)*1000000</f>
        <v>92673999.999999985</v>
      </c>
      <c r="AB45" s="184">
        <f t="shared" si="39"/>
        <v>-96403000.000000015</v>
      </c>
      <c r="AC45" s="185">
        <f t="shared" si="40"/>
        <v>-0.50986106189541835</v>
      </c>
    </row>
    <row r="46" spans="1:29">
      <c r="A46" s="23" t="s">
        <v>74</v>
      </c>
      <c r="B46" s="204">
        <f t="shared" si="0"/>
        <v>92.122818497402932</v>
      </c>
      <c r="C46" s="208">
        <f t="shared" si="21"/>
        <v>8</v>
      </c>
      <c r="D46" s="212">
        <f t="shared" si="1"/>
        <v>26.639475758282117</v>
      </c>
      <c r="E46" s="208">
        <f t="shared" si="22"/>
        <v>22</v>
      </c>
      <c r="F46" s="195">
        <f t="shared" si="2"/>
        <v>-65.483342739120815</v>
      </c>
      <c r="G46" s="208">
        <f t="shared" si="23"/>
        <v>51</v>
      </c>
      <c r="H46" s="155">
        <f>+'[1]Total Funding'!AM45</f>
        <v>176849778</v>
      </c>
      <c r="I46" s="154">
        <f>+'[1]Total Funding'!AW45</f>
        <v>563918754.87</v>
      </c>
      <c r="J46" s="184">
        <f t="shared" si="3"/>
        <v>387068976.87</v>
      </c>
      <c r="K46" s="185">
        <f t="shared" si="4"/>
        <v>2.1886879432215065</v>
      </c>
      <c r="L46" s="231">
        <f>SUM('Grants Need-Based'!Y45,'Grants Non Need-Based '!Y45)*1000000</f>
        <v>162919000</v>
      </c>
      <c r="M46" s="187">
        <f>SUM('Grants Non Need-Based '!AD45,'Grants Need-Based'!AD45)*1000000</f>
        <v>150225000</v>
      </c>
      <c r="N46" s="184">
        <f t="shared" si="5"/>
        <v>-12694000</v>
      </c>
      <c r="O46" s="185">
        <f t="shared" si="6"/>
        <v>-7.7916019617110338E-2</v>
      </c>
      <c r="P46" s="204">
        <f t="shared" si="34"/>
        <v>73.686941941225044</v>
      </c>
      <c r="Q46" s="198">
        <f t="shared" si="24"/>
        <v>15</v>
      </c>
      <c r="R46" s="212">
        <f t="shared" si="35"/>
        <v>30.76790194771986</v>
      </c>
      <c r="S46" s="198">
        <f t="shared" si="25"/>
        <v>21</v>
      </c>
      <c r="T46" s="195">
        <f t="shared" si="36"/>
        <v>-42.91903999350518</v>
      </c>
      <c r="U46" s="198">
        <f t="shared" si="26"/>
        <v>45</v>
      </c>
      <c r="V46" s="155">
        <f>+'[1]Total Funding'!AO45</f>
        <v>212294059</v>
      </c>
      <c r="W46" s="245">
        <f>+'[1]Total Funding'!AY45</f>
        <v>550089506.54999995</v>
      </c>
      <c r="X46" s="184">
        <f t="shared" si="37"/>
        <v>337795447.54999995</v>
      </c>
      <c r="Y46" s="185">
        <f t="shared" si="38"/>
        <v>1.5911676904251002</v>
      </c>
      <c r="Z46" s="231">
        <f>SUM('Grants Need-Based'!Z45,'Grants Non Need-Based '!Z45)*1000000</f>
        <v>156433000.00000003</v>
      </c>
      <c r="AA46" s="187">
        <f>SUM('Grants Non Need-Based '!AE45,'Grants Need-Based'!AE45)*1000000</f>
        <v>169251000</v>
      </c>
      <c r="AB46" s="184">
        <f t="shared" si="39"/>
        <v>12817999.99999997</v>
      </c>
      <c r="AC46" s="185">
        <f t="shared" si="40"/>
        <v>8.1939232770578893E-2</v>
      </c>
    </row>
    <row r="47" spans="1:29">
      <c r="A47" s="23" t="s">
        <v>75</v>
      </c>
      <c r="B47" s="204">
        <f t="shared" si="0"/>
        <v>24.04941486805501</v>
      </c>
      <c r="C47" s="208">
        <f t="shared" si="21"/>
        <v>38</v>
      </c>
      <c r="D47" s="212">
        <f t="shared" si="1"/>
        <v>15.534078540689606</v>
      </c>
      <c r="E47" s="208">
        <f t="shared" si="22"/>
        <v>34</v>
      </c>
      <c r="F47" s="195">
        <f t="shared" si="2"/>
        <v>-8.5153363273654037</v>
      </c>
      <c r="G47" s="208">
        <f t="shared" si="23"/>
        <v>15</v>
      </c>
      <c r="H47" s="155">
        <f>+'[1]Total Funding'!AM46</f>
        <v>248521639</v>
      </c>
      <c r="I47" s="154">
        <f>+'[1]Total Funding'!AW46</f>
        <v>624394937.52999997</v>
      </c>
      <c r="J47" s="184">
        <f t="shared" si="3"/>
        <v>375873298.52999997</v>
      </c>
      <c r="K47" s="185">
        <f t="shared" si="4"/>
        <v>1.5124369050616151</v>
      </c>
      <c r="L47" s="231">
        <f>SUM('Grants Need-Based'!Y46,'Grants Non Need-Based '!Y46)*1000000</f>
        <v>59768000</v>
      </c>
      <c r="M47" s="187">
        <f>SUM('Grants Non Need-Based '!AD46,'Grants Need-Based'!AD46)*1000000</f>
        <v>96994000</v>
      </c>
      <c r="N47" s="184">
        <f t="shared" si="5"/>
        <v>37226000</v>
      </c>
      <c r="O47" s="185">
        <f t="shared" si="6"/>
        <v>0.62284165439700179</v>
      </c>
      <c r="P47" s="204">
        <f t="shared" si="34"/>
        <v>38.232859367736829</v>
      </c>
      <c r="Q47" s="198">
        <f t="shared" si="24"/>
        <v>32</v>
      </c>
      <c r="R47" s="212">
        <f t="shared" si="35"/>
        <v>17.148317506182682</v>
      </c>
      <c r="S47" s="198">
        <f t="shared" si="25"/>
        <v>34</v>
      </c>
      <c r="T47" s="195">
        <f t="shared" si="36"/>
        <v>-21.084541861554147</v>
      </c>
      <c r="U47" s="198">
        <f t="shared" si="26"/>
        <v>27</v>
      </c>
      <c r="V47" s="155">
        <f>+'[1]Total Funding'!AO46</f>
        <v>287708013</v>
      </c>
      <c r="W47" s="245">
        <f>+'[1]Total Funding'!AY46</f>
        <v>607983844.25999987</v>
      </c>
      <c r="X47" s="184">
        <f t="shared" si="37"/>
        <v>320275831.25999987</v>
      </c>
      <c r="Y47" s="185">
        <f t="shared" si="38"/>
        <v>1.1131974668359337</v>
      </c>
      <c r="Z47" s="231">
        <f>SUM('Grants Need-Based'!Z46,'Grants Non Need-Based '!Z46)*1000000</f>
        <v>109999000</v>
      </c>
      <c r="AA47" s="187">
        <f>SUM('Grants Non Need-Based '!AE46,'Grants Need-Based'!AE46)*1000000</f>
        <v>104259000</v>
      </c>
      <c r="AB47" s="184">
        <f t="shared" si="39"/>
        <v>-5740000</v>
      </c>
      <c r="AC47" s="185">
        <f t="shared" si="40"/>
        <v>-5.2182292566296057E-2</v>
      </c>
    </row>
    <row r="48" spans="1:29">
      <c r="A48" s="23" t="s">
        <v>76</v>
      </c>
      <c r="B48" s="204">
        <f t="shared" si="0"/>
        <v>17.361305804176336</v>
      </c>
      <c r="C48" s="208">
        <f t="shared" si="21"/>
        <v>41</v>
      </c>
      <c r="D48" s="212">
        <f t="shared" si="1"/>
        <v>9.9299263302136538</v>
      </c>
      <c r="E48" s="208">
        <f t="shared" si="22"/>
        <v>40</v>
      </c>
      <c r="F48" s="195">
        <f t="shared" si="2"/>
        <v>-7.4313794739626822</v>
      </c>
      <c r="G48" s="208">
        <f t="shared" si="23"/>
        <v>13</v>
      </c>
      <c r="H48" s="155">
        <f>+'[1]Total Funding'!AM47</f>
        <v>59834209</v>
      </c>
      <c r="I48" s="154">
        <f>+'[1]Total Funding'!AW47</f>
        <v>155741336.69999999</v>
      </c>
      <c r="J48" s="184">
        <f t="shared" si="3"/>
        <v>95907127.699999988</v>
      </c>
      <c r="K48" s="185">
        <f t="shared" si="4"/>
        <v>1.602881182903245</v>
      </c>
      <c r="L48" s="231">
        <f>SUM('Grants Need-Based'!Y47,'Grants Non Need-Based '!Y47)*1000000</f>
        <v>10388000</v>
      </c>
      <c r="M48" s="187">
        <f>SUM('Grants Non Need-Based '!AD47,'Grants Need-Based'!AD47)*1000000</f>
        <v>15465000</v>
      </c>
      <c r="N48" s="184">
        <f t="shared" si="5"/>
        <v>5077000</v>
      </c>
      <c r="O48" s="185">
        <f t="shared" si="6"/>
        <v>0.48873700423565652</v>
      </c>
      <c r="P48" s="204">
        <f t="shared" si="34"/>
        <v>18.630775741098287</v>
      </c>
      <c r="Q48" s="198">
        <f t="shared" si="24"/>
        <v>41</v>
      </c>
      <c r="R48" s="212">
        <f t="shared" si="35"/>
        <v>10.756086921204346</v>
      </c>
      <c r="S48" s="198">
        <f t="shared" si="25"/>
        <v>41</v>
      </c>
      <c r="T48" s="195">
        <f t="shared" si="36"/>
        <v>-7.8746888198939402</v>
      </c>
      <c r="U48" s="198">
        <f t="shared" si="26"/>
        <v>15</v>
      </c>
      <c r="V48" s="155">
        <f>+'[1]Total Funding'!AO47</f>
        <v>67291884</v>
      </c>
      <c r="W48" s="245">
        <f>+'[1]Total Funding'!AY47</f>
        <v>148743684.55000001</v>
      </c>
      <c r="X48" s="184">
        <f t="shared" si="37"/>
        <v>81451800.550000012</v>
      </c>
      <c r="Y48" s="185">
        <f t="shared" si="38"/>
        <v>1.2104253248430377</v>
      </c>
      <c r="Z48" s="231">
        <f>SUM('Grants Need-Based'!Z47,'Grants Non Need-Based '!Z47)*1000000</f>
        <v>12537000</v>
      </c>
      <c r="AA48" s="187">
        <f>SUM('Grants Non Need-Based '!AE47,'Grants Need-Based'!AE47)*1000000</f>
        <v>15999000</v>
      </c>
      <c r="AB48" s="184">
        <f t="shared" si="39"/>
        <v>3462000</v>
      </c>
      <c r="AC48" s="185">
        <f t="shared" si="40"/>
        <v>0.27614261785116057</v>
      </c>
    </row>
    <row r="49" spans="1:29">
      <c r="A49" s="23" t="s">
        <v>77</v>
      </c>
      <c r="B49" s="204">
        <f t="shared" si="0"/>
        <v>7.1760216904950758</v>
      </c>
      <c r="C49" s="208">
        <f t="shared" si="21"/>
        <v>47</v>
      </c>
      <c r="D49" s="212">
        <f t="shared" si="1"/>
        <v>25.650948314843546</v>
      </c>
      <c r="E49" s="208">
        <f t="shared" si="22"/>
        <v>24</v>
      </c>
      <c r="F49" s="195">
        <f t="shared" si="2"/>
        <v>18.47492662434847</v>
      </c>
      <c r="G49" s="208">
        <f t="shared" si="23"/>
        <v>2</v>
      </c>
      <c r="H49" s="155">
        <f>+'[1]Total Funding'!AM48</f>
        <v>31201132</v>
      </c>
      <c r="I49" s="154">
        <f>+'[1]Total Funding'!AW48</f>
        <v>52399622.170000002</v>
      </c>
      <c r="J49" s="184">
        <f t="shared" si="3"/>
        <v>21198490.170000002</v>
      </c>
      <c r="K49" s="185">
        <f t="shared" si="4"/>
        <v>0.67941413696144104</v>
      </c>
      <c r="L49" s="231">
        <f>SUM('Grants Need-Based'!Y48,'Grants Non Need-Based '!Y48)*1000000</f>
        <v>2239000</v>
      </c>
      <c r="M49" s="187">
        <f>SUM('Grants Non Need-Based '!AD48,'Grants Need-Based'!AD48)*1000000</f>
        <v>13441000</v>
      </c>
      <c r="N49" s="184">
        <f t="shared" si="5"/>
        <v>11202000</v>
      </c>
      <c r="O49" s="185">
        <f t="shared" si="6"/>
        <v>5.0031263957123713</v>
      </c>
      <c r="P49" s="204">
        <f t="shared" si="34"/>
        <v>11.306981402589443</v>
      </c>
      <c r="Q49" s="198">
        <f t="shared" si="24"/>
        <v>45</v>
      </c>
      <c r="R49" s="212">
        <f t="shared" si="35"/>
        <v>33.713102736879748</v>
      </c>
      <c r="S49" s="198">
        <f t="shared" si="25"/>
        <v>17</v>
      </c>
      <c r="T49" s="195">
        <f t="shared" si="36"/>
        <v>22.406121334290305</v>
      </c>
      <c r="U49" s="198">
        <f t="shared" si="26"/>
        <v>2</v>
      </c>
      <c r="V49" s="155">
        <f>+'[1]Total Funding'!AO48</f>
        <v>33412985</v>
      </c>
      <c r="W49" s="245">
        <f>+'[1]Total Funding'!AY48</f>
        <v>47841932.93</v>
      </c>
      <c r="X49" s="184">
        <f t="shared" si="37"/>
        <v>14428947.93</v>
      </c>
      <c r="Y49" s="185">
        <f t="shared" si="38"/>
        <v>0.43183654288893975</v>
      </c>
      <c r="Z49" s="231">
        <f>SUM('Grants Need-Based'!Z48,'Grants Non Need-Based '!Z48)*1000000</f>
        <v>3778000</v>
      </c>
      <c r="AA49" s="187">
        <f>SUM('Grants Non Need-Based '!AE48,'Grants Need-Based'!AE48)*1000000</f>
        <v>16129000.000000002</v>
      </c>
      <c r="AB49" s="184">
        <f t="shared" si="39"/>
        <v>12351000.000000002</v>
      </c>
      <c r="AC49" s="185">
        <f t="shared" si="40"/>
        <v>3.2691900476442566</v>
      </c>
    </row>
    <row r="50" spans="1:29">
      <c r="A50" s="23" t="s">
        <v>78</v>
      </c>
      <c r="B50" s="204">
        <f t="shared" si="0"/>
        <v>53.982771805150563</v>
      </c>
      <c r="C50" s="208">
        <f t="shared" si="21"/>
        <v>27</v>
      </c>
      <c r="D50" s="212">
        <f t="shared" si="1"/>
        <v>9.687427478251271</v>
      </c>
      <c r="E50" s="208">
        <f t="shared" si="22"/>
        <v>41</v>
      </c>
      <c r="F50" s="195">
        <f t="shared" si="2"/>
        <v>-44.29534432689929</v>
      </c>
      <c r="G50" s="208">
        <f t="shared" si="23"/>
        <v>42</v>
      </c>
      <c r="H50" s="155">
        <f>+'[1]Total Funding'!AM49</f>
        <v>473471427</v>
      </c>
      <c r="I50" s="154">
        <f>+'[1]Total Funding'!AW49</f>
        <v>1123001955.3099999</v>
      </c>
      <c r="J50" s="184">
        <f t="shared" si="3"/>
        <v>649530528.30999994</v>
      </c>
      <c r="K50" s="185">
        <f t="shared" si="4"/>
        <v>1.3718473624175</v>
      </c>
      <c r="L50" s="231">
        <f>SUM('Grants Need-Based'!Y49,'Grants Non Need-Based '!Y49)*1000000</f>
        <v>255593000.00000003</v>
      </c>
      <c r="M50" s="187">
        <f>SUM('Grants Non Need-Based '!AD49,'Grants Need-Based'!AD49)*1000000</f>
        <v>108789999.99999999</v>
      </c>
      <c r="N50" s="184">
        <f t="shared" si="5"/>
        <v>-146803000.00000006</v>
      </c>
      <c r="O50" s="185">
        <f t="shared" si="6"/>
        <v>-0.5743623651664953</v>
      </c>
      <c r="P50" s="204">
        <f t="shared" si="34"/>
        <v>47.08966492276361</v>
      </c>
      <c r="Q50" s="198">
        <f t="shared" si="24"/>
        <v>28</v>
      </c>
      <c r="R50" s="212">
        <f t="shared" si="35"/>
        <v>12.068417355130881</v>
      </c>
      <c r="S50" s="198">
        <f t="shared" si="25"/>
        <v>39</v>
      </c>
      <c r="T50" s="195">
        <f t="shared" si="36"/>
        <v>-35.021247567632727</v>
      </c>
      <c r="U50" s="198">
        <f t="shared" si="26"/>
        <v>41</v>
      </c>
      <c r="V50" s="155">
        <f>+'[1]Total Funding'!AO49</f>
        <v>541063523</v>
      </c>
      <c r="W50" s="245">
        <f>+'[1]Total Funding'!AY49</f>
        <v>1005914830.6499999</v>
      </c>
      <c r="X50" s="184">
        <f t="shared" si="37"/>
        <v>464851307.64999986</v>
      </c>
      <c r="Y50" s="185">
        <f t="shared" si="38"/>
        <v>0.85914368256164975</v>
      </c>
      <c r="Z50" s="231">
        <f>SUM('Grants Need-Based'!Z49,'Grants Non Need-Based '!Z49)*1000000</f>
        <v>254785000.00000003</v>
      </c>
      <c r="AA50" s="187">
        <f>SUM('Grants Non Need-Based '!AE49,'Grants Need-Based'!AE49)*1000000</f>
        <v>121398000</v>
      </c>
      <c r="AB50" s="184">
        <f t="shared" si="39"/>
        <v>-133387000.00000003</v>
      </c>
      <c r="AC50" s="185">
        <f t="shared" si="40"/>
        <v>-0.52352768020095375</v>
      </c>
    </row>
    <row r="51" spans="1:29">
      <c r="A51" s="23" t="s">
        <v>79</v>
      </c>
      <c r="B51" s="204">
        <f t="shared" si="0"/>
        <v>5.5046865074603293</v>
      </c>
      <c r="C51" s="208">
        <f t="shared" si="21"/>
        <v>49</v>
      </c>
      <c r="D51" s="212">
        <f t="shared" si="1"/>
        <v>4.1620071957467717</v>
      </c>
      <c r="E51" s="208">
        <f t="shared" si="22"/>
        <v>48</v>
      </c>
      <c r="F51" s="195">
        <f t="shared" si="2"/>
        <v>-1.3426793117135576</v>
      </c>
      <c r="G51" s="208">
        <f t="shared" si="23"/>
        <v>7</v>
      </c>
      <c r="H51" s="155">
        <f>+'[1]Total Funding'!AM50</f>
        <v>38875965</v>
      </c>
      <c r="I51" s="154">
        <f>+'[1]Total Funding'!AW50</f>
        <v>98606268.730000019</v>
      </c>
      <c r="J51" s="184">
        <f t="shared" si="3"/>
        <v>59730303.730000019</v>
      </c>
      <c r="K51" s="185">
        <f t="shared" si="4"/>
        <v>1.536432696397376</v>
      </c>
      <c r="L51" s="231">
        <f>SUM('Grants Need-Based'!Y50,'Grants Non Need-Based '!Y50)*1000000</f>
        <v>2140000</v>
      </c>
      <c r="M51" s="187">
        <f>SUM('Grants Non Need-Based '!AD50,'Grants Need-Based'!AD50)*1000000</f>
        <v>4104000</v>
      </c>
      <c r="N51" s="184">
        <f t="shared" si="5"/>
        <v>1964000</v>
      </c>
      <c r="O51" s="185">
        <f t="shared" si="6"/>
        <v>0.91775700934579441</v>
      </c>
      <c r="P51" s="204">
        <f t="shared" si="34"/>
        <v>5.5744349031981848</v>
      </c>
      <c r="Q51" s="198">
        <f t="shared" si="24"/>
        <v>50</v>
      </c>
      <c r="R51" s="212">
        <f t="shared" si="35"/>
        <v>4.5305350578004635</v>
      </c>
      <c r="S51" s="198">
        <f t="shared" si="25"/>
        <v>47</v>
      </c>
      <c r="T51" s="195">
        <f t="shared" si="36"/>
        <v>-1.0438998453977213</v>
      </c>
      <c r="U51" s="198">
        <f t="shared" si="26"/>
        <v>7</v>
      </c>
      <c r="V51" s="155">
        <f>+'[1]Total Funding'!AO50</f>
        <v>43340716</v>
      </c>
      <c r="W51" s="245">
        <f>+'[1]Total Funding'!AY50</f>
        <v>95706135.030000001</v>
      </c>
      <c r="X51" s="184">
        <f t="shared" si="37"/>
        <v>52365419.030000001</v>
      </c>
      <c r="Y51" s="185">
        <f t="shared" si="38"/>
        <v>1.2082269021582386</v>
      </c>
      <c r="Z51" s="231">
        <f>SUM('Grants Need-Based'!Z50,'Grants Non Need-Based '!Z50)*1000000</f>
        <v>2416000</v>
      </c>
      <c r="AA51" s="187">
        <f>SUM('Grants Non Need-Based '!AE50,'Grants Need-Based'!AE50)*1000000</f>
        <v>4336000</v>
      </c>
      <c r="AB51" s="184">
        <f t="shared" si="39"/>
        <v>1920000</v>
      </c>
      <c r="AC51" s="185">
        <f t="shared" si="40"/>
        <v>0.79470198675496684</v>
      </c>
    </row>
    <row r="52" spans="1:29">
      <c r="A52" s="23" t="s">
        <v>80</v>
      </c>
      <c r="B52" s="204">
        <f t="shared" si="0"/>
        <v>58.874094852843662</v>
      </c>
      <c r="C52" s="208">
        <f t="shared" si="21"/>
        <v>23</v>
      </c>
      <c r="D52" s="212">
        <f t="shared" si="1"/>
        <v>26.200820189188502</v>
      </c>
      <c r="E52" s="208">
        <f t="shared" si="22"/>
        <v>23</v>
      </c>
      <c r="F52" s="195">
        <f t="shared" si="2"/>
        <v>-32.673274663655164</v>
      </c>
      <c r="G52" s="208">
        <f t="shared" si="23"/>
        <v>31</v>
      </c>
      <c r="H52" s="155">
        <f>+'[1]Total Funding'!AM51</f>
        <v>159326441</v>
      </c>
      <c r="I52" s="154">
        <f>+'[1]Total Funding'!AW51</f>
        <v>437398521.01000005</v>
      </c>
      <c r="J52" s="184">
        <f t="shared" si="3"/>
        <v>278072080.01000005</v>
      </c>
      <c r="K52" s="185">
        <f t="shared" si="4"/>
        <v>1.7452977563843282</v>
      </c>
      <c r="L52" s="231">
        <f>SUM('Grants Need-Based'!Y51,'Grants Non Need-Based '!Y51)*1000000</f>
        <v>93802000</v>
      </c>
      <c r="M52" s="187">
        <f>SUM('Grants Non Need-Based '!AD51,'Grants Need-Based'!AD51)*1000000</f>
        <v>114602000</v>
      </c>
      <c r="N52" s="184">
        <f t="shared" si="5"/>
        <v>20800000</v>
      </c>
      <c r="O52" s="185">
        <f t="shared" si="6"/>
        <v>0.22174367284279653</v>
      </c>
      <c r="P52" s="204">
        <f t="shared" si="34"/>
        <v>55.610316045825094</v>
      </c>
      <c r="Q52" s="198">
        <f t="shared" si="24"/>
        <v>25</v>
      </c>
      <c r="R52" s="212">
        <f t="shared" si="35"/>
        <v>28.608028987099665</v>
      </c>
      <c r="S52" s="198">
        <f t="shared" si="25"/>
        <v>24</v>
      </c>
      <c r="T52" s="195">
        <f t="shared" si="36"/>
        <v>-27.002287058725429</v>
      </c>
      <c r="U52" s="198">
        <f t="shared" si="26"/>
        <v>28</v>
      </c>
      <c r="V52" s="155">
        <f>+'[1]Total Funding'!AO51</f>
        <v>184377661</v>
      </c>
      <c r="W52" s="245">
        <f>+'[1]Total Funding'!AY51</f>
        <v>432840025.62999994</v>
      </c>
      <c r="X52" s="184">
        <f t="shared" si="37"/>
        <v>248462364.62999994</v>
      </c>
      <c r="Y52" s="185">
        <f t="shared" si="38"/>
        <v>1.347573037223853</v>
      </c>
      <c r="Z52" s="231">
        <f>SUM('Grants Need-Based'!Z51,'Grants Non Need-Based '!Z51)*1000000</f>
        <v>102533000</v>
      </c>
      <c r="AA52" s="187">
        <f>SUM('Grants Non Need-Based '!AE51,'Grants Need-Based'!AE51)*1000000</f>
        <v>123827000</v>
      </c>
      <c r="AB52" s="184">
        <f t="shared" si="39"/>
        <v>21294000</v>
      </c>
      <c r="AC52" s="185">
        <f t="shared" si="40"/>
        <v>0.2076794788019467</v>
      </c>
    </row>
    <row r="53" spans="1:29">
      <c r="A53" s="32" t="s">
        <v>81</v>
      </c>
      <c r="B53" s="206">
        <f t="shared" si="0"/>
        <v>85.252504646551799</v>
      </c>
      <c r="C53" s="209">
        <f t="shared" si="21"/>
        <v>13</v>
      </c>
      <c r="D53" s="214">
        <f t="shared" si="1"/>
        <v>41.224887768752467</v>
      </c>
      <c r="E53" s="209">
        <f t="shared" si="22"/>
        <v>13</v>
      </c>
      <c r="F53" s="199">
        <f t="shared" si="2"/>
        <v>-44.027616877799332</v>
      </c>
      <c r="G53" s="209">
        <f t="shared" si="23"/>
        <v>41</v>
      </c>
      <c r="H53" s="158">
        <f>+'[1]Total Funding'!AM52</f>
        <v>2080430369</v>
      </c>
      <c r="I53" s="159">
        <f>+'[1]Total Funding'!AW52</f>
        <v>4751510813.0499992</v>
      </c>
      <c r="J53" s="188">
        <f t="shared" si="3"/>
        <v>2671080444.0499992</v>
      </c>
      <c r="K53" s="189">
        <f t="shared" si="4"/>
        <v>1.2839076394245805</v>
      </c>
      <c r="L53" s="232">
        <f>SUM('Grants Need-Based'!Y52,'Grants Non Need-Based '!Y52)*1000000</f>
        <v>1773618996.9999998</v>
      </c>
      <c r="M53" s="190">
        <f>SUM('Grants Non Need-Based '!AD52,'Grants Need-Based'!AD52)*1000000</f>
        <v>1958805000</v>
      </c>
      <c r="N53" s="188">
        <f t="shared" si="5"/>
        <v>185186003.00000024</v>
      </c>
      <c r="O53" s="189">
        <f t="shared" si="6"/>
        <v>0.10441137770470117</v>
      </c>
      <c r="P53" s="206">
        <f t="shared" si="34"/>
        <v>76.272109988687276</v>
      </c>
      <c r="Q53" s="200">
        <f t="shared" si="24"/>
        <v>12</v>
      </c>
      <c r="R53" s="214">
        <f t="shared" si="35"/>
        <v>41.608307574249146</v>
      </c>
      <c r="S53" s="200">
        <f t="shared" si="25"/>
        <v>12</v>
      </c>
      <c r="T53" s="199">
        <f t="shared" si="36"/>
        <v>-34.66380241443813</v>
      </c>
      <c r="U53" s="254">
        <f t="shared" si="26"/>
        <v>40</v>
      </c>
      <c r="V53" s="158">
        <f>+'[1]Total Funding'!AO52</f>
        <v>2338760525</v>
      </c>
      <c r="W53" s="246">
        <f>+'[1]Total Funding'!AY52</f>
        <v>4707509423.460001</v>
      </c>
      <c r="X53" s="188">
        <f t="shared" si="37"/>
        <v>2368748898.460001</v>
      </c>
      <c r="Y53" s="189">
        <f t="shared" si="38"/>
        <v>1.0128223360790651</v>
      </c>
      <c r="Z53" s="232">
        <f>SUM('Grants Need-Based'!Z52,'Grants Non Need-Based '!Z52)*1000000</f>
        <v>1783822000</v>
      </c>
      <c r="AA53" s="252">
        <f>SUM('Grants Non Need-Based '!AE52,'Grants Need-Based'!AE52)*1000000</f>
        <v>1958715000</v>
      </c>
      <c r="AB53" s="188">
        <f t="shared" si="39"/>
        <v>174893000</v>
      </c>
      <c r="AC53" s="189">
        <f t="shared" si="40"/>
        <v>9.8043975239681988E-2</v>
      </c>
    </row>
    <row r="54" spans="1:29">
      <c r="B54" s="204"/>
      <c r="C54" s="208"/>
      <c r="D54" s="212"/>
      <c r="E54" s="208"/>
      <c r="F54" s="195"/>
      <c r="G54" s="208"/>
      <c r="H54" s="155"/>
      <c r="I54" s="154"/>
      <c r="J54" s="184"/>
      <c r="K54" s="185"/>
      <c r="L54" s="231"/>
      <c r="M54" s="187"/>
      <c r="N54" s="184"/>
      <c r="O54" s="185"/>
      <c r="P54" s="204"/>
      <c r="Q54" s="198"/>
      <c r="R54" s="212"/>
      <c r="S54" s="198"/>
      <c r="T54" s="195"/>
      <c r="U54" s="198"/>
      <c r="V54" s="155"/>
      <c r="W54" s="245"/>
      <c r="X54" s="184"/>
      <c r="Y54" s="185"/>
      <c r="Z54" s="231"/>
      <c r="AA54" s="187"/>
      <c r="AB54" s="184"/>
      <c r="AC54" s="185"/>
    </row>
    <row r="55" spans="1:29">
      <c r="A55" s="23" t="s">
        <v>82</v>
      </c>
      <c r="B55" s="204">
        <f t="shared" si="0"/>
        <v>47.889505057901346</v>
      </c>
      <c r="C55" s="208">
        <f t="shared" si="21"/>
        <v>29</v>
      </c>
      <c r="D55" s="212">
        <f t="shared" si="1"/>
        <v>19.878258254560865</v>
      </c>
      <c r="E55" s="208">
        <f t="shared" si="22"/>
        <v>31</v>
      </c>
      <c r="F55" s="195">
        <f t="shared" si="2"/>
        <v>-28.01124680334048</v>
      </c>
      <c r="G55" s="208">
        <f t="shared" si="23"/>
        <v>29</v>
      </c>
      <c r="H55" s="155">
        <f>+'[1]Total Funding'!AM54</f>
        <v>87108856</v>
      </c>
      <c r="I55" s="154">
        <f>+'[1]Total Funding'!AW54</f>
        <v>261989754.5</v>
      </c>
      <c r="J55" s="184">
        <f t="shared" si="3"/>
        <v>174880898.5</v>
      </c>
      <c r="K55" s="185">
        <f t="shared" si="4"/>
        <v>2.0076133074230706</v>
      </c>
      <c r="L55" s="231">
        <f>SUM('Grants Need-Based'!Y54,'Grants Non Need-Based '!Y54)*1000000</f>
        <v>41716000</v>
      </c>
      <c r="M55" s="187">
        <f>SUM('Grants Non Need-Based '!AD54,'Grants Need-Based'!AD54)*1000000</f>
        <v>52079000</v>
      </c>
      <c r="N55" s="184">
        <f t="shared" si="5"/>
        <v>10363000</v>
      </c>
      <c r="O55" s="185">
        <f t="shared" si="6"/>
        <v>0.24841787323808612</v>
      </c>
      <c r="P55" s="204">
        <f t="shared" ref="P55:P64" si="41">(Z55/V55)*100</f>
        <v>63.048771840727746</v>
      </c>
      <c r="Q55" s="198">
        <f t="shared" si="24"/>
        <v>21</v>
      </c>
      <c r="R55" s="212">
        <f t="shared" ref="R55:R64" si="42">(AA55/W55)*100</f>
        <v>8.1302857514269249</v>
      </c>
      <c r="S55" s="198">
        <f t="shared" si="25"/>
        <v>43</v>
      </c>
      <c r="T55" s="195">
        <f t="shared" ref="T55:T64" si="43">+R55-P55</f>
        <v>-54.918486089300821</v>
      </c>
      <c r="U55" s="198">
        <f t="shared" si="26"/>
        <v>52</v>
      </c>
      <c r="V55" s="155">
        <f>+'[1]Total Funding'!AO54</f>
        <v>102262103</v>
      </c>
      <c r="W55" s="245">
        <f>+'[1]Total Funding'!AY54</f>
        <v>265673319</v>
      </c>
      <c r="X55" s="184">
        <f t="shared" ref="X55:X64" si="44">+W55-V55</f>
        <v>163411216</v>
      </c>
      <c r="Y55" s="185">
        <f t="shared" ref="Y55:Y64" si="45">+X55/V55</f>
        <v>1.5979645558433313</v>
      </c>
      <c r="Z55" s="231">
        <f>SUM('Grants Need-Based'!Z54,'Grants Non Need-Based '!Z54)*1000000</f>
        <v>64475000.000000007</v>
      </c>
      <c r="AA55" s="187">
        <f>SUM('Grants Non Need-Based '!AE54,'Grants Need-Based'!AE54)*1000000</f>
        <v>21600000</v>
      </c>
      <c r="AB55" s="184">
        <f t="shared" ref="AB55:AB64" si="46">+AA55-Z55</f>
        <v>-42875000.000000007</v>
      </c>
      <c r="AC55" s="185">
        <f t="shared" ref="AC55:AC64" si="47">+AB55/Z55</f>
        <v>-0.66498642884839088</v>
      </c>
    </row>
    <row r="56" spans="1:29">
      <c r="A56" s="23" t="s">
        <v>83</v>
      </c>
      <c r="B56" s="204">
        <f t="shared" si="0"/>
        <v>33.258487483265725</v>
      </c>
      <c r="C56" s="208">
        <f t="shared" si="21"/>
        <v>35</v>
      </c>
      <c r="D56" s="212">
        <f t="shared" si="1"/>
        <v>14.965597997833054</v>
      </c>
      <c r="E56" s="208">
        <f t="shared" si="22"/>
        <v>35</v>
      </c>
      <c r="F56" s="195">
        <f t="shared" si="2"/>
        <v>-18.292889485432671</v>
      </c>
      <c r="G56" s="208">
        <f t="shared" si="23"/>
        <v>24</v>
      </c>
      <c r="H56" s="155">
        <f>+'[1]Total Funding'!AM55</f>
        <v>46773023</v>
      </c>
      <c r="I56" s="154">
        <f>+'[1]Total Funding'!AW55</f>
        <v>103169950.19</v>
      </c>
      <c r="J56" s="184">
        <f t="shared" si="3"/>
        <v>56396927.189999998</v>
      </c>
      <c r="K56" s="185">
        <f t="shared" si="4"/>
        <v>1.2057575835968524</v>
      </c>
      <c r="L56" s="231">
        <f>SUM('Grants Need-Based'!Y55,'Grants Non Need-Based '!Y55)*1000000</f>
        <v>15556000</v>
      </c>
      <c r="M56" s="187">
        <f>SUM('Grants Non Need-Based '!AD55,'Grants Need-Based'!AD55)*1000000</f>
        <v>15440000</v>
      </c>
      <c r="N56" s="184">
        <f t="shared" si="5"/>
        <v>-116000</v>
      </c>
      <c r="O56" s="185">
        <f t="shared" si="6"/>
        <v>-7.4569298020056574E-3</v>
      </c>
      <c r="P56" s="204">
        <f t="shared" si="41"/>
        <v>34.738370779717428</v>
      </c>
      <c r="Q56" s="198">
        <f t="shared" si="24"/>
        <v>35</v>
      </c>
      <c r="R56" s="212">
        <f t="shared" si="42"/>
        <v>15.253582449289729</v>
      </c>
      <c r="S56" s="198">
        <f t="shared" si="25"/>
        <v>35</v>
      </c>
      <c r="T56" s="195">
        <f t="shared" si="43"/>
        <v>-19.484788330427698</v>
      </c>
      <c r="U56" s="198">
        <f t="shared" si="26"/>
        <v>24</v>
      </c>
      <c r="V56" s="155">
        <f>+'[1]Total Funding'!AO55</f>
        <v>51574094</v>
      </c>
      <c r="W56" s="245">
        <f>+'[1]Total Funding'!AY55</f>
        <v>107561617.44</v>
      </c>
      <c r="X56" s="184">
        <f t="shared" si="44"/>
        <v>55987523.439999998</v>
      </c>
      <c r="Y56" s="185">
        <f t="shared" si="45"/>
        <v>1.085574541357915</v>
      </c>
      <c r="Z56" s="231">
        <f>SUM('Grants Need-Based'!Z55,'Grants Non Need-Based '!Z55)*1000000</f>
        <v>17916000</v>
      </c>
      <c r="AA56" s="187">
        <f>SUM('Grants Non Need-Based '!AE55,'Grants Need-Based'!AE55)*1000000</f>
        <v>16407000</v>
      </c>
      <c r="AB56" s="184">
        <f t="shared" si="46"/>
        <v>-1509000</v>
      </c>
      <c r="AC56" s="185">
        <f t="shared" si="47"/>
        <v>-8.4226389819156061E-2</v>
      </c>
    </row>
    <row r="57" spans="1:29">
      <c r="A57" s="23" t="s">
        <v>84</v>
      </c>
      <c r="B57" s="204">
        <f t="shared" si="0"/>
        <v>45.155475630803387</v>
      </c>
      <c r="C57" s="208">
        <f t="shared" si="21"/>
        <v>30</v>
      </c>
      <c r="D57" s="212">
        <f t="shared" si="1"/>
        <v>18.556480937128438</v>
      </c>
      <c r="E57" s="208">
        <f t="shared" si="22"/>
        <v>32</v>
      </c>
      <c r="F57" s="195">
        <f t="shared" si="2"/>
        <v>-26.59899469367495</v>
      </c>
      <c r="G57" s="208">
        <f t="shared" si="23"/>
        <v>27</v>
      </c>
      <c r="H57" s="155">
        <f>+'[1]Total Funding'!AM56</f>
        <v>185284278</v>
      </c>
      <c r="I57" s="154">
        <f>+'[1]Total Funding'!AW56</f>
        <v>483518401.49000001</v>
      </c>
      <c r="J57" s="184">
        <f t="shared" si="3"/>
        <v>298234123.49000001</v>
      </c>
      <c r="K57" s="185">
        <f t="shared" si="4"/>
        <v>1.6096029663671734</v>
      </c>
      <c r="L57" s="231">
        <f>SUM('Grants Need-Based'!Y56,'Grants Non Need-Based '!Y56)*1000000</f>
        <v>83665997</v>
      </c>
      <c r="M57" s="187">
        <f>SUM('Grants Non Need-Based '!AD56,'Grants Need-Based'!AD56)*1000000</f>
        <v>89724000</v>
      </c>
      <c r="N57" s="184">
        <f t="shared" si="5"/>
        <v>6058003</v>
      </c>
      <c r="O57" s="185">
        <f t="shared" si="6"/>
        <v>7.2406989902959018E-2</v>
      </c>
      <c r="P57" s="204">
        <f t="shared" si="41"/>
        <v>39.728824887646617</v>
      </c>
      <c r="Q57" s="198">
        <f t="shared" si="24"/>
        <v>31</v>
      </c>
      <c r="R57" s="212">
        <f t="shared" si="42"/>
        <v>18.777082017499712</v>
      </c>
      <c r="S57" s="198">
        <f t="shared" si="25"/>
        <v>33</v>
      </c>
      <c r="T57" s="195">
        <f t="shared" si="43"/>
        <v>-20.951742870146905</v>
      </c>
      <c r="U57" s="198">
        <f t="shared" si="26"/>
        <v>26</v>
      </c>
      <c r="V57" s="155">
        <f>+'[1]Total Funding'!AO56</f>
        <v>217328351</v>
      </c>
      <c r="W57" s="245">
        <f>+'[1]Total Funding'!AY56</f>
        <v>494448497.98000002</v>
      </c>
      <c r="X57" s="184">
        <f t="shared" si="44"/>
        <v>277120146.98000002</v>
      </c>
      <c r="Y57" s="185">
        <f t="shared" si="45"/>
        <v>1.2751219328029597</v>
      </c>
      <c r="Z57" s="231">
        <f>SUM('Grants Need-Based'!Z56,'Grants Non Need-Based '!Z56)*1000000</f>
        <v>86342000</v>
      </c>
      <c r="AA57" s="187">
        <f>SUM('Grants Non Need-Based '!AE56,'Grants Need-Based'!AE56)*1000000</f>
        <v>92843000</v>
      </c>
      <c r="AB57" s="184">
        <f t="shared" si="46"/>
        <v>6501000</v>
      </c>
      <c r="AC57" s="185">
        <f t="shared" si="47"/>
        <v>7.5293599870283293E-2</v>
      </c>
    </row>
    <row r="58" spans="1:29">
      <c r="A58" s="23" t="s">
        <v>85</v>
      </c>
      <c r="B58" s="204">
        <f t="shared" si="0"/>
        <v>12.721858962952423</v>
      </c>
      <c r="C58" s="208">
        <f t="shared" si="21"/>
        <v>43</v>
      </c>
      <c r="D58" s="212">
        <f t="shared" si="1"/>
        <v>0</v>
      </c>
      <c r="E58" s="208">
        <f t="shared" si="22"/>
        <v>53</v>
      </c>
      <c r="F58" s="195">
        <f t="shared" si="2"/>
        <v>-12.721858962952423</v>
      </c>
      <c r="G58" s="208">
        <f t="shared" si="23"/>
        <v>18</v>
      </c>
      <c r="H58" s="155">
        <f>+'[1]Total Funding'!AM57</f>
        <v>29296033</v>
      </c>
      <c r="I58" s="154">
        <f>+'[1]Total Funding'!AW57</f>
        <v>76379853.260000005</v>
      </c>
      <c r="J58" s="184">
        <f t="shared" si="3"/>
        <v>47083820.260000005</v>
      </c>
      <c r="K58" s="185">
        <f t="shared" si="4"/>
        <v>1.6071739221484358</v>
      </c>
      <c r="L58" s="231">
        <f>SUM('Grants Need-Based'!Y57,'Grants Non Need-Based '!Y57)*1000000</f>
        <v>3727000</v>
      </c>
      <c r="M58" s="187">
        <f>SUM('Grants Non Need-Based '!AD57,'Grants Need-Based'!AD57)*1000000</f>
        <v>0</v>
      </c>
      <c r="N58" s="184">
        <f t="shared" si="5"/>
        <v>-3727000</v>
      </c>
      <c r="O58" s="185">
        <f t="shared" si="6"/>
        <v>-1</v>
      </c>
      <c r="P58" s="204">
        <f t="shared" si="41"/>
        <v>11.386751013422366</v>
      </c>
      <c r="Q58" s="198">
        <f t="shared" si="24"/>
        <v>44</v>
      </c>
      <c r="R58" s="212">
        <f t="shared" si="42"/>
        <v>0</v>
      </c>
      <c r="S58" s="198">
        <f t="shared" si="25"/>
        <v>53</v>
      </c>
      <c r="T58" s="195">
        <f t="shared" si="43"/>
        <v>-11.386751013422366</v>
      </c>
      <c r="U58" s="198">
        <f t="shared" si="26"/>
        <v>19</v>
      </c>
      <c r="V58" s="155">
        <f>+'[1]Total Funding'!AO57</f>
        <v>32783715</v>
      </c>
      <c r="W58" s="245">
        <f>+'[1]Total Funding'!AY57</f>
        <v>85539945.739999995</v>
      </c>
      <c r="X58" s="184">
        <f t="shared" si="44"/>
        <v>52756230.739999995</v>
      </c>
      <c r="Y58" s="185">
        <f t="shared" si="45"/>
        <v>1.6092206371364561</v>
      </c>
      <c r="Z58" s="231">
        <f>SUM('Grants Need-Based'!Z57,'Grants Non Need-Based '!Z57)*1000000</f>
        <v>3733000</v>
      </c>
      <c r="AA58" s="187">
        <f>SUM('Grants Non Need-Based '!AE57,'Grants Need-Based'!AE57)*1000000</f>
        <v>0</v>
      </c>
      <c r="AB58" s="184">
        <f t="shared" si="46"/>
        <v>-3733000</v>
      </c>
      <c r="AC58" s="185">
        <f t="shared" si="47"/>
        <v>-1</v>
      </c>
    </row>
    <row r="59" spans="1:29">
      <c r="A59" s="23" t="s">
        <v>86</v>
      </c>
      <c r="B59" s="204">
        <f t="shared" si="0"/>
        <v>108.95454199425384</v>
      </c>
      <c r="C59" s="208">
        <f t="shared" si="21"/>
        <v>3</v>
      </c>
      <c r="D59" s="212">
        <f t="shared" si="1"/>
        <v>52.712501403192469</v>
      </c>
      <c r="E59" s="208">
        <f t="shared" si="22"/>
        <v>4</v>
      </c>
      <c r="F59" s="195">
        <f t="shared" si="2"/>
        <v>-56.242040591061375</v>
      </c>
      <c r="G59" s="208">
        <f t="shared" si="23"/>
        <v>49</v>
      </c>
      <c r="H59" s="155">
        <f>+'[1]Total Funding'!AM58</f>
        <v>256271097</v>
      </c>
      <c r="I59" s="154">
        <f>+'[1]Total Funding'!AW58</f>
        <v>664819522.26000011</v>
      </c>
      <c r="J59" s="184">
        <f t="shared" si="3"/>
        <v>408548425.26000011</v>
      </c>
      <c r="K59" s="185">
        <f t="shared" si="4"/>
        <v>1.5942040676557454</v>
      </c>
      <c r="L59" s="231">
        <f>SUM('Grants Need-Based'!Y58,'Grants Non Need-Based '!Y58)*1000000</f>
        <v>279219000</v>
      </c>
      <c r="M59" s="187">
        <f>SUM('Grants Non Need-Based '!AD58,'Grants Need-Based'!AD58)*1000000</f>
        <v>350443000.00000006</v>
      </c>
      <c r="N59" s="184">
        <f t="shared" si="5"/>
        <v>71224000.00000006</v>
      </c>
      <c r="O59" s="185">
        <f t="shared" si="6"/>
        <v>0.25508292773772578</v>
      </c>
      <c r="P59" s="204">
        <f t="shared" si="41"/>
        <v>99.543462372164541</v>
      </c>
      <c r="Q59" s="198">
        <f t="shared" si="24"/>
        <v>3</v>
      </c>
      <c r="R59" s="212">
        <f t="shared" si="42"/>
        <v>57.821710064699182</v>
      </c>
      <c r="S59" s="198">
        <f t="shared" si="25"/>
        <v>4</v>
      </c>
      <c r="T59" s="195">
        <f t="shared" si="43"/>
        <v>-41.721752307465358</v>
      </c>
      <c r="U59" s="198">
        <f t="shared" si="26"/>
        <v>44</v>
      </c>
      <c r="V59" s="155">
        <f>+'[1]Total Funding'!AO58</f>
        <v>293841497</v>
      </c>
      <c r="W59" s="245">
        <f>+'[1]Total Funding'!AY58</f>
        <v>648958668.95000005</v>
      </c>
      <c r="X59" s="184">
        <f t="shared" si="44"/>
        <v>355117171.95000005</v>
      </c>
      <c r="Y59" s="185">
        <f t="shared" si="45"/>
        <v>1.2085330886739938</v>
      </c>
      <c r="Z59" s="231">
        <f>SUM('Grants Need-Based'!Z58,'Grants Non Need-Based '!Z58)*1000000</f>
        <v>292500000</v>
      </c>
      <c r="AA59" s="187">
        <f>SUM('Grants Non Need-Based '!AE58,'Grants Need-Based'!AE58)*1000000</f>
        <v>375239000.00000006</v>
      </c>
      <c r="AB59" s="184">
        <f t="shared" si="46"/>
        <v>82739000.00000006</v>
      </c>
      <c r="AC59" s="185">
        <f t="shared" si="47"/>
        <v>0.28286837606837628</v>
      </c>
    </row>
    <row r="60" spans="1:29">
      <c r="A60" s="23" t="s">
        <v>87</v>
      </c>
      <c r="B60" s="204">
        <f t="shared" si="0"/>
        <v>90.180568654118588</v>
      </c>
      <c r="C60" s="208">
        <f t="shared" si="21"/>
        <v>10</v>
      </c>
      <c r="D60" s="212">
        <f t="shared" si="1"/>
        <v>48.274127135189978</v>
      </c>
      <c r="E60" s="208">
        <f t="shared" si="22"/>
        <v>6</v>
      </c>
      <c r="F60" s="195">
        <f t="shared" si="2"/>
        <v>-41.906441518928609</v>
      </c>
      <c r="G60" s="208">
        <f t="shared" si="23"/>
        <v>40</v>
      </c>
      <c r="H60" s="155">
        <f>+'[1]Total Funding'!AM59</f>
        <v>955247913</v>
      </c>
      <c r="I60" s="154">
        <f>+'[1]Total Funding'!AW59</f>
        <v>1995661148.4699993</v>
      </c>
      <c r="J60" s="184">
        <f t="shared" si="3"/>
        <v>1040413235.4699993</v>
      </c>
      <c r="K60" s="185">
        <f t="shared" si="4"/>
        <v>1.0891552039119705</v>
      </c>
      <c r="L60" s="231">
        <f>SUM('Grants Need-Based'!Y59,'Grants Non Need-Based '!Y59)*1000000</f>
        <v>861448000</v>
      </c>
      <c r="M60" s="187">
        <f>SUM('Grants Non Need-Based '!AD59,'Grants Need-Based'!AD59)*1000000</f>
        <v>963388000</v>
      </c>
      <c r="N60" s="184">
        <f t="shared" si="5"/>
        <v>101940000</v>
      </c>
      <c r="O60" s="185">
        <f t="shared" si="6"/>
        <v>0.11833563952786472</v>
      </c>
      <c r="P60" s="204">
        <f t="shared" si="41"/>
        <v>78.269371205221844</v>
      </c>
      <c r="Q60" s="198">
        <f t="shared" si="24"/>
        <v>11</v>
      </c>
      <c r="R60" s="212">
        <f t="shared" si="42"/>
        <v>49.212108912047363</v>
      </c>
      <c r="S60" s="198">
        <f t="shared" si="25"/>
        <v>7</v>
      </c>
      <c r="T60" s="195">
        <f t="shared" si="43"/>
        <v>-29.057262293174482</v>
      </c>
      <c r="U60" s="198">
        <f t="shared" si="26"/>
        <v>31</v>
      </c>
      <c r="V60" s="155">
        <f>+'[1]Total Funding'!AO59</f>
        <v>1052996833</v>
      </c>
      <c r="W60" s="245">
        <f>+'[1]Total Funding'!AY59</f>
        <v>1974725370.4100003</v>
      </c>
      <c r="X60" s="184">
        <f t="shared" si="44"/>
        <v>921728537.41000032</v>
      </c>
      <c r="Y60" s="185">
        <f t="shared" si="45"/>
        <v>0.87533837569481121</v>
      </c>
      <c r="Z60" s="231">
        <f>SUM('Grants Need-Based'!Z59,'Grants Non Need-Based '!Z59)*1000000</f>
        <v>824174000</v>
      </c>
      <c r="AA60" s="187">
        <f>SUM('Grants Non Need-Based '!AE59,'Grants Need-Based'!AE59)*1000000</f>
        <v>971804000.00000012</v>
      </c>
      <c r="AB60" s="184">
        <f t="shared" si="46"/>
        <v>147630000.00000012</v>
      </c>
      <c r="AC60" s="185">
        <f t="shared" si="47"/>
        <v>0.17912479646288298</v>
      </c>
    </row>
    <row r="61" spans="1:29">
      <c r="A61" s="23" t="s">
        <v>88</v>
      </c>
      <c r="B61" s="204">
        <f t="shared" si="0"/>
        <v>101.60111926484059</v>
      </c>
      <c r="C61" s="208">
        <f t="shared" si="21"/>
        <v>5</v>
      </c>
      <c r="D61" s="212">
        <f t="shared" si="1"/>
        <v>45.502748717931382</v>
      </c>
      <c r="E61" s="208">
        <f t="shared" si="22"/>
        <v>8</v>
      </c>
      <c r="F61" s="195">
        <f t="shared" si="2"/>
        <v>-56.098370546909209</v>
      </c>
      <c r="G61" s="208">
        <f t="shared" si="23"/>
        <v>48</v>
      </c>
      <c r="H61" s="155">
        <f>+'[1]Total Funding'!AM60</f>
        <v>450763735</v>
      </c>
      <c r="I61" s="154">
        <f>+'[1]Total Funding'!AW60</f>
        <v>1003882211.2299999</v>
      </c>
      <c r="J61" s="184">
        <f t="shared" si="3"/>
        <v>553118476.2299999</v>
      </c>
      <c r="K61" s="185">
        <f t="shared" si="4"/>
        <v>1.2270696005081241</v>
      </c>
      <c r="L61" s="231">
        <f>SUM('Grants Need-Based'!Y60,'Grants Non Need-Based '!Y60)*1000000</f>
        <v>457981000</v>
      </c>
      <c r="M61" s="187">
        <f>SUM('Grants Non Need-Based '!AD60,'Grants Need-Based'!AD60)*1000000</f>
        <v>456794000</v>
      </c>
      <c r="N61" s="184">
        <f t="shared" si="5"/>
        <v>-1187000</v>
      </c>
      <c r="O61" s="185">
        <f t="shared" si="6"/>
        <v>-2.5918105772946912E-3</v>
      </c>
      <c r="P61" s="204">
        <f t="shared" si="41"/>
        <v>90.546522144544838</v>
      </c>
      <c r="Q61" s="198">
        <f t="shared" si="24"/>
        <v>7</v>
      </c>
      <c r="R61" s="212">
        <f t="shared" si="42"/>
        <v>45.928853064067368</v>
      </c>
      <c r="S61" s="198">
        <f t="shared" si="25"/>
        <v>9</v>
      </c>
      <c r="T61" s="195">
        <f t="shared" si="43"/>
        <v>-44.617669080477469</v>
      </c>
      <c r="U61" s="198">
        <f t="shared" si="26"/>
        <v>48</v>
      </c>
      <c r="V61" s="155">
        <f>+'[1]Total Funding'!AO60</f>
        <v>508524225</v>
      </c>
      <c r="W61" s="245">
        <f>+'[1]Total Funding'!AY60</f>
        <v>981729283.26999998</v>
      </c>
      <c r="X61" s="184">
        <f t="shared" si="44"/>
        <v>473205058.26999998</v>
      </c>
      <c r="Y61" s="185">
        <f t="shared" si="45"/>
        <v>0.93054575378390281</v>
      </c>
      <c r="Z61" s="231">
        <f>SUM('Grants Need-Based'!Z60,'Grants Non Need-Based '!Z60)*1000000</f>
        <v>460451000</v>
      </c>
      <c r="AA61" s="187">
        <f>SUM('Grants Non Need-Based '!AE60,'Grants Need-Based'!AE60)*1000000</f>
        <v>450897000</v>
      </c>
      <c r="AB61" s="184">
        <f t="shared" si="46"/>
        <v>-9554000</v>
      </c>
      <c r="AC61" s="185">
        <f t="shared" si="47"/>
        <v>-2.0749221958471151E-2</v>
      </c>
    </row>
    <row r="62" spans="1:29">
      <c r="A62" s="23" t="s">
        <v>89</v>
      </c>
      <c r="B62" s="204">
        <f t="shared" si="0"/>
        <v>26.199935306019512</v>
      </c>
      <c r="C62" s="208">
        <f t="shared" si="21"/>
        <v>37</v>
      </c>
      <c r="D62" s="212">
        <f t="shared" si="1"/>
        <v>10.640045054877131</v>
      </c>
      <c r="E62" s="208">
        <f t="shared" si="22"/>
        <v>38</v>
      </c>
      <c r="F62" s="195">
        <f t="shared" si="2"/>
        <v>-15.559890251142381</v>
      </c>
      <c r="G62" s="208">
        <f t="shared" si="23"/>
        <v>22</v>
      </c>
      <c r="H62" s="155">
        <f>+'[1]Total Funding'!AM61</f>
        <v>49698596</v>
      </c>
      <c r="I62" s="154">
        <f>+'[1]Total Funding'!AW61</f>
        <v>118505137.28999999</v>
      </c>
      <c r="J62" s="184">
        <f t="shared" si="3"/>
        <v>68806541.289999992</v>
      </c>
      <c r="K62" s="185">
        <f t="shared" si="4"/>
        <v>1.384476561269457</v>
      </c>
      <c r="L62" s="231">
        <f>SUM('Grants Need-Based'!Y61,'Grants Non Need-Based '!Y61)*1000000</f>
        <v>13021000</v>
      </c>
      <c r="M62" s="187">
        <f>SUM('Grants Non Need-Based '!AD61,'Grants Need-Based'!AD61)*1000000</f>
        <v>12609000</v>
      </c>
      <c r="N62" s="184">
        <f t="shared" si="5"/>
        <v>-412000</v>
      </c>
      <c r="O62" s="185">
        <f t="shared" si="6"/>
        <v>-3.164119499270409E-2</v>
      </c>
      <c r="P62" s="204">
        <f t="shared" si="41"/>
        <v>26.874508347727676</v>
      </c>
      <c r="Q62" s="198">
        <f t="shared" si="24"/>
        <v>37</v>
      </c>
      <c r="R62" s="212">
        <f t="shared" si="42"/>
        <v>11.816154436889329</v>
      </c>
      <c r="S62" s="198">
        <f t="shared" si="25"/>
        <v>40</v>
      </c>
      <c r="T62" s="195">
        <f t="shared" si="43"/>
        <v>-15.058353910838347</v>
      </c>
      <c r="U62" s="198">
        <f t="shared" si="26"/>
        <v>22</v>
      </c>
      <c r="V62" s="155">
        <f>+'[1]Total Funding'!AO61</f>
        <v>57065230</v>
      </c>
      <c r="W62" s="245">
        <f>+'[1]Total Funding'!AY61</f>
        <v>104991857.25999999</v>
      </c>
      <c r="X62" s="184">
        <f t="shared" si="44"/>
        <v>47926627.25999999</v>
      </c>
      <c r="Y62" s="185">
        <f t="shared" si="45"/>
        <v>0.83985690165447491</v>
      </c>
      <c r="Z62" s="231">
        <f>SUM('Grants Need-Based'!Z61,'Grants Non Need-Based '!Z61)*1000000</f>
        <v>15336000</v>
      </c>
      <c r="AA62" s="187">
        <f>SUM('Grants Non Need-Based '!AE61,'Grants Need-Based'!AE61)*1000000</f>
        <v>12406000</v>
      </c>
      <c r="AB62" s="184">
        <f t="shared" si="46"/>
        <v>-2930000</v>
      </c>
      <c r="AC62" s="185">
        <f t="shared" si="47"/>
        <v>-0.19105372978612414</v>
      </c>
    </row>
    <row r="63" spans="1:29">
      <c r="A63" s="32" t="s">
        <v>90</v>
      </c>
      <c r="B63" s="206">
        <f t="shared" si="0"/>
        <v>86.48191374743719</v>
      </c>
      <c r="C63" s="209">
        <f t="shared" si="21"/>
        <v>12</v>
      </c>
      <c r="D63" s="214">
        <f t="shared" si="1"/>
        <v>42.05132420285284</v>
      </c>
      <c r="E63" s="209">
        <f t="shared" si="22"/>
        <v>10</v>
      </c>
      <c r="F63" s="199">
        <f t="shared" si="2"/>
        <v>-44.43058954458435</v>
      </c>
      <c r="G63" s="209">
        <f t="shared" si="23"/>
        <v>43</v>
      </c>
      <c r="H63" s="158">
        <f>+'[1]Total Funding'!AM62</f>
        <v>19986838</v>
      </c>
      <c r="I63" s="159">
        <f>+'[1]Total Funding'!AW62</f>
        <v>43584834.359999999</v>
      </c>
      <c r="J63" s="188">
        <f t="shared" si="3"/>
        <v>23597996.359999999</v>
      </c>
      <c r="K63" s="189">
        <f t="shared" si="4"/>
        <v>1.180676821416174</v>
      </c>
      <c r="L63" s="232">
        <f>SUM('Grants Need-Based'!Y62,'Grants Non Need-Based '!Y62)*1000000</f>
        <v>17285000</v>
      </c>
      <c r="M63" s="190">
        <f>SUM('Grants Non Need-Based '!AD62,'Grants Need-Based'!AD62)*1000000</f>
        <v>18328000</v>
      </c>
      <c r="N63" s="188">
        <f t="shared" si="5"/>
        <v>1043000</v>
      </c>
      <c r="O63" s="189">
        <f t="shared" si="6"/>
        <v>6.0341336418860282E-2</v>
      </c>
      <c r="P63" s="206">
        <f t="shared" si="41"/>
        <v>84.411174761867358</v>
      </c>
      <c r="Q63" s="200">
        <f t="shared" si="24"/>
        <v>8</v>
      </c>
      <c r="R63" s="214">
        <f t="shared" si="42"/>
        <v>39.924009325686143</v>
      </c>
      <c r="S63" s="200">
        <f t="shared" si="25"/>
        <v>13</v>
      </c>
      <c r="T63" s="199">
        <f t="shared" si="43"/>
        <v>-44.487165436181215</v>
      </c>
      <c r="U63" s="254">
        <f t="shared" si="26"/>
        <v>47</v>
      </c>
      <c r="V63" s="158">
        <f>+'[1]Total Funding'!AO62</f>
        <v>22384477</v>
      </c>
      <c r="W63" s="246">
        <f>+'[1]Total Funding'!AY62</f>
        <v>43880863.410000004</v>
      </c>
      <c r="X63" s="188">
        <f t="shared" si="44"/>
        <v>21496386.410000004</v>
      </c>
      <c r="Y63" s="189">
        <f t="shared" si="45"/>
        <v>0.96032560465897876</v>
      </c>
      <c r="Z63" s="232">
        <f>SUM('Grants Need-Based'!Z62,'Grants Non Need-Based '!Z62)*1000000</f>
        <v>18895000.000000004</v>
      </c>
      <c r="AA63" s="252">
        <f>SUM('Grants Non Need-Based '!AE62,'Grants Need-Based'!AE62)*1000000</f>
        <v>17519000</v>
      </c>
      <c r="AB63" s="188">
        <f t="shared" si="46"/>
        <v>-1376000.0000000037</v>
      </c>
      <c r="AC63" s="189">
        <f t="shared" si="47"/>
        <v>-7.2823498279968424E-2</v>
      </c>
    </row>
    <row r="64" spans="1:29">
      <c r="A64" s="32" t="s">
        <v>91</v>
      </c>
      <c r="B64" s="206">
        <f t="shared" si="0"/>
        <v>71.160795200009261</v>
      </c>
      <c r="C64" s="209">
        <f t="shared" si="21"/>
        <v>17</v>
      </c>
      <c r="D64" s="214">
        <f t="shared" si="1"/>
        <v>25.051813916436277</v>
      </c>
      <c r="E64" s="209">
        <f t="shared" si="22"/>
        <v>28</v>
      </c>
      <c r="F64" s="199">
        <f t="shared" si="2"/>
        <v>-46.108981283572987</v>
      </c>
      <c r="G64" s="209">
        <f t="shared" si="23"/>
        <v>44</v>
      </c>
      <c r="H64" s="158">
        <f>+'[1]Total Funding'!AM63</f>
        <v>47309758</v>
      </c>
      <c r="I64" s="159">
        <f>+'[1]Total Funding'!AW63</f>
        <v>140452903.40000001</v>
      </c>
      <c r="J64" s="188">
        <f t="shared" si="3"/>
        <v>93143145.400000006</v>
      </c>
      <c r="K64" s="189">
        <f t="shared" si="4"/>
        <v>1.968793528810695</v>
      </c>
      <c r="L64" s="232">
        <f>SUM('Grants Need-Based'!Y63,'Grants Non Need-Based '!Y63)*1000000</f>
        <v>33666000</v>
      </c>
      <c r="M64" s="190">
        <f>SUM('Grants Non Need-Based '!AD63,'Grants Need-Based'!AD63)*1000000</f>
        <v>35186000</v>
      </c>
      <c r="N64" s="188">
        <f t="shared" si="5"/>
        <v>1520000</v>
      </c>
      <c r="O64" s="189">
        <f t="shared" si="6"/>
        <v>4.5149408899186123E-2</v>
      </c>
      <c r="P64" s="206">
        <f t="shared" si="41"/>
        <v>57.636309415784858</v>
      </c>
      <c r="Q64" s="200">
        <f t="shared" si="24"/>
        <v>23</v>
      </c>
      <c r="R64" s="214">
        <f t="shared" si="42"/>
        <v>23.852673447053178</v>
      </c>
      <c r="S64" s="200">
        <f t="shared" si="25"/>
        <v>29</v>
      </c>
      <c r="T64" s="199">
        <f t="shared" si="43"/>
        <v>-33.78363596873168</v>
      </c>
      <c r="U64" s="254">
        <f t="shared" si="26"/>
        <v>37</v>
      </c>
      <c r="V64" s="158">
        <f>+'[1]Total Funding'!AO63</f>
        <v>58116143</v>
      </c>
      <c r="W64" s="246">
        <f>+'[1]Total Funding'!AY63</f>
        <v>143111840.59</v>
      </c>
      <c r="X64" s="188">
        <f t="shared" si="44"/>
        <v>84995697.590000004</v>
      </c>
      <c r="Y64" s="189">
        <f t="shared" si="45"/>
        <v>1.4625144271876405</v>
      </c>
      <c r="Z64" s="232">
        <f>SUM('Grants Need-Based'!Z63,'Grants Non Need-Based '!Z63)*1000000</f>
        <v>33495999.999999996</v>
      </c>
      <c r="AA64" s="252">
        <f>SUM('Grants Non Need-Based '!AE63,'Grants Need-Based'!AE63)*1000000</f>
        <v>34136000</v>
      </c>
      <c r="AB64" s="188">
        <f t="shared" si="46"/>
        <v>640000.00000000373</v>
      </c>
      <c r="AC64" s="189">
        <f t="shared" si="47"/>
        <v>1.9106759016002024E-2</v>
      </c>
    </row>
    <row r="65" spans="2:9">
      <c r="H65" s="154"/>
      <c r="I65" s="154"/>
    </row>
    <row r="66" spans="2:9">
      <c r="B66" s="201" t="s">
        <v>191</v>
      </c>
    </row>
    <row r="67" spans="2:9">
      <c r="B67" s="201" t="s">
        <v>192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</sheetPr>
  <dimension ref="A1:AI80"/>
  <sheetViews>
    <sheetView zoomScale="80" zoomScaleNormal="80" workbookViewId="0">
      <pane xSplit="1" ySplit="6" topLeftCell="H7" activePane="bottomRight" state="frozen"/>
      <selection pane="topRight" activeCell="B1" sqref="B1"/>
      <selection pane="bottomLeft" activeCell="A7" sqref="A7"/>
      <selection pane="bottomRight" activeCell="AI33" sqref="AI33"/>
    </sheetView>
  </sheetViews>
  <sheetFormatPr defaultColWidth="9.140625" defaultRowHeight="12.75"/>
  <cols>
    <col min="1" max="1" width="23.42578125" customWidth="1"/>
    <col min="2" max="5" width="9.7109375" style="8" customWidth="1"/>
    <col min="6" max="7" width="9.7109375" style="55" customWidth="1"/>
    <col min="8" max="8" width="11.85546875" style="55" customWidth="1"/>
    <col min="9" max="10" width="9.7109375" style="55" customWidth="1"/>
    <col min="11" max="11" width="11.28515625" style="55" customWidth="1"/>
    <col min="12" max="12" width="10.42578125" style="55" customWidth="1"/>
    <col min="13" max="15" width="9.7109375" style="55" customWidth="1"/>
    <col min="16" max="19" width="9.7109375" style="8" customWidth="1"/>
    <col min="20" max="22" width="9.7109375" style="85" customWidth="1"/>
    <col min="23" max="23" width="10.42578125" style="73" customWidth="1"/>
    <col min="24" max="25" width="11.140625" style="73" customWidth="1"/>
    <col min="26" max="26" width="11.28515625" style="73" customWidth="1"/>
    <col min="27" max="31" width="11" style="73" customWidth="1"/>
    <col min="32" max="32" width="10.85546875" style="73" bestFit="1" customWidth="1"/>
    <col min="33" max="35" width="15.85546875" style="73" customWidth="1"/>
    <col min="36" max="16384" width="9.140625" style="73"/>
  </cols>
  <sheetData>
    <row r="1" spans="1:35">
      <c r="B1" s="2"/>
      <c r="C1" s="2"/>
      <c r="D1" s="2"/>
      <c r="E1" s="2"/>
      <c r="F1" s="54"/>
      <c r="G1" s="54"/>
      <c r="H1" s="54"/>
      <c r="I1" s="54"/>
      <c r="J1" s="54"/>
      <c r="K1" s="54"/>
      <c r="L1" s="54" t="s">
        <v>128</v>
      </c>
      <c r="M1" s="54" t="s">
        <v>129</v>
      </c>
      <c r="N1" s="54" t="s">
        <v>130</v>
      </c>
      <c r="O1" s="54" t="s">
        <v>130</v>
      </c>
      <c r="P1" s="54" t="s">
        <v>130</v>
      </c>
      <c r="Q1" s="54" t="s">
        <v>130</v>
      </c>
      <c r="R1" s="54" t="s">
        <v>130</v>
      </c>
      <c r="S1" s="54" t="s">
        <v>130</v>
      </c>
      <c r="T1" s="54" t="s">
        <v>129</v>
      </c>
      <c r="U1" s="54"/>
      <c r="V1" s="54" t="s">
        <v>130</v>
      </c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5">
      <c r="B2" s="74" t="s">
        <v>164</v>
      </c>
      <c r="C2" s="75"/>
      <c r="D2" s="75"/>
      <c r="E2" s="75"/>
      <c r="F2" s="75"/>
      <c r="G2" s="76"/>
      <c r="H2" s="76"/>
      <c r="I2" s="76"/>
      <c r="J2" s="76"/>
      <c r="K2" s="76"/>
      <c r="L2" s="76"/>
      <c r="M2" s="76"/>
      <c r="N2" s="76"/>
      <c r="O2" s="76"/>
      <c r="P2" s="76"/>
      <c r="Q2" s="75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</row>
    <row r="3" spans="1:35">
      <c r="B3" s="78" t="s">
        <v>5</v>
      </c>
      <c r="C3" s="78" t="s">
        <v>6</v>
      </c>
      <c r="D3" s="78" t="s">
        <v>7</v>
      </c>
      <c r="E3" s="78" t="s">
        <v>8</v>
      </c>
      <c r="F3" s="78" t="s">
        <v>9</v>
      </c>
      <c r="G3" s="79" t="s">
        <v>10</v>
      </c>
      <c r="H3" s="79" t="s">
        <v>11</v>
      </c>
      <c r="I3" s="79" t="s">
        <v>12</v>
      </c>
      <c r="J3" s="79" t="s">
        <v>13</v>
      </c>
      <c r="K3" s="79" t="s">
        <v>14</v>
      </c>
      <c r="L3" s="79" t="s">
        <v>15</v>
      </c>
      <c r="M3" s="79" t="s">
        <v>16</v>
      </c>
      <c r="N3" s="79" t="s">
        <v>17</v>
      </c>
      <c r="O3" s="79" t="s">
        <v>18</v>
      </c>
      <c r="P3" s="79" t="s">
        <v>19</v>
      </c>
      <c r="Q3" s="80" t="s">
        <v>20</v>
      </c>
      <c r="R3" s="80" t="s">
        <v>21</v>
      </c>
      <c r="S3" s="80" t="s">
        <v>22</v>
      </c>
      <c r="T3" s="80" t="s">
        <v>23</v>
      </c>
      <c r="U3" s="80" t="s">
        <v>24</v>
      </c>
      <c r="V3" s="80" t="s">
        <v>25</v>
      </c>
      <c r="W3" s="80" t="s">
        <v>26</v>
      </c>
      <c r="X3" s="78" t="s">
        <v>27</v>
      </c>
      <c r="Y3" s="78" t="s">
        <v>28</v>
      </c>
      <c r="Z3" s="78" t="s">
        <v>29</v>
      </c>
      <c r="AA3" s="78" t="s">
        <v>30</v>
      </c>
      <c r="AB3" s="78" t="s">
        <v>31</v>
      </c>
      <c r="AC3" s="78" t="s">
        <v>193</v>
      </c>
      <c r="AD3" s="78" t="s">
        <v>198</v>
      </c>
      <c r="AE3" s="78" t="s">
        <v>202</v>
      </c>
      <c r="AF3" s="78" t="s">
        <v>207</v>
      </c>
      <c r="AG3" s="78" t="s">
        <v>210</v>
      </c>
      <c r="AH3" s="78" t="s">
        <v>217</v>
      </c>
      <c r="AI3" s="78" t="s">
        <v>221</v>
      </c>
    </row>
    <row r="4" spans="1:35">
      <c r="A4" s="32" t="s">
        <v>33</v>
      </c>
      <c r="B4" s="81">
        <f>SUM('Grants Need-Based'!CG4,'Grants Non Need-Based '!CG4,Other!B4)</f>
        <v>1217.229</v>
      </c>
      <c r="C4" s="81">
        <f>SUM('Grants Need-Based'!CH4,'Grants Non Need-Based '!CH4,Other!C4)</f>
        <v>1399.307</v>
      </c>
      <c r="D4" s="81">
        <f>SUM('Grants Need-Based'!CI4,'Grants Non Need-Based '!CI4,Other!D4)</f>
        <v>1511.6826666666668</v>
      </c>
      <c r="E4" s="81">
        <f>SUM('Grants Need-Based'!CJ4,'Grants Non Need-Based '!CJ4,Other!E4)</f>
        <v>1722.8373333333332</v>
      </c>
      <c r="F4" s="81">
        <f>SUM('Grants Need-Based'!CK4,'Grants Non Need-Based '!CK4,Other!F4)</f>
        <v>1773.0162499999999</v>
      </c>
      <c r="G4" s="81">
        <f>SUM('Grants Need-Based'!CL4,'Grants Non Need-Based '!CL4,Other!G4)</f>
        <v>1900.8214999999998</v>
      </c>
      <c r="H4" s="81">
        <f>SUM('Grants Need-Based'!CM4,'Grants Non Need-Based '!CM4,Other!H4)</f>
        <v>2072.07915</v>
      </c>
      <c r="I4" s="81">
        <f>SUM('Grants Need-Based'!CN4,'Grants Non Need-Based '!CN4,Other!I4)</f>
        <v>2130.8370000000004</v>
      </c>
      <c r="J4" s="81">
        <f>SUM('Grants Need-Based'!CO4,'Grants Non Need-Based '!CO4,Other!J4)</f>
        <v>2315.3085000000005</v>
      </c>
      <c r="K4" s="81">
        <f>SUM('Grants Need-Based'!CP4,'Grants Non Need-Based '!CP4,Other!K4)</f>
        <v>2546.3310000000001</v>
      </c>
      <c r="L4" s="81">
        <f>SUM('Grants Need-Based'!CQ4,'Grants Non Need-Based '!CQ4,Other!L4)</f>
        <v>2902.2280000000001</v>
      </c>
      <c r="M4" s="81">
        <f>SUM('Grants Need-Based'!CR4,'Grants Non Need-Based '!CR4,Other!M4)</f>
        <v>3190.961272</v>
      </c>
      <c r="N4" s="81">
        <f>SUM('Grants Need-Based'!CS4,'Grants Non Need-Based '!CS4,Other!N4)</f>
        <v>4637.9103596333334</v>
      </c>
      <c r="O4" s="81">
        <f>SUM('Grants Need-Based'!CT4,'Grants Non Need-Based '!CT4,Other!O4)</f>
        <v>4937.533281</v>
      </c>
      <c r="P4" s="81">
        <f>SUM('Grants Need-Based'!CU4,'Grants Non Need-Based '!CU4,Other!P4)</f>
        <v>5389.9731016666665</v>
      </c>
      <c r="Q4" s="81">
        <f>SUM('Grants Need-Based'!CV4,'Grants Non Need-Based '!CV4,Other!Q4)</f>
        <v>5254.8739999999998</v>
      </c>
      <c r="R4" s="81">
        <f>SUM('Grants Need-Based'!CW4,'Grants Non Need-Based '!CW4,Other!R4)</f>
        <v>5848.0877333333328</v>
      </c>
      <c r="S4" s="81">
        <f>SUM('Grants Need-Based'!CX4,'Grants Non Need-Based '!CX4,Other!S4)</f>
        <v>5951.5253666666667</v>
      </c>
      <c r="T4" s="81">
        <f>SUM('Grants Need-Based'!CY4,'Grants Non Need-Based '!CY4,Other!T4)</f>
        <v>6307.8475666666673</v>
      </c>
      <c r="U4" s="81">
        <f>SUM('Grants Need-Based'!CZ4,'Grants Non Need-Based '!CZ4,Other!U4)</f>
        <v>6897.4912999999988</v>
      </c>
      <c r="V4" s="81">
        <f>SUM('Grants Need-Based'!DA4,'Grants Non Need-Based '!DA4,Other!V4)</f>
        <v>7462.2082841111105</v>
      </c>
      <c r="W4" s="81">
        <f>SUM('Grants Need-Based'!DB4,'Grants Non Need-Based '!DB4,Other!W4)</f>
        <v>7918.8425761666667</v>
      </c>
      <c r="X4" s="81">
        <f>SUM('Grants Need-Based'!DC4,'Grants Non Need-Based '!DC4,Other!X4)</f>
        <v>8460.252457999999</v>
      </c>
      <c r="Y4" s="81">
        <f>SUM('Grants Need-Based'!DD4,'Grants Non Need-Based '!DD4,Other!Y4)</f>
        <v>9309.9015643333332</v>
      </c>
      <c r="Z4" s="81">
        <f>SUM('Grants Need-Based'!DE4,'Grants Non Need-Based '!DE4,Other!Z4)</f>
        <v>9985.9234946666675</v>
      </c>
      <c r="AA4" s="81">
        <f>SUM('Grants Need-Based'!DF4,'Grants Non Need-Based '!DF4,Other!AA4)</f>
        <v>10298.494499999999</v>
      </c>
      <c r="AB4" s="81">
        <f>SUM('Grants Need-Based'!DG4,'Grants Non Need-Based '!DG4,Other!AB4)</f>
        <v>10774.428500000002</v>
      </c>
      <c r="AC4" s="81">
        <f>SUM('Grants Need-Based'!DH4,'Grants Non Need-Based '!DH4,Other!AC4)</f>
        <v>10995.833000000001</v>
      </c>
      <c r="AD4" s="81">
        <f>SUM('Grants Need-Based'!DI4,'Grants Non Need-Based '!DI4,Other!AD4)</f>
        <v>11077.07</v>
      </c>
      <c r="AE4" s="81">
        <f>SUM('Grants Need-Based'!DJ4,'Grants Non Need-Based '!DJ4,Other!AE4)</f>
        <v>11487.739</v>
      </c>
      <c r="AF4" s="81">
        <f>SUM('Grants Need-Based'!DK4,'Grants Non Need-Based '!DK4,Other!AF4)</f>
        <v>11661.016</v>
      </c>
      <c r="AG4" s="81">
        <f>SUM('Grants Need-Based'!DL4,'Grants Non Need-Based '!DL4,Other!AG4)</f>
        <v>12361.887999999999</v>
      </c>
      <c r="AH4" s="81">
        <f>SUM('Grants Need-Based'!DM4,'Grants Non Need-Based '!DM4,Other!AH4)</f>
        <v>12492.5959</v>
      </c>
      <c r="AI4" s="81">
        <f>SUM('Grants Need-Based'!DN4,'Grants Non Need-Based '!DN4,Other!AI4)</f>
        <v>12839.639591000003</v>
      </c>
    </row>
    <row r="5" spans="1:35">
      <c r="A5" s="23" t="s">
        <v>34</v>
      </c>
      <c r="B5" s="82">
        <f>SUM('Grants Need-Based'!CG5,'Grants Non Need-Based '!CG5,Other!B5)</f>
        <v>189.93699999999998</v>
      </c>
      <c r="C5" s="82">
        <f>SUM('Grants Need-Based'!CH5,'Grants Non Need-Based '!CH5,Other!C5)</f>
        <v>215.01499999999999</v>
      </c>
      <c r="D5" s="82">
        <f>SUM('Grants Need-Based'!CI5,'Grants Non Need-Based '!CI5,Other!D5)</f>
        <v>228.98200000000003</v>
      </c>
      <c r="E5" s="82">
        <f>SUM('Grants Need-Based'!CJ5,'Grants Non Need-Based '!CJ5,Other!E5)</f>
        <v>300.33999999999997</v>
      </c>
      <c r="F5" s="82">
        <f>SUM('Grants Need-Based'!CK5,'Grants Non Need-Based '!CK5,Other!F5)</f>
        <v>336.51425</v>
      </c>
      <c r="G5" s="82">
        <f>SUM('Grants Need-Based'!CL5,'Grants Non Need-Based '!CL5,Other!G5)</f>
        <v>371.72450000000003</v>
      </c>
      <c r="H5" s="82">
        <f>SUM('Grants Need-Based'!CM5,'Grants Non Need-Based '!CM5,Other!H5)</f>
        <v>418.69574999999998</v>
      </c>
      <c r="I5" s="82">
        <f>SUM('Grants Need-Based'!CN5,'Grants Non Need-Based '!CN5,Other!I5)</f>
        <v>449.904</v>
      </c>
      <c r="J5" s="82">
        <f>SUM('Grants Need-Based'!CO5,'Grants Non Need-Based '!CO5,Other!J5)</f>
        <v>503.03749999999997</v>
      </c>
      <c r="K5" s="82">
        <f>SUM('Grants Need-Based'!CP5,'Grants Non Need-Based '!CP5,Other!K5)</f>
        <v>515.83000000000004</v>
      </c>
      <c r="L5" s="82">
        <f>SUM('Grants Need-Based'!CQ5,'Grants Non Need-Based '!CQ5,Other!L5)</f>
        <v>553.54899999999998</v>
      </c>
      <c r="M5" s="82">
        <f>SUM('Grants Need-Based'!CR5,'Grants Non Need-Based '!CR5,Other!M5)</f>
        <v>692.19529000000011</v>
      </c>
      <c r="N5" s="82">
        <f>SUM('Grants Need-Based'!CS5,'Grants Non Need-Based '!CS5,Other!N5)</f>
        <v>1040.2204663</v>
      </c>
      <c r="O5" s="82">
        <f>SUM('Grants Need-Based'!CT5,'Grants Non Need-Based '!CT5,Other!O5)</f>
        <v>1154.1252523333333</v>
      </c>
      <c r="P5" s="82">
        <f>SUM('Grants Need-Based'!CU5,'Grants Non Need-Based '!CU5,Other!P5)</f>
        <v>1268.5372586666667</v>
      </c>
      <c r="Q5" s="82">
        <f>SUM('Grants Need-Based'!CV5,'Grants Non Need-Based '!CV5,Other!Q5)</f>
        <v>1471.5715</v>
      </c>
      <c r="R5" s="82">
        <f>SUM('Grants Need-Based'!CW5,'Grants Non Need-Based '!CW5,Other!R5)</f>
        <v>1739.3333333333333</v>
      </c>
      <c r="S5" s="82">
        <f>SUM('Grants Need-Based'!CX5,'Grants Non Need-Based '!CX5,Other!S5)</f>
        <v>1806.8071666666667</v>
      </c>
      <c r="T5" s="82">
        <f>SUM('Grants Need-Based'!CY5,'Grants Non Need-Based '!CY5,Other!T5)</f>
        <v>2036.7840000000001</v>
      </c>
      <c r="U5" s="82">
        <f>SUM('Grants Need-Based'!CZ5,'Grants Non Need-Based '!CZ5,Other!U5)</f>
        <v>2422.2584999999995</v>
      </c>
      <c r="V5" s="82">
        <f>SUM('Grants Need-Based'!DA5,'Grants Non Need-Based '!DA5,Other!V5)</f>
        <v>2613.9054999999998</v>
      </c>
      <c r="W5" s="82">
        <f>SUM('Grants Need-Based'!DB5,'Grants Non Need-Based '!DB5,Other!W5)</f>
        <v>2856.8906000000002</v>
      </c>
      <c r="X5" s="82">
        <f>SUM('Grants Need-Based'!DC5,'Grants Non Need-Based '!DC5,Other!X5)</f>
        <v>3148.7617849999997</v>
      </c>
      <c r="Y5" s="82">
        <f>SUM('Grants Need-Based'!DD5,'Grants Non Need-Based '!DD5,Other!Y5)</f>
        <v>3494.1070000000004</v>
      </c>
      <c r="Z5" s="82">
        <f>SUM('Grants Need-Based'!DE5,'Grants Non Need-Based '!DE5,Other!Z5)</f>
        <v>3924.5200000000004</v>
      </c>
      <c r="AA5" s="82">
        <f>SUM('Grants Need-Based'!DF5,'Grants Non Need-Based '!DF5,Other!AA5)</f>
        <v>4194.2179999999998</v>
      </c>
      <c r="AB5" s="82">
        <f>SUM('Grants Need-Based'!DG5,'Grants Non Need-Based '!DG5,Other!AB5)</f>
        <v>4610.9295000000002</v>
      </c>
      <c r="AC5" s="82">
        <f>SUM('Grants Need-Based'!DH5,'Grants Non Need-Based '!DH5,Other!AC5)</f>
        <v>4968.1729999999998</v>
      </c>
      <c r="AD5" s="82">
        <f>SUM('Grants Need-Based'!DI5,'Grants Non Need-Based '!DI5,Other!AD5)</f>
        <v>4594.4760000000006</v>
      </c>
      <c r="AE5" s="82">
        <f>SUM('Grants Need-Based'!DJ5,'Grants Non Need-Based '!DJ5,Other!AE5)</f>
        <v>4947.1120000000001</v>
      </c>
      <c r="AF5" s="82">
        <f>SUM('Grants Need-Based'!DK5,'Grants Non Need-Based '!DK5,Other!AF5)</f>
        <v>4882.652</v>
      </c>
      <c r="AG5" s="82">
        <f>SUM('Grants Need-Based'!DL5,'Grants Non Need-Based '!DL5,Other!AG5)</f>
        <v>5248.7110000000002</v>
      </c>
      <c r="AH5" s="82">
        <f>SUM('Grants Need-Based'!DM5,'Grants Non Need-Based '!DM5,Other!AH5)</f>
        <v>5305.5096279999998</v>
      </c>
      <c r="AI5" s="82">
        <f>SUM('Grants Need-Based'!DN5,'Grants Non Need-Based '!DN5,Other!AI5)</f>
        <v>5462.3955569999998</v>
      </c>
    </row>
    <row r="6" spans="1:35">
      <c r="A6" s="7" t="s">
        <v>35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1:35">
      <c r="A7" s="23" t="s">
        <v>36</v>
      </c>
      <c r="B7" s="82">
        <f>SUM('Grants Need-Based'!CG7,'Grants Non Need-Based '!CG7,Other!B7)</f>
        <v>5.5720000000000001</v>
      </c>
      <c r="C7" s="82">
        <f>SUM('Grants Need-Based'!CH7,'Grants Non Need-Based '!CH7,Other!C7)</f>
        <v>9.83</v>
      </c>
      <c r="D7" s="82">
        <f>SUM('Grants Need-Based'!CI7,'Grants Non Need-Based '!CI7,Other!D7)</f>
        <v>6.7029999999999994</v>
      </c>
      <c r="E7" s="82">
        <f>SUM('Grants Need-Based'!CJ7,'Grants Non Need-Based '!CJ7,Other!E7)</f>
        <v>9.9359999999999999</v>
      </c>
      <c r="F7" s="82">
        <f>SUM('Grants Need-Based'!CK7,'Grants Non Need-Based '!CK7,Other!F7)</f>
        <v>9.7029999999999994</v>
      </c>
      <c r="G7" s="82">
        <f>SUM('Grants Need-Based'!CL7,'Grants Non Need-Based '!CL7,Other!G7)</f>
        <v>11.238999999999999</v>
      </c>
      <c r="H7" s="82">
        <f>SUM('Grants Need-Based'!CM7,'Grants Non Need-Based '!CM7,Other!H7)</f>
        <v>11.907</v>
      </c>
      <c r="I7" s="82">
        <f>SUM('Grants Need-Based'!CN7,'Grants Non Need-Based '!CN7,Other!I7)</f>
        <v>15.880999999999998</v>
      </c>
      <c r="J7" s="82">
        <f>SUM('Grants Need-Based'!CO7,'Grants Non Need-Based '!CO7,Other!J7)</f>
        <v>13.191000000000001</v>
      </c>
      <c r="K7" s="82">
        <f>SUM('Grants Need-Based'!CP7,'Grants Non Need-Based '!CP7,Other!K7)</f>
        <v>14.183</v>
      </c>
      <c r="L7" s="82">
        <f>SUM('Grants Need-Based'!CQ7,'Grants Non Need-Based '!CQ7,Other!L7)</f>
        <v>16.882999999999999</v>
      </c>
      <c r="M7" s="82">
        <f>SUM('Grants Need-Based'!CR7,'Grants Non Need-Based '!CR7,Other!M7)</f>
        <v>12.353627000000001</v>
      </c>
      <c r="N7" s="82">
        <f>SUM('Grants Need-Based'!CS7,'Grants Non Need-Based '!CS7,Other!N7)</f>
        <v>11.6904</v>
      </c>
      <c r="O7" s="82">
        <f>SUM('Grants Need-Based'!CT7,'Grants Non Need-Based '!CT7,Other!O7)</f>
        <v>10.210225999999999</v>
      </c>
      <c r="P7" s="82">
        <f>SUM('Grants Need-Based'!CU7,'Grants Non Need-Based '!CU7,Other!P7)</f>
        <v>14.279</v>
      </c>
      <c r="Q7" s="82">
        <f>SUM('Grants Need-Based'!CV7,'Grants Non Need-Based '!CV7,Other!Q7)</f>
        <v>14.029499999999999</v>
      </c>
      <c r="R7" s="82">
        <f>SUM('Grants Need-Based'!CW7,'Grants Non Need-Based '!CW7,Other!R7)</f>
        <v>13.863</v>
      </c>
      <c r="S7" s="82">
        <f>SUM('Grants Need-Based'!CX7,'Grants Non Need-Based '!CX7,Other!S7)</f>
        <v>13.279</v>
      </c>
      <c r="T7" s="82">
        <f>SUM('Grants Need-Based'!CY7,'Grants Non Need-Based '!CY7,Other!T7)</f>
        <v>13.042999999999999</v>
      </c>
      <c r="U7" s="82">
        <f>SUM('Grants Need-Based'!CZ7,'Grants Non Need-Based '!CZ7,Other!U7)</f>
        <v>12.355999999999998</v>
      </c>
      <c r="V7" s="82">
        <f>SUM('Grants Need-Based'!DA7,'Grants Non Need-Based '!DA7,Other!V7)</f>
        <v>7.1555</v>
      </c>
      <c r="W7" s="82">
        <f>SUM('Grants Need-Based'!DB7,'Grants Non Need-Based '!DB7,Other!W7)</f>
        <v>6.9660000000000002</v>
      </c>
      <c r="X7" s="82">
        <f>SUM('Grants Need-Based'!DC7,'Grants Non Need-Based '!DC7,Other!X7)</f>
        <v>9.966094</v>
      </c>
      <c r="Y7" s="82">
        <f>SUM('Grants Need-Based'!DD7,'Grants Non Need-Based '!DD7,Other!Y7)</f>
        <v>10.294</v>
      </c>
      <c r="Z7" s="82">
        <f>SUM('Grants Need-Based'!DE7,'Grants Non Need-Based '!DE7,Other!Z7)</f>
        <v>21.672999999999998</v>
      </c>
      <c r="AA7" s="82">
        <f>SUM('Grants Need-Based'!DF7,'Grants Non Need-Based '!DF7,Other!AA7)</f>
        <v>24.035000000000004</v>
      </c>
      <c r="AB7" s="82">
        <f>SUM('Grants Need-Based'!DG7,'Grants Non Need-Based '!DG7,Other!AB7)</f>
        <v>28.274999999999999</v>
      </c>
      <c r="AC7" s="82">
        <f>SUM('Grants Need-Based'!DH7,'Grants Non Need-Based '!DH7,Other!AC7)</f>
        <v>20.552000000000003</v>
      </c>
      <c r="AD7" s="82">
        <f>SUM('Grants Need-Based'!DI7,'Grants Non Need-Based '!DI7,Other!AD7)</f>
        <v>19.722000000000001</v>
      </c>
      <c r="AE7" s="82">
        <f>SUM('Grants Need-Based'!DJ7,'Grants Non Need-Based '!DJ7,Other!AE7)</f>
        <v>9.5360000000000014</v>
      </c>
      <c r="AF7" s="82">
        <f>SUM('Grants Need-Based'!DK7,'Grants Non Need-Based '!DK7,Other!AF7)</f>
        <v>9.5390000000000015</v>
      </c>
      <c r="AG7" s="268">
        <f>SUM('Grants Need-Based'!DL7,'Grants Non Need-Based '!DL7,Other!AG7)</f>
        <v>6.141</v>
      </c>
      <c r="AH7" s="268">
        <f>SUM('Grants Need-Based'!DM7,'Grants Non Need-Based '!DM7,Other!AH7)</f>
        <v>7.5483419999999999</v>
      </c>
      <c r="AI7" s="268">
        <f>SUM('Grants Need-Based'!DN7,'Grants Non Need-Based '!DN7,Other!AI7)</f>
        <v>82.248861000000005</v>
      </c>
    </row>
    <row r="8" spans="1:35">
      <c r="A8" s="23" t="s">
        <v>38</v>
      </c>
      <c r="B8" s="82">
        <f>SUM('Grants Need-Based'!CG8,'Grants Non Need-Based '!CG8,Other!B8)</f>
        <v>2.3079999999999998</v>
      </c>
      <c r="C8" s="82">
        <f>SUM('Grants Need-Based'!CH8,'Grants Non Need-Based '!CH8,Other!C8)</f>
        <v>4.4210000000000003</v>
      </c>
      <c r="D8" s="82">
        <f>SUM('Grants Need-Based'!CI8,'Grants Non Need-Based '!CI8,Other!D8)</f>
        <v>4.8040000000000003</v>
      </c>
      <c r="E8" s="82">
        <f>SUM('Grants Need-Based'!CJ8,'Grants Non Need-Based '!CJ8,Other!E8)</f>
        <v>5.7029999999999994</v>
      </c>
      <c r="F8" s="82">
        <f>SUM('Grants Need-Based'!CK8,'Grants Non Need-Based '!CK8,Other!F8)</f>
        <v>4.7050000000000001</v>
      </c>
      <c r="G8" s="82">
        <f>SUM('Grants Need-Based'!CL8,'Grants Non Need-Based '!CL8,Other!G8)</f>
        <v>4.7439999999999998</v>
      </c>
      <c r="H8" s="82">
        <f>SUM('Grants Need-Based'!CM8,'Grants Non Need-Based '!CM8,Other!H8)</f>
        <v>4.827</v>
      </c>
      <c r="I8" s="82">
        <f>SUM('Grants Need-Based'!CN8,'Grants Non Need-Based '!CN8,Other!I8)</f>
        <v>5.1069999999999993</v>
      </c>
      <c r="J8" s="82">
        <f>SUM('Grants Need-Based'!CO8,'Grants Non Need-Based '!CO8,Other!J8)</f>
        <v>8.0310000000000006</v>
      </c>
      <c r="K8" s="82">
        <f>SUM('Grants Need-Based'!CP8,'Grants Non Need-Based '!CP8,Other!K8)</f>
        <v>7.3040000000000003</v>
      </c>
      <c r="L8" s="82">
        <f>SUM('Grants Need-Based'!CQ8,'Grants Non Need-Based '!CQ8,Other!L8)</f>
        <v>8.7624999999999993</v>
      </c>
      <c r="M8" s="82">
        <f>SUM('Grants Need-Based'!CR8,'Grants Non Need-Based '!CR8,Other!M8)</f>
        <v>10.399789</v>
      </c>
      <c r="N8" s="82">
        <f>SUM('Grants Need-Based'!CS8,'Grants Non Need-Based '!CS8,Other!N8)</f>
        <v>12.777400000000002</v>
      </c>
      <c r="O8" s="82">
        <f>SUM('Grants Need-Based'!CT8,'Grants Non Need-Based '!CT8,Other!O8)</f>
        <v>14.938558</v>
      </c>
      <c r="P8" s="82">
        <f>SUM('Grants Need-Based'!CU8,'Grants Non Need-Based '!CU8,Other!P8)</f>
        <v>16.426000000000002</v>
      </c>
      <c r="Q8" s="82">
        <f>SUM('Grants Need-Based'!CV8,'Grants Non Need-Based '!CV8,Other!Q8)</f>
        <v>21.334500000000002</v>
      </c>
      <c r="R8" s="82">
        <f>SUM('Grants Need-Based'!CW8,'Grants Non Need-Based '!CW8,Other!R8)</f>
        <v>31.931000000000001</v>
      </c>
      <c r="S8" s="82">
        <f>SUM('Grants Need-Based'!CX8,'Grants Non Need-Based '!CX8,Other!S8)</f>
        <v>40.239999999999995</v>
      </c>
      <c r="T8" s="82">
        <f>SUM('Grants Need-Based'!CY8,'Grants Non Need-Based '!CY8,Other!T8)</f>
        <v>38.808999999999997</v>
      </c>
      <c r="U8" s="82">
        <f>SUM('Grants Need-Based'!CZ8,'Grants Non Need-Based '!CZ8,Other!U8)</f>
        <v>29.047999999999998</v>
      </c>
      <c r="V8" s="82">
        <f>SUM('Grants Need-Based'!DA8,'Grants Non Need-Based '!DA8,Other!V8)</f>
        <v>30.64</v>
      </c>
      <c r="W8" s="82">
        <f>SUM('Grants Need-Based'!DB8,'Grants Non Need-Based '!DB8,Other!W8)</f>
        <v>22.381000000000004</v>
      </c>
      <c r="X8" s="82">
        <f>SUM('Grants Need-Based'!DC8,'Grants Non Need-Based '!DC8,Other!X8)</f>
        <v>34.557780999999999</v>
      </c>
      <c r="Y8" s="82">
        <f>SUM('Grants Need-Based'!DD8,'Grants Non Need-Based '!DD8,Other!Y8)</f>
        <v>36.918999999999997</v>
      </c>
      <c r="Z8" s="82">
        <f>SUM('Grants Need-Based'!DE8,'Grants Non Need-Based '!DE8,Other!Z8)</f>
        <v>40.241000000000007</v>
      </c>
      <c r="AA8" s="82">
        <f>SUM('Grants Need-Based'!DF8,'Grants Non Need-Based '!DF8,Other!AA8)</f>
        <v>44.92</v>
      </c>
      <c r="AB8" s="82">
        <f>SUM('Grants Need-Based'!DG8,'Grants Non Need-Based '!DG8,Other!AB8)</f>
        <v>51.78</v>
      </c>
      <c r="AC8" s="82">
        <f>SUM('Grants Need-Based'!DH8,'Grants Non Need-Based '!DH8,Other!AC8)</f>
        <v>154.49300000000002</v>
      </c>
      <c r="AD8" s="82">
        <f>SUM('Grants Need-Based'!DI8,'Grants Non Need-Based '!DI8,Other!AD8)</f>
        <v>158.17400000000004</v>
      </c>
      <c r="AE8" s="82">
        <f>SUM('Grants Need-Based'!DJ8,'Grants Non Need-Based '!DJ8,Other!AE8)</f>
        <v>158.46699999999998</v>
      </c>
      <c r="AF8" s="82">
        <f>SUM('Grants Need-Based'!DK8,'Grants Non Need-Based '!DK8,Other!AF8)</f>
        <v>141.31099999999998</v>
      </c>
      <c r="AG8" s="268">
        <f>SUM('Grants Need-Based'!DL8,'Grants Non Need-Based '!DL8,Other!AG8)</f>
        <v>129.90199999999999</v>
      </c>
      <c r="AH8" s="268">
        <f>SUM('Grants Need-Based'!DM8,'Grants Non Need-Based '!DM8,Other!AH8)</f>
        <v>128.749064</v>
      </c>
      <c r="AI8" s="268">
        <f>SUM('Grants Need-Based'!DN8,'Grants Non Need-Based '!DN8,Other!AI8)</f>
        <v>120.58707600000001</v>
      </c>
    </row>
    <row r="9" spans="1:35">
      <c r="A9" s="23" t="s">
        <v>39</v>
      </c>
      <c r="B9" s="82">
        <f>SUM('Grants Need-Based'!CG9,'Grants Non Need-Based '!CG9,Other!B9)</f>
        <v>0.68799999999999994</v>
      </c>
      <c r="C9" s="82">
        <f>SUM('Grants Need-Based'!CH9,'Grants Non Need-Based '!CH9,Other!C9)</f>
        <v>0.96699999999999997</v>
      </c>
      <c r="D9" s="82">
        <f>SUM('Grants Need-Based'!CI9,'Grants Non Need-Based '!CI9,Other!D9)</f>
        <v>1.0660000000000001</v>
      </c>
      <c r="E9" s="82">
        <f>SUM('Grants Need-Based'!CJ9,'Grants Non Need-Based '!CJ9,Other!E9)</f>
        <v>1.321</v>
      </c>
      <c r="F9" s="82">
        <f>SUM('Grants Need-Based'!CK9,'Grants Non Need-Based '!CK9,Other!F9)</f>
        <v>1.3030000000000002</v>
      </c>
      <c r="G9" s="82">
        <f>SUM('Grants Need-Based'!CL9,'Grants Non Need-Based '!CL9,Other!G9)</f>
        <v>1.3830000000000002</v>
      </c>
      <c r="H9" s="82">
        <f>SUM('Grants Need-Based'!CM9,'Grants Non Need-Based '!CM9,Other!H9)</f>
        <v>1.5820000000000001</v>
      </c>
      <c r="I9" s="82">
        <f>SUM('Grants Need-Based'!CN9,'Grants Non Need-Based '!CN9,Other!I9)</f>
        <v>1.8480000000000003</v>
      </c>
      <c r="J9" s="82">
        <f>SUM('Grants Need-Based'!CO9,'Grants Non Need-Based '!CO9,Other!J9)</f>
        <v>1.669</v>
      </c>
      <c r="K9" s="82">
        <f>SUM('Grants Need-Based'!CP9,'Grants Non Need-Based '!CP9,Other!K9)</f>
        <v>1.55</v>
      </c>
      <c r="L9" s="82">
        <f>SUM('Grants Need-Based'!CQ9,'Grants Non Need-Based '!CQ9,Other!L9)</f>
        <v>6.601</v>
      </c>
      <c r="M9" s="82">
        <f>SUM('Grants Need-Based'!CR9,'Grants Non Need-Based '!CR9,Other!M9)</f>
        <v>1.508</v>
      </c>
      <c r="N9" s="82">
        <f>SUM('Grants Need-Based'!CS9,'Grants Non Need-Based '!CS9,Other!N9)</f>
        <v>8.5524000000000004</v>
      </c>
      <c r="O9" s="82">
        <f>SUM('Grants Need-Based'!CT9,'Grants Non Need-Based '!CT9,Other!O9)</f>
        <v>8.6159999999999997</v>
      </c>
      <c r="P9" s="82">
        <f>SUM('Grants Need-Based'!CU9,'Grants Non Need-Based '!CU9,Other!P9)</f>
        <v>9.2539999999999996</v>
      </c>
      <c r="Q9" s="82">
        <f>SUM('Grants Need-Based'!CV9,'Grants Non Need-Based '!CV9,Other!Q9)</f>
        <v>11.108000000000001</v>
      </c>
      <c r="R9" s="82">
        <f>SUM('Grants Need-Based'!CW9,'Grants Non Need-Based '!CW9,Other!R9)</f>
        <v>10.657</v>
      </c>
      <c r="S9" s="82">
        <f>SUM('Grants Need-Based'!CX9,'Grants Non Need-Based '!CX9,Other!S9)</f>
        <v>12.421999999999999</v>
      </c>
      <c r="T9" s="82">
        <f>SUM('Grants Need-Based'!CY9,'Grants Non Need-Based '!CY9,Other!T9)</f>
        <v>13.419</v>
      </c>
      <c r="U9" s="82">
        <f>SUM('Grants Need-Based'!CZ9,'Grants Non Need-Based '!CZ9,Other!U9)</f>
        <v>14.089</v>
      </c>
      <c r="V9" s="82">
        <f>SUM('Grants Need-Based'!DA9,'Grants Non Need-Based '!DA9,Other!V9)</f>
        <v>19.508499999999998</v>
      </c>
      <c r="W9" s="82">
        <f>SUM('Grants Need-Based'!DB9,'Grants Non Need-Based '!DB9,Other!W9)</f>
        <v>13.544</v>
      </c>
      <c r="X9" s="82">
        <f>SUM('Grants Need-Based'!DC9,'Grants Non Need-Based '!DC9,Other!X9)</f>
        <v>11.834265999999998</v>
      </c>
      <c r="Y9" s="82">
        <f>SUM('Grants Need-Based'!DD9,'Grants Non Need-Based '!DD9,Other!Y9)</f>
        <v>15.385000000000002</v>
      </c>
      <c r="Z9" s="82">
        <f>SUM('Grants Need-Based'!DE9,'Grants Non Need-Based '!DE9,Other!Z9)</f>
        <v>18.881</v>
      </c>
      <c r="AA9" s="82">
        <f>SUM('Grants Need-Based'!DF9,'Grants Non Need-Based '!DF9,Other!AA9)</f>
        <v>18.881</v>
      </c>
      <c r="AB9" s="82">
        <f>SUM('Grants Need-Based'!DG9,'Grants Non Need-Based '!DG9,Other!AB9)</f>
        <v>21.276</v>
      </c>
      <c r="AC9" s="82">
        <f>SUM('Grants Need-Based'!DH9,'Grants Non Need-Based '!DH9,Other!AC9)</f>
        <v>21.161000000000001</v>
      </c>
      <c r="AD9" s="82">
        <f>SUM('Grants Need-Based'!DI9,'Grants Non Need-Based '!DI9,Other!AD9)</f>
        <v>21.922000000000001</v>
      </c>
      <c r="AE9" s="82">
        <f>SUM('Grants Need-Based'!DJ9,'Grants Non Need-Based '!DJ9,Other!AE9)</f>
        <v>21.882000000000001</v>
      </c>
      <c r="AF9" s="82">
        <f>SUM('Grants Need-Based'!DK9,'Grants Non Need-Based '!DK9,Other!AF9)</f>
        <v>22.860999999999997</v>
      </c>
      <c r="AG9" s="268">
        <f>SUM('Grants Need-Based'!DL9,'Grants Non Need-Based '!DL9,Other!AG9)</f>
        <v>25.026</v>
      </c>
      <c r="AH9" s="268">
        <f>SUM('Grants Need-Based'!DM9,'Grants Non Need-Based '!DM9,Other!AH9)</f>
        <v>23.978239000000002</v>
      </c>
      <c r="AI9" s="268">
        <f>SUM('Grants Need-Based'!DN9,'Grants Non Need-Based '!DN9,Other!AI9)</f>
        <v>25.672866999999997</v>
      </c>
    </row>
    <row r="10" spans="1:35">
      <c r="A10" s="23" t="s">
        <v>40</v>
      </c>
      <c r="B10" s="82">
        <f>SUM('Grants Need-Based'!CG10,'Grants Non Need-Based '!CG10,Other!B10)</f>
        <v>26.04</v>
      </c>
      <c r="C10" s="82">
        <f>SUM('Grants Need-Based'!CH10,'Grants Non Need-Based '!CH10,Other!C10)</f>
        <v>28.337999999999997</v>
      </c>
      <c r="D10" s="82">
        <f>SUM('Grants Need-Based'!CI10,'Grants Non Need-Based '!CI10,Other!D10)</f>
        <v>32.038000000000004</v>
      </c>
      <c r="E10" s="82">
        <f>SUM('Grants Need-Based'!CJ10,'Grants Non Need-Based '!CJ10,Other!E10)</f>
        <v>35.515999999999998</v>
      </c>
      <c r="F10" s="82">
        <f>SUM('Grants Need-Based'!CK10,'Grants Non Need-Based '!CK10,Other!F10)</f>
        <v>38.330999999999996</v>
      </c>
      <c r="G10" s="82">
        <f>SUM('Grants Need-Based'!CL10,'Grants Non Need-Based '!CL10,Other!G10)</f>
        <v>49.173999999999999</v>
      </c>
      <c r="H10" s="82">
        <f>SUM('Grants Need-Based'!CM10,'Grants Non Need-Based '!CM10,Other!H10)</f>
        <v>56.316000000000003</v>
      </c>
      <c r="I10" s="82">
        <f>SUM('Grants Need-Based'!CN10,'Grants Non Need-Based '!CN10,Other!I10)</f>
        <v>69.063000000000002</v>
      </c>
      <c r="J10" s="82">
        <f>SUM('Grants Need-Based'!CO10,'Grants Non Need-Based '!CO10,Other!J10)</f>
        <v>72.674000000000007</v>
      </c>
      <c r="K10" s="82">
        <f>SUM('Grants Need-Based'!CP10,'Grants Non Need-Based '!CP10,Other!K10)</f>
        <v>76.338999999999999</v>
      </c>
      <c r="L10" s="82">
        <f>SUM('Grants Need-Based'!CQ10,'Grants Non Need-Based '!CQ10,Other!L10)</f>
        <v>88.037000000000006</v>
      </c>
      <c r="M10" s="82">
        <f>SUM('Grants Need-Based'!CR10,'Grants Non Need-Based '!CR10,Other!M10)</f>
        <v>105.306957</v>
      </c>
      <c r="N10" s="82">
        <f>SUM('Grants Need-Based'!CS10,'Grants Non Need-Based '!CS10,Other!N10)</f>
        <v>106.1724</v>
      </c>
      <c r="O10" s="82">
        <f>SUM('Grants Need-Based'!CT10,'Grants Non Need-Based '!CT10,Other!O10)</f>
        <v>115.12303199999999</v>
      </c>
      <c r="P10" s="82">
        <f>SUM('Grants Need-Based'!CU10,'Grants Non Need-Based '!CU10,Other!P10)</f>
        <v>143.90400000000002</v>
      </c>
      <c r="Q10" s="82">
        <f>SUM('Grants Need-Based'!CV10,'Grants Non Need-Based '!CV10,Other!Q10)</f>
        <v>180.90899999999999</v>
      </c>
      <c r="R10" s="82">
        <f>SUM('Grants Need-Based'!CW10,'Grants Non Need-Based '!CW10,Other!R10)</f>
        <v>236.452</v>
      </c>
      <c r="S10" s="82">
        <f>SUM('Grants Need-Based'!CX10,'Grants Non Need-Based '!CX10,Other!S10)</f>
        <v>315.976</v>
      </c>
      <c r="T10" s="82">
        <f>SUM('Grants Need-Based'!CY10,'Grants Non Need-Based '!CY10,Other!T10)</f>
        <v>331.61499999999995</v>
      </c>
      <c r="U10" s="82">
        <f>SUM('Grants Need-Based'!CZ10,'Grants Non Need-Based '!CZ10,Other!U10)</f>
        <v>378.21200000000005</v>
      </c>
      <c r="V10" s="82">
        <f>SUM('Grants Need-Based'!DA10,'Grants Non Need-Based '!DA10,Other!V10)</f>
        <v>402.95299999999997</v>
      </c>
      <c r="W10" s="82">
        <f>SUM('Grants Need-Based'!DB10,'Grants Non Need-Based '!DB10,Other!W10)</f>
        <v>448.88799999999998</v>
      </c>
      <c r="X10" s="82">
        <f>SUM('Grants Need-Based'!DC10,'Grants Non Need-Based '!DC10,Other!X10)</f>
        <v>512.04833100000008</v>
      </c>
      <c r="Y10" s="82">
        <f>SUM('Grants Need-Based'!DD10,'Grants Non Need-Based '!DD10,Other!Y10)</f>
        <v>595.029</v>
      </c>
      <c r="Z10" s="82">
        <f>SUM('Grants Need-Based'!DE10,'Grants Non Need-Based '!DE10,Other!Z10)</f>
        <v>646.41399999999999</v>
      </c>
      <c r="AA10" s="82">
        <f>SUM('Grants Need-Based'!DF10,'Grants Non Need-Based '!DF10,Other!AA10)</f>
        <v>690.34600000000012</v>
      </c>
      <c r="AB10" s="82">
        <f>SUM('Grants Need-Based'!DG10,'Grants Non Need-Based '!DG10,Other!AB10)</f>
        <v>672.12199999999996</v>
      </c>
      <c r="AC10" s="82">
        <f>SUM('Grants Need-Based'!DH10,'Grants Non Need-Based '!DH10,Other!AC10)</f>
        <v>672.16099999999983</v>
      </c>
      <c r="AD10" s="82">
        <f>SUM('Grants Need-Based'!DI10,'Grants Non Need-Based '!DI10,Other!AD10)</f>
        <v>568.22299999999996</v>
      </c>
      <c r="AE10" s="82">
        <f>SUM('Grants Need-Based'!DJ10,'Grants Non Need-Based '!DJ10,Other!AE10)</f>
        <v>550.01199999999994</v>
      </c>
      <c r="AF10" s="82">
        <f>SUM('Grants Need-Based'!DK10,'Grants Non Need-Based '!DK10,Other!AF10)</f>
        <v>556.85</v>
      </c>
      <c r="AG10" s="268">
        <f>SUM('Grants Need-Based'!DL10,'Grants Non Need-Based '!DL10,Other!AG10)</f>
        <v>551.79700000000003</v>
      </c>
      <c r="AH10" s="268">
        <f>SUM('Grants Need-Based'!DM10,'Grants Non Need-Based '!DM10,Other!AH10)</f>
        <v>526.62617799999998</v>
      </c>
      <c r="AI10" s="268">
        <f>SUM('Grants Need-Based'!DN10,'Grants Non Need-Based '!DN10,Other!AI10)</f>
        <v>509.19410799999997</v>
      </c>
    </row>
    <row r="11" spans="1:35">
      <c r="A11" s="23" t="s">
        <v>41</v>
      </c>
      <c r="B11" s="82">
        <f>SUM('Grants Need-Based'!CG11,'Grants Non Need-Based '!CG11,Other!B11)</f>
        <v>16.071999999999999</v>
      </c>
      <c r="C11" s="82">
        <f>SUM('Grants Need-Based'!CH11,'Grants Non Need-Based '!CH11,Other!C11)</f>
        <v>15.967000000000001</v>
      </c>
      <c r="D11" s="82">
        <f>SUM('Grants Need-Based'!CI11,'Grants Non Need-Based '!CI11,Other!D11)</f>
        <v>17.135999999999999</v>
      </c>
      <c r="E11" s="82">
        <f>SUM('Grants Need-Based'!CJ11,'Grants Non Need-Based '!CJ11,Other!E11)</f>
        <v>18.537000000000003</v>
      </c>
      <c r="F11" s="82">
        <f>SUM('Grants Need-Based'!CK11,'Grants Non Need-Based '!CK11,Other!F11)</f>
        <v>19.782</v>
      </c>
      <c r="G11" s="82">
        <f>SUM('Grants Need-Based'!CL11,'Grants Non Need-Based '!CL11,Other!G11)</f>
        <v>20.709999999999997</v>
      </c>
      <c r="H11" s="82">
        <f>SUM('Grants Need-Based'!CM11,'Grants Non Need-Based '!CM11,Other!H11)</f>
        <v>22.273</v>
      </c>
      <c r="I11" s="82">
        <f>SUM('Grants Need-Based'!CN11,'Grants Non Need-Based '!CN11,Other!I11)</f>
        <v>23.058</v>
      </c>
      <c r="J11" s="82">
        <f>SUM('Grants Need-Based'!CO11,'Grants Non Need-Based '!CO11,Other!J11)</f>
        <v>21.912999999999997</v>
      </c>
      <c r="K11" s="82">
        <f>SUM('Grants Need-Based'!CP11,'Grants Non Need-Based '!CP11,Other!K11)</f>
        <v>25.99</v>
      </c>
      <c r="L11" s="82">
        <f>SUM('Grants Need-Based'!CQ11,'Grants Non Need-Based '!CQ11,Other!L11)</f>
        <v>60.595000000000006</v>
      </c>
      <c r="M11" s="82">
        <f>SUM('Grants Need-Based'!CR11,'Grants Non Need-Based '!CR11,Other!M11)</f>
        <v>117.4906</v>
      </c>
      <c r="N11" s="82">
        <f>SUM('Grants Need-Based'!CS11,'Grants Non Need-Based '!CS11,Other!N11)</f>
        <v>177.07159129999999</v>
      </c>
      <c r="O11" s="82">
        <f>SUM('Grants Need-Based'!CT11,'Grants Non Need-Based '!CT11,Other!O11)</f>
        <v>193.748031</v>
      </c>
      <c r="P11" s="82">
        <f>SUM('Grants Need-Based'!CU11,'Grants Non Need-Based '!CU11,Other!P11)</f>
        <v>218.55400000000003</v>
      </c>
      <c r="Q11" s="82">
        <f>SUM('Grants Need-Based'!CV11,'Grants Non Need-Based '!CV11,Other!Q11)</f>
        <v>229.48599999999999</v>
      </c>
      <c r="R11" s="82">
        <f>SUM('Grants Need-Based'!CW11,'Grants Non Need-Based '!CW11,Other!R11)</f>
        <v>247.93700000000001</v>
      </c>
      <c r="S11" s="82">
        <f>SUM('Grants Need-Based'!CX11,'Grants Non Need-Based '!CX11,Other!S11)</f>
        <v>320.00600000000003</v>
      </c>
      <c r="T11" s="82">
        <f>SUM('Grants Need-Based'!CY11,'Grants Non Need-Based '!CY11,Other!T11)</f>
        <v>374.95300000000003</v>
      </c>
      <c r="U11" s="82">
        <f>SUM('Grants Need-Based'!CZ11,'Grants Non Need-Based '!CZ11,Other!U11)</f>
        <v>409.26399999999995</v>
      </c>
      <c r="V11" s="82">
        <f>SUM('Grants Need-Based'!DA11,'Grants Non Need-Based '!DA11,Other!V11)</f>
        <v>447.01699999999994</v>
      </c>
      <c r="W11" s="82">
        <f>SUM('Grants Need-Based'!DB11,'Grants Non Need-Based '!DB11,Other!W11)</f>
        <v>472.97800000000001</v>
      </c>
      <c r="X11" s="82">
        <f>SUM('Grants Need-Based'!DC11,'Grants Non Need-Based '!DC11,Other!X11)</f>
        <v>477.79089299999998</v>
      </c>
      <c r="Y11" s="82">
        <f>SUM('Grants Need-Based'!DD11,'Grants Non Need-Based '!DD11,Other!Y11)</f>
        <v>498.99699999999996</v>
      </c>
      <c r="Z11" s="82">
        <f>SUM('Grants Need-Based'!DE11,'Grants Non Need-Based '!DE11,Other!Z11)</f>
        <v>511.85599999999999</v>
      </c>
      <c r="AA11" s="82">
        <f>SUM('Grants Need-Based'!DF11,'Grants Non Need-Based '!DF11,Other!AA11)</f>
        <v>580.84299999999996</v>
      </c>
      <c r="AB11" s="82">
        <f>SUM('Grants Need-Based'!DG11,'Grants Non Need-Based '!DG11,Other!AB11)</f>
        <v>686.64599999999996</v>
      </c>
      <c r="AC11" s="82">
        <f>SUM('Grants Need-Based'!DH11,'Grants Non Need-Based '!DH11,Other!AC11)</f>
        <v>772.07600000000002</v>
      </c>
      <c r="AD11" s="82">
        <f>SUM('Grants Need-Based'!DI11,'Grants Non Need-Based '!DI11,Other!AD11)</f>
        <v>562.95499999999993</v>
      </c>
      <c r="AE11" s="82">
        <f>SUM('Grants Need-Based'!DJ11,'Grants Non Need-Based '!DJ11,Other!AE11)</f>
        <v>538.52199999999993</v>
      </c>
      <c r="AF11" s="82">
        <f>SUM('Grants Need-Based'!DK11,'Grants Non Need-Based '!DK11,Other!AF11)</f>
        <v>572.48500000000001</v>
      </c>
      <c r="AG11" s="268">
        <f>SUM('Grants Need-Based'!DL11,'Grants Non Need-Based '!DL11,Other!AG11)</f>
        <v>654.5680000000001</v>
      </c>
      <c r="AH11" s="268">
        <f>SUM('Grants Need-Based'!DM11,'Grants Non Need-Based '!DM11,Other!AH11)</f>
        <v>715.69494099999997</v>
      </c>
      <c r="AI11" s="268">
        <f>SUM('Grants Need-Based'!DN11,'Grants Non Need-Based '!DN11,Other!AI11)</f>
        <v>764.14963699999998</v>
      </c>
    </row>
    <row r="12" spans="1:35">
      <c r="A12" s="23" t="s">
        <v>42</v>
      </c>
      <c r="B12" s="82">
        <f>SUM('Grants Need-Based'!CG12,'Grants Non Need-Based '!CG12,Other!B12)</f>
        <v>8.2279999999999998</v>
      </c>
      <c r="C12" s="82">
        <f>SUM('Grants Need-Based'!CH12,'Grants Non Need-Based '!CH12,Other!C12)</f>
        <v>8.6479999999999997</v>
      </c>
      <c r="D12" s="82">
        <f>SUM('Grants Need-Based'!CI12,'Grants Non Need-Based '!CI12,Other!D12)</f>
        <v>9.0809999999999995</v>
      </c>
      <c r="E12" s="82">
        <f>SUM('Grants Need-Based'!CJ12,'Grants Non Need-Based '!CJ12,Other!E12)</f>
        <v>12.233000000000001</v>
      </c>
      <c r="F12" s="82">
        <f>SUM('Grants Need-Based'!CK12,'Grants Non Need-Based '!CK12,Other!F12)</f>
        <v>13.228999999999999</v>
      </c>
      <c r="G12" s="82">
        <f>SUM('Grants Need-Based'!CL12,'Grants Non Need-Based '!CL12,Other!G12)</f>
        <v>13.19</v>
      </c>
      <c r="H12" s="82">
        <f>SUM('Grants Need-Based'!CM12,'Grants Non Need-Based '!CM12,Other!H12)</f>
        <v>13.858000000000001</v>
      </c>
      <c r="I12" s="82">
        <f>SUM('Grants Need-Based'!CN12,'Grants Non Need-Based '!CN12,Other!I12)</f>
        <v>19.393000000000001</v>
      </c>
      <c r="J12" s="82">
        <f>SUM('Grants Need-Based'!CO12,'Grants Non Need-Based '!CO12,Other!J12)</f>
        <v>27.518999999999998</v>
      </c>
      <c r="K12" s="82">
        <f>SUM('Grants Need-Based'!CP12,'Grants Non Need-Based '!CP12,Other!K12)</f>
        <v>27.783000000000001</v>
      </c>
      <c r="L12" s="82">
        <f>SUM('Grants Need-Based'!CQ12,'Grants Non Need-Based '!CQ12,Other!L12)</f>
        <v>29.603999999999999</v>
      </c>
      <c r="M12" s="82">
        <f>SUM('Grants Need-Based'!CR12,'Grants Non Need-Based '!CR12,Other!M12)</f>
        <v>28.37058</v>
      </c>
      <c r="N12" s="82">
        <f>SUM('Grants Need-Based'!CS12,'Grants Non Need-Based '!CS12,Other!N12)</f>
        <v>28.889999999999979</v>
      </c>
      <c r="O12" s="82">
        <f>SUM('Grants Need-Based'!CT12,'Grants Non Need-Based '!CT12,Other!O12)</f>
        <v>32.682989999999975</v>
      </c>
      <c r="P12" s="82">
        <f>SUM('Grants Need-Based'!CU12,'Grants Non Need-Based '!CU12,Other!P12)</f>
        <v>31.469829999999991</v>
      </c>
      <c r="Q12" s="82">
        <f>SUM('Grants Need-Based'!CV12,'Grants Non Need-Based '!CV12,Other!Q12)</f>
        <v>43.638000000000005</v>
      </c>
      <c r="R12" s="82">
        <f>SUM('Grants Need-Based'!CW12,'Grants Non Need-Based '!CW12,Other!R12)</f>
        <v>54.481000000000002</v>
      </c>
      <c r="S12" s="82">
        <f>SUM('Grants Need-Based'!CX12,'Grants Non Need-Based '!CX12,Other!S12)</f>
        <v>74.305999999999997</v>
      </c>
      <c r="T12" s="82">
        <f>SUM('Grants Need-Based'!CY12,'Grants Non Need-Based '!CY12,Other!T12)</f>
        <v>94.144000000000005</v>
      </c>
      <c r="U12" s="82">
        <f>SUM('Grants Need-Based'!CZ12,'Grants Non Need-Based '!CZ12,Other!U12)</f>
        <v>132.37100000000001</v>
      </c>
      <c r="V12" s="82">
        <f>SUM('Grants Need-Based'!DA12,'Grants Non Need-Based '!DA12,Other!V12)</f>
        <v>149.291</v>
      </c>
      <c r="W12" s="82">
        <f>SUM('Grants Need-Based'!DB12,'Grants Non Need-Based '!DB12,Other!W12)</f>
        <v>165.05199999999999</v>
      </c>
      <c r="X12" s="82">
        <f>SUM('Grants Need-Based'!DC12,'Grants Non Need-Based '!DC12,Other!X12)</f>
        <v>177.51607199999998</v>
      </c>
      <c r="Y12" s="82">
        <f>SUM('Grants Need-Based'!DD12,'Grants Non Need-Based '!DD12,Other!Y12)</f>
        <v>190.02999999999997</v>
      </c>
      <c r="Z12" s="82">
        <f>SUM('Grants Need-Based'!DE12,'Grants Non Need-Based '!DE12,Other!Z12)</f>
        <v>192.11199999999999</v>
      </c>
      <c r="AA12" s="82">
        <f>SUM('Grants Need-Based'!DF12,'Grants Non Need-Based '!DF12,Other!AA12)</f>
        <v>195.11700000000002</v>
      </c>
      <c r="AB12" s="82">
        <f>SUM('Grants Need-Based'!DG12,'Grants Non Need-Based '!DG12,Other!AB12)</f>
        <v>198.65</v>
      </c>
      <c r="AC12" s="82">
        <f>SUM('Grants Need-Based'!DH12,'Grants Non Need-Based '!DH12,Other!AC12)</f>
        <v>195.58799999999999</v>
      </c>
      <c r="AD12" s="82">
        <f>SUM('Grants Need-Based'!DI12,'Grants Non Need-Based '!DI12,Other!AD12)</f>
        <v>197.21599999999998</v>
      </c>
      <c r="AE12" s="82">
        <f>SUM('Grants Need-Based'!DJ12,'Grants Non Need-Based '!DJ12,Other!AE12)</f>
        <v>198.07399999999998</v>
      </c>
      <c r="AF12" s="82">
        <f>SUM('Grants Need-Based'!DK12,'Grants Non Need-Based '!DK12,Other!AF12)</f>
        <v>206.19799999999998</v>
      </c>
      <c r="AG12" s="268">
        <f>SUM('Grants Need-Based'!DL12,'Grants Non Need-Based '!DL12,Other!AG12)</f>
        <v>208.03300000000002</v>
      </c>
      <c r="AH12" s="268">
        <f>SUM('Grants Need-Based'!DM12,'Grants Non Need-Based '!DM12,Other!AH12)</f>
        <v>221.00700599999999</v>
      </c>
      <c r="AI12" s="268">
        <f>SUM('Grants Need-Based'!DN12,'Grants Non Need-Based '!DN12,Other!AI12)</f>
        <v>224.30011900000002</v>
      </c>
    </row>
    <row r="13" spans="1:35">
      <c r="A13" s="23" t="s">
        <v>43</v>
      </c>
      <c r="B13" s="82">
        <f>SUM('Grants Need-Based'!CG13,'Grants Non Need-Based '!CG13,Other!B13)</f>
        <v>3.016</v>
      </c>
      <c r="C13" s="82">
        <f>SUM('Grants Need-Based'!CH13,'Grants Non Need-Based '!CH13,Other!C13)</f>
        <v>3.5049999999999999</v>
      </c>
      <c r="D13" s="82">
        <f>SUM('Grants Need-Based'!CI13,'Grants Non Need-Based '!CI13,Other!D13)</f>
        <v>2.8239999999999998</v>
      </c>
      <c r="E13" s="82">
        <f>SUM('Grants Need-Based'!CJ13,'Grants Non Need-Based '!CJ13,Other!E13)</f>
        <v>2.2949999999999999</v>
      </c>
      <c r="F13" s="82">
        <f>SUM('Grants Need-Based'!CK13,'Grants Non Need-Based '!CK13,Other!F13)</f>
        <v>2.5782499999999997</v>
      </c>
      <c r="G13" s="82">
        <f>SUM('Grants Need-Based'!CL13,'Grants Non Need-Based '!CL13,Other!G13)</f>
        <v>9.2355</v>
      </c>
      <c r="H13" s="82">
        <f>SUM('Grants Need-Based'!CM13,'Grants Non Need-Based '!CM13,Other!H13)</f>
        <v>9.755749999999999</v>
      </c>
      <c r="I13" s="82">
        <f>SUM('Grants Need-Based'!CN13,'Grants Non Need-Based '!CN13,Other!I13)</f>
        <v>4.9659999999999993</v>
      </c>
      <c r="J13" s="82">
        <f>SUM('Grants Need-Based'!CO13,'Grants Non Need-Based '!CO13,Other!J13)</f>
        <v>15.221500000000001</v>
      </c>
      <c r="K13" s="82">
        <f>SUM('Grants Need-Based'!CP13,'Grants Non Need-Based '!CP13,Other!K13)</f>
        <v>7.6749999999999998</v>
      </c>
      <c r="L13" s="82">
        <f>SUM('Grants Need-Based'!CQ13,'Grants Non Need-Based '!CQ13,Other!L13)</f>
        <v>11.6645</v>
      </c>
      <c r="M13" s="82">
        <f>SUM('Grants Need-Based'!CR13,'Grants Non Need-Based '!CR13,Other!M13)</f>
        <v>13.373500000000002</v>
      </c>
      <c r="N13" s="82">
        <f>SUM('Grants Need-Based'!CS13,'Grants Non Need-Based '!CS13,Other!N13)</f>
        <v>71.256951000000015</v>
      </c>
      <c r="O13" s="82">
        <f>SUM('Grants Need-Based'!CT13,'Grants Non Need-Based '!CT13,Other!O13)</f>
        <v>77.017829999999989</v>
      </c>
      <c r="P13" s="82">
        <f>SUM('Grants Need-Based'!CU13,'Grants Non Need-Based '!CU13,Other!P13)</f>
        <v>36.578052000000014</v>
      </c>
      <c r="Q13" s="82">
        <f>SUM('Grants Need-Based'!CV13,'Grants Non Need-Based '!CV13,Other!Q13)</f>
        <v>67.787999999999997</v>
      </c>
      <c r="R13" s="82">
        <f>SUM('Grants Need-Based'!CW13,'Grants Non Need-Based '!CW13,Other!R13)</f>
        <v>77.437000000000012</v>
      </c>
      <c r="S13" s="82">
        <f>SUM('Grants Need-Based'!CX13,'Grants Non Need-Based '!CX13,Other!S13)</f>
        <v>100.285</v>
      </c>
      <c r="T13" s="82">
        <f>SUM('Grants Need-Based'!CY13,'Grants Non Need-Based '!CY13,Other!T13)</f>
        <v>111.26100000000001</v>
      </c>
      <c r="U13" s="82">
        <f>SUM('Grants Need-Based'!CZ13,'Grants Non Need-Based '!CZ13,Other!U13)</f>
        <v>146.67400000000001</v>
      </c>
      <c r="V13" s="82">
        <f>SUM('Grants Need-Based'!DA13,'Grants Non Need-Based '!DA13,Other!V13)</f>
        <v>112.43700000000001</v>
      </c>
      <c r="W13" s="82">
        <f>SUM('Grants Need-Based'!DB13,'Grants Non Need-Based '!DB13,Other!W13)</f>
        <v>118.21599999999999</v>
      </c>
      <c r="X13" s="82">
        <f>SUM('Grants Need-Based'!DC13,'Grants Non Need-Based '!DC13,Other!X13)</f>
        <v>118.08680799999999</v>
      </c>
      <c r="Y13" s="82">
        <f>SUM('Grants Need-Based'!DD13,'Grants Non Need-Based '!DD13,Other!Y13)</f>
        <v>122.07499999999999</v>
      </c>
      <c r="Z13" s="82">
        <f>SUM('Grants Need-Based'!DE13,'Grants Non Need-Based '!DE13,Other!Z13)</f>
        <v>138.80199999999999</v>
      </c>
      <c r="AA13" s="82">
        <f>SUM('Grants Need-Based'!DF13,'Grants Non Need-Based '!DF13,Other!AA13)</f>
        <v>160.07499999999999</v>
      </c>
      <c r="AB13" s="82">
        <f>SUM('Grants Need-Based'!DG13,'Grants Non Need-Based '!DG13,Other!AB13)</f>
        <v>163.47400000000002</v>
      </c>
      <c r="AC13" s="82">
        <f>SUM('Grants Need-Based'!DH13,'Grants Non Need-Based '!DH13,Other!AC13)</f>
        <v>179.23099999999999</v>
      </c>
      <c r="AD13" s="82">
        <f>SUM('Grants Need-Based'!DI13,'Grants Non Need-Based '!DI13,Other!AD13)</f>
        <v>198.71299999999999</v>
      </c>
      <c r="AE13" s="82">
        <f>SUM('Grants Need-Based'!DJ13,'Grants Non Need-Based '!DJ13,Other!AE13)</f>
        <v>218.108</v>
      </c>
      <c r="AF13" s="82">
        <f>SUM('Grants Need-Based'!DK13,'Grants Non Need-Based '!DK13,Other!AF13)</f>
        <v>249.59699999999998</v>
      </c>
      <c r="AG13" s="268">
        <f>SUM('Grants Need-Based'!DL13,'Grants Non Need-Based '!DL13,Other!AG13)</f>
        <v>278.25299999999999</v>
      </c>
      <c r="AH13" s="268">
        <f>SUM('Grants Need-Based'!DM13,'Grants Non Need-Based '!DM13,Other!AH13)</f>
        <v>282.76293199999998</v>
      </c>
      <c r="AI13" s="268">
        <f>SUM('Grants Need-Based'!DN13,'Grants Non Need-Based '!DN13,Other!AI13)</f>
        <v>228.081772</v>
      </c>
    </row>
    <row r="14" spans="1:35">
      <c r="A14" s="23" t="s">
        <v>44</v>
      </c>
      <c r="B14" s="82">
        <f>SUM('Grants Need-Based'!CG14,'Grants Non Need-Based '!CG14,Other!B14)</f>
        <v>8.3930000000000007</v>
      </c>
      <c r="C14" s="82">
        <f>SUM('Grants Need-Based'!CH14,'Grants Non Need-Based '!CH14,Other!C14)</f>
        <v>13.298999999999999</v>
      </c>
      <c r="D14" s="82">
        <f>SUM('Grants Need-Based'!CI14,'Grants Non Need-Based '!CI14,Other!D14)</f>
        <v>13.298999999999999</v>
      </c>
      <c r="E14" s="82">
        <f>SUM('Grants Need-Based'!CJ14,'Grants Non Need-Based '!CJ14,Other!E14)</f>
        <v>9.8560000000000016</v>
      </c>
      <c r="F14" s="82">
        <f>SUM('Grants Need-Based'!CK14,'Grants Non Need-Based '!CK14,Other!F14)</f>
        <v>12.013000000000002</v>
      </c>
      <c r="G14" s="82">
        <f>SUM('Grants Need-Based'!CL14,'Grants Non Need-Based '!CL14,Other!G14)</f>
        <v>17.872999999999998</v>
      </c>
      <c r="H14" s="82">
        <f>SUM('Grants Need-Based'!CM14,'Grants Non Need-Based '!CM14,Other!H14)</f>
        <v>21.422000000000001</v>
      </c>
      <c r="I14" s="82">
        <f>SUM('Grants Need-Based'!CN14,'Grants Non Need-Based '!CN14,Other!I14)</f>
        <v>20.914000000000001</v>
      </c>
      <c r="J14" s="82">
        <f>SUM('Grants Need-Based'!CO14,'Grants Non Need-Based '!CO14,Other!J14)</f>
        <v>22.236000000000004</v>
      </c>
      <c r="K14" s="82">
        <f>SUM('Grants Need-Based'!CP14,'Grants Non Need-Based '!CP14,Other!K14)</f>
        <v>26.96</v>
      </c>
      <c r="L14" s="82">
        <f>SUM('Grants Need-Based'!CQ14,'Grants Non Need-Based '!CQ14,Other!L14)</f>
        <v>30.286000000000001</v>
      </c>
      <c r="M14" s="82">
        <f>SUM('Grants Need-Based'!CR14,'Grants Non Need-Based '!CR14,Other!M14)</f>
        <v>33.491467</v>
      </c>
      <c r="N14" s="82">
        <f>SUM('Grants Need-Based'!CS14,'Grants Non Need-Based '!CS14,Other!N14)</f>
        <v>37.962000000000003</v>
      </c>
      <c r="O14" s="82">
        <f>SUM('Grants Need-Based'!CT14,'Grants Non Need-Based '!CT14,Other!O14)</f>
        <v>44.511087000000003</v>
      </c>
      <c r="P14" s="82">
        <f>SUM('Grants Need-Based'!CU14,'Grants Non Need-Based '!CU14,Other!P14)</f>
        <v>45.969000000000001</v>
      </c>
      <c r="Q14" s="82">
        <f>SUM('Grants Need-Based'!CV14,'Grants Non Need-Based '!CV14,Other!Q14)</f>
        <v>47.867000000000004</v>
      </c>
      <c r="R14" s="82">
        <f>SUM('Grants Need-Based'!CW14,'Grants Non Need-Based '!CW14,Other!R14)</f>
        <v>53.320999999999998</v>
      </c>
      <c r="S14" s="82">
        <f>SUM('Grants Need-Based'!CX14,'Grants Non Need-Based '!CX14,Other!S14)</f>
        <v>66.308999999999997</v>
      </c>
      <c r="T14" s="82">
        <f>SUM('Grants Need-Based'!CY14,'Grants Non Need-Based '!CY14,Other!T14)</f>
        <v>76.581000000000003</v>
      </c>
      <c r="U14" s="82">
        <f>SUM('Grants Need-Based'!CZ14,'Grants Non Need-Based '!CZ14,Other!U14)</f>
        <v>79.149000000000001</v>
      </c>
      <c r="V14" s="82">
        <f>SUM('Grants Need-Based'!DA14,'Grants Non Need-Based '!DA14,Other!V14)</f>
        <v>80.491</v>
      </c>
      <c r="W14" s="82">
        <f>SUM('Grants Need-Based'!DB14,'Grants Non Need-Based '!DB14,Other!W14)</f>
        <v>82.84899999999999</v>
      </c>
      <c r="X14" s="82">
        <f>SUM('Grants Need-Based'!DC14,'Grants Non Need-Based '!DC14,Other!X14)</f>
        <v>93.938491000000013</v>
      </c>
      <c r="Y14" s="82">
        <f>SUM('Grants Need-Based'!DD14,'Grants Non Need-Based '!DD14,Other!Y14)</f>
        <v>107.745</v>
      </c>
      <c r="Z14" s="82">
        <f>SUM('Grants Need-Based'!DE14,'Grants Non Need-Based '!DE14,Other!Z14)</f>
        <v>110.727</v>
      </c>
      <c r="AA14" s="82">
        <f>SUM('Grants Need-Based'!DF14,'Grants Non Need-Based '!DF14,Other!AA14)</f>
        <v>110.378</v>
      </c>
      <c r="AB14" s="82">
        <f>SUM('Grants Need-Based'!DG14,'Grants Non Need-Based '!DG14,Other!AB14)</f>
        <v>108.47499999999999</v>
      </c>
      <c r="AC14" s="82">
        <f>SUM('Grants Need-Based'!DH14,'Grants Non Need-Based '!DH14,Other!AC14)</f>
        <v>101.371</v>
      </c>
      <c r="AD14" s="82">
        <f>SUM('Grants Need-Based'!DI14,'Grants Non Need-Based '!DI14,Other!AD14)</f>
        <v>100.68700000000001</v>
      </c>
      <c r="AE14" s="82">
        <f>SUM('Grants Need-Based'!DJ14,'Grants Non Need-Based '!DJ14,Other!AE14)</f>
        <v>99.393000000000001</v>
      </c>
      <c r="AF14" s="82">
        <f>SUM('Grants Need-Based'!DK14,'Grants Non Need-Based '!DK14,Other!AF14)</f>
        <v>118.369</v>
      </c>
      <c r="AG14" s="268">
        <f>SUM('Grants Need-Based'!DL14,'Grants Non Need-Based '!DL14,Other!AG14)</f>
        <v>107.83000000000001</v>
      </c>
      <c r="AH14" s="268">
        <f>SUM('Grants Need-Based'!DM14,'Grants Non Need-Based '!DM14,Other!AH14)</f>
        <v>101.789314</v>
      </c>
      <c r="AI14" s="268">
        <f>SUM('Grants Need-Based'!DN14,'Grants Non Need-Based '!DN14,Other!AI14)</f>
        <v>103.168657</v>
      </c>
    </row>
    <row r="15" spans="1:35">
      <c r="A15" s="23" t="s">
        <v>46</v>
      </c>
      <c r="B15" s="82">
        <f>SUM('Grants Need-Based'!CG15,'Grants Non Need-Based '!CG15,Other!B15)</f>
        <v>2.5249999999999999</v>
      </c>
      <c r="C15" s="82">
        <f>SUM('Grants Need-Based'!CH15,'Grants Non Need-Based '!CH15,Other!C15)</f>
        <v>2.6150000000000002</v>
      </c>
      <c r="D15" s="82">
        <f>SUM('Grants Need-Based'!CI15,'Grants Non Need-Based '!CI15,Other!D15)</f>
        <v>2.556</v>
      </c>
      <c r="E15" s="82">
        <f>SUM('Grants Need-Based'!CJ15,'Grants Non Need-Based '!CJ15,Other!E15)</f>
        <v>2.0550000000000002</v>
      </c>
      <c r="F15" s="82">
        <f>SUM('Grants Need-Based'!CK15,'Grants Non Need-Based '!CK15,Other!F15)</f>
        <v>1.8259999999999998</v>
      </c>
      <c r="G15" s="82">
        <f>SUM('Grants Need-Based'!CL15,'Grants Non Need-Based '!CL15,Other!G15)</f>
        <v>2.2409999999999997</v>
      </c>
      <c r="H15" s="82">
        <f>SUM('Grants Need-Based'!CM15,'Grants Non Need-Based '!CM15,Other!H15)</f>
        <v>1.9910000000000001</v>
      </c>
      <c r="I15" s="82">
        <f>SUM('Grants Need-Based'!CN15,'Grants Non Need-Based '!CN15,Other!I15)</f>
        <v>1.841</v>
      </c>
      <c r="J15" s="82">
        <f>SUM('Grants Need-Based'!CO15,'Grants Non Need-Based '!CO15,Other!J15)</f>
        <v>1.6060000000000001</v>
      </c>
      <c r="K15" s="82">
        <f>SUM('Grants Need-Based'!CP15,'Grants Non Need-Based '!CP15,Other!K15)</f>
        <v>1.351</v>
      </c>
      <c r="L15" s="82">
        <f>SUM('Grants Need-Based'!CQ15,'Grants Non Need-Based '!CQ15,Other!L15)</f>
        <v>2.5149999999999997</v>
      </c>
      <c r="M15" s="82">
        <f>SUM('Grants Need-Based'!CR15,'Grants Non Need-Based '!CR15,Other!M15)</f>
        <v>1.3540000000000001</v>
      </c>
      <c r="N15" s="82">
        <f>SUM('Grants Need-Based'!CS15,'Grants Non Need-Based '!CS15,Other!N15)</f>
        <v>16.483000000000001</v>
      </c>
      <c r="O15" s="82">
        <f>SUM('Grants Need-Based'!CT15,'Grants Non Need-Based '!CT15,Other!O15)</f>
        <v>21.320530999999999</v>
      </c>
      <c r="P15" s="82">
        <f>SUM('Grants Need-Based'!CU15,'Grants Non Need-Based '!CU15,Other!P15)</f>
        <v>25.643999999999998</v>
      </c>
      <c r="Q15" s="82">
        <f>SUM('Grants Need-Based'!CV15,'Grants Non Need-Based '!CV15,Other!Q15)</f>
        <v>28.39</v>
      </c>
      <c r="R15" s="82">
        <f>SUM('Grants Need-Based'!CW15,'Grants Non Need-Based '!CW15,Other!R15)</f>
        <v>32.882000000000005</v>
      </c>
      <c r="S15" s="82">
        <f>SUM('Grants Need-Based'!CX15,'Grants Non Need-Based '!CX15,Other!S15)</f>
        <v>32.883000000000003</v>
      </c>
      <c r="T15" s="82">
        <f>SUM('Grants Need-Based'!CY15,'Grants Non Need-Based '!CY15,Other!T15)</f>
        <v>33.984000000000002</v>
      </c>
      <c r="U15" s="82">
        <f>SUM('Grants Need-Based'!CZ15,'Grants Non Need-Based '!CZ15,Other!U15)</f>
        <v>29.352999999999998</v>
      </c>
      <c r="V15" s="82">
        <f>SUM('Grants Need-Based'!DA15,'Grants Non Need-Based '!DA15,Other!V15)</f>
        <v>32.426000000000002</v>
      </c>
      <c r="W15" s="82">
        <f>SUM('Grants Need-Based'!DB15,'Grants Non Need-Based '!DB15,Other!W15)</f>
        <v>30.682999999999996</v>
      </c>
      <c r="X15" s="82">
        <f>SUM('Grants Need-Based'!DC15,'Grants Non Need-Based '!DC15,Other!X15)</f>
        <v>31.235653999999997</v>
      </c>
      <c r="Y15" s="82">
        <f>SUM('Grants Need-Based'!DD15,'Grants Non Need-Based '!DD15,Other!Y15)</f>
        <v>30.677</v>
      </c>
      <c r="Z15" s="82">
        <f>SUM('Grants Need-Based'!DE15,'Grants Non Need-Based '!DE15,Other!Z15)</f>
        <v>31.199000000000002</v>
      </c>
      <c r="AA15" s="82">
        <f>SUM('Grants Need-Based'!DF15,'Grants Non Need-Based '!DF15,Other!AA15)</f>
        <v>29.028000000000002</v>
      </c>
      <c r="AB15" s="82">
        <f>SUM('Grants Need-Based'!DG15,'Grants Non Need-Based '!DG15,Other!AB15)</f>
        <v>28.049500000000002</v>
      </c>
      <c r="AC15" s="82">
        <f>SUM('Grants Need-Based'!DH15,'Grants Non Need-Based '!DH15,Other!AC15)</f>
        <v>28.439999999999998</v>
      </c>
      <c r="AD15" s="82">
        <f>SUM('Grants Need-Based'!DI15,'Grants Non Need-Based '!DI15,Other!AD15)</f>
        <v>30.670999999999999</v>
      </c>
      <c r="AE15" s="82">
        <f>SUM('Grants Need-Based'!DJ15,'Grants Non Need-Based '!DJ15,Other!AE15)</f>
        <v>32.701000000000001</v>
      </c>
      <c r="AF15" s="82">
        <f>SUM('Grants Need-Based'!DK15,'Grants Non Need-Based '!DK15,Other!AF15)</f>
        <v>37.213000000000001</v>
      </c>
      <c r="AG15" s="268">
        <f>SUM('Grants Need-Based'!DL15,'Grants Non Need-Based '!DL15,Other!AG15)</f>
        <v>40.480000000000004</v>
      </c>
      <c r="AH15" s="268">
        <f>SUM('Grants Need-Based'!DM15,'Grants Non Need-Based '!DM15,Other!AH15)</f>
        <v>43.639803000000001</v>
      </c>
      <c r="AI15" s="268">
        <f>SUM('Grants Need-Based'!DN15,'Grants Non Need-Based '!DN15,Other!AI15)</f>
        <v>38.760518999999995</v>
      </c>
    </row>
    <row r="16" spans="1:35">
      <c r="A16" s="23" t="s">
        <v>47</v>
      </c>
      <c r="B16" s="82">
        <f>SUM('Grants Need-Based'!CG16,'Grants Non Need-Based '!CG16,Other!B16)</f>
        <v>35.679000000000002</v>
      </c>
      <c r="C16" s="82">
        <f>SUM('Grants Need-Based'!CH16,'Grants Non Need-Based '!CH16,Other!C16)</f>
        <v>39.411000000000001</v>
      </c>
      <c r="D16" s="82">
        <f>SUM('Grants Need-Based'!CI16,'Grants Non Need-Based '!CI16,Other!D16)</f>
        <v>43.987000000000002</v>
      </c>
      <c r="E16" s="82">
        <f>SUM('Grants Need-Based'!CJ16,'Grants Non Need-Based '!CJ16,Other!E16)</f>
        <v>44.949999999999996</v>
      </c>
      <c r="F16" s="82">
        <f>SUM('Grants Need-Based'!CK16,'Grants Non Need-Based '!CK16,Other!F16)</f>
        <v>51.073999999999998</v>
      </c>
      <c r="G16" s="82">
        <f>SUM('Grants Need-Based'!CL16,'Grants Non Need-Based '!CL16,Other!G16)</f>
        <v>52.123000000000005</v>
      </c>
      <c r="H16" s="82">
        <f>SUM('Grants Need-Based'!CM16,'Grants Non Need-Based '!CM16,Other!H16)</f>
        <v>52.123000000000005</v>
      </c>
      <c r="I16" s="82">
        <f>SUM('Grants Need-Based'!CN16,'Grants Non Need-Based '!CN16,Other!I16)</f>
        <v>58.424999999999997</v>
      </c>
      <c r="J16" s="82">
        <f>SUM('Grants Need-Based'!CO16,'Grants Non Need-Based '!CO16,Other!J16)</f>
        <v>65.325000000000003</v>
      </c>
      <c r="K16" s="82">
        <f>SUM('Grants Need-Based'!CP16,'Grants Non Need-Based '!CP16,Other!K16)</f>
        <v>70.406000000000006</v>
      </c>
      <c r="L16" s="82">
        <f>SUM('Grants Need-Based'!CQ16,'Grants Non Need-Based '!CQ16,Other!L16)</f>
        <v>74.838999999999999</v>
      </c>
      <c r="M16" s="82">
        <f>SUM('Grants Need-Based'!CR16,'Grants Non Need-Based '!CR16,Other!M16)</f>
        <v>93.83</v>
      </c>
      <c r="N16" s="82">
        <f>SUM('Grants Need-Based'!CS16,'Grants Non Need-Based '!CS16,Other!N16)</f>
        <v>103.38597900000001</v>
      </c>
      <c r="O16" s="82">
        <f>SUM('Grants Need-Based'!CT16,'Grants Non Need-Based '!CT16,Other!O16)</f>
        <v>93.571577999999988</v>
      </c>
      <c r="P16" s="82">
        <f>SUM('Grants Need-Based'!CU16,'Grants Non Need-Based '!CU16,Other!P16)</f>
        <v>124.23671200000001</v>
      </c>
      <c r="Q16" s="82">
        <f>SUM('Grants Need-Based'!CV16,'Grants Non Need-Based '!CV16,Other!Q16)</f>
        <v>140.14400000000001</v>
      </c>
      <c r="R16" s="82">
        <f>SUM('Grants Need-Based'!CW16,'Grants Non Need-Based '!CW16,Other!R16)</f>
        <v>156.815</v>
      </c>
      <c r="S16" s="82">
        <f>SUM('Grants Need-Based'!CX16,'Grants Non Need-Based '!CX16,Other!S16)</f>
        <v>171.929</v>
      </c>
      <c r="T16" s="82">
        <f>SUM('Grants Need-Based'!CY16,'Grants Non Need-Based '!CY16,Other!T16)</f>
        <v>188.078</v>
      </c>
      <c r="U16" s="82">
        <f>SUM('Grants Need-Based'!CZ16,'Grants Non Need-Based '!CZ16,Other!U16)</f>
        <v>198.70749999999998</v>
      </c>
      <c r="V16" s="82">
        <f>SUM('Grants Need-Based'!DA16,'Grants Non Need-Based '!DA16,Other!V16)</f>
        <v>221.149</v>
      </c>
      <c r="W16" s="82">
        <f>SUM('Grants Need-Based'!DB16,'Grants Non Need-Based '!DB16,Other!W16)</f>
        <v>242.96100000000001</v>
      </c>
      <c r="X16" s="82">
        <f>SUM('Grants Need-Based'!DC16,'Grants Non Need-Based '!DC16,Other!X16)</f>
        <v>260.66447299999999</v>
      </c>
      <c r="Y16" s="82">
        <f>SUM('Grants Need-Based'!DD16,'Grants Non Need-Based '!DD16,Other!Y16)</f>
        <v>296.40300000000002</v>
      </c>
      <c r="Z16" s="82">
        <f>SUM('Grants Need-Based'!DE16,'Grants Non Need-Based '!DE16,Other!Z16)</f>
        <v>362.63499999999999</v>
      </c>
      <c r="AA16" s="82">
        <f>SUM('Grants Need-Based'!DF16,'Grants Non Need-Based '!DF16,Other!AA16)</f>
        <v>462.834</v>
      </c>
      <c r="AB16" s="82">
        <f>SUM('Grants Need-Based'!DG16,'Grants Non Need-Based '!DG16,Other!AB16)</f>
        <v>460.589</v>
      </c>
      <c r="AC16" s="82">
        <f>SUM('Grants Need-Based'!DH16,'Grants Non Need-Based '!DH16,Other!AC16)</f>
        <v>456.06900000000002</v>
      </c>
      <c r="AD16" s="82">
        <f>SUM('Grants Need-Based'!DI16,'Grants Non Need-Based '!DI16,Other!AD16)</f>
        <v>402.87200000000001</v>
      </c>
      <c r="AE16" s="82">
        <f>SUM('Grants Need-Based'!DJ16,'Grants Non Need-Based '!DJ16,Other!AE16)</f>
        <v>414.738</v>
      </c>
      <c r="AF16" s="82">
        <f>SUM('Grants Need-Based'!DK16,'Grants Non Need-Based '!DK16,Other!AF16)</f>
        <v>407.37</v>
      </c>
      <c r="AG16" s="268">
        <f>SUM('Grants Need-Based'!DL16,'Grants Non Need-Based '!DL16,Other!AG16)</f>
        <v>376.78</v>
      </c>
      <c r="AH16" s="268">
        <f>SUM('Grants Need-Based'!DM16,'Grants Non Need-Based '!DM16,Other!AH16)</f>
        <v>391.87595799999997</v>
      </c>
      <c r="AI16" s="268">
        <f>SUM('Grants Need-Based'!DN16,'Grants Non Need-Based '!DN16,Other!AI16)</f>
        <v>382.51216899999997</v>
      </c>
    </row>
    <row r="17" spans="1:35">
      <c r="A17" s="23" t="s">
        <v>48</v>
      </c>
      <c r="B17" s="82">
        <f>SUM('Grants Need-Based'!CG17,'Grants Non Need-Based '!CG17,Other!B17)</f>
        <v>13.182</v>
      </c>
      <c r="C17" s="82">
        <f>SUM('Grants Need-Based'!CH17,'Grants Non Need-Based '!CH17,Other!C17)</f>
        <v>11.738</v>
      </c>
      <c r="D17" s="82">
        <f>SUM('Grants Need-Based'!CI17,'Grants Non Need-Based '!CI17,Other!D17)</f>
        <v>17.828999999999997</v>
      </c>
      <c r="E17" s="82">
        <f>SUM('Grants Need-Based'!CJ17,'Grants Non Need-Based '!CJ17,Other!E17)</f>
        <v>19.794999999999998</v>
      </c>
      <c r="F17" s="82">
        <f>SUM('Grants Need-Based'!CK17,'Grants Non Need-Based '!CK17,Other!F17)</f>
        <v>17.919</v>
      </c>
      <c r="G17" s="82">
        <f>SUM('Grants Need-Based'!CL17,'Grants Non Need-Based '!CL17,Other!G17)</f>
        <v>18.489000000000001</v>
      </c>
      <c r="H17" s="82">
        <f>SUM('Grants Need-Based'!CM17,'Grants Non Need-Based '!CM17,Other!H17)</f>
        <v>32.545000000000002</v>
      </c>
      <c r="I17" s="82">
        <f>SUM('Grants Need-Based'!CN17,'Grants Non Need-Based '!CN17,Other!I17)</f>
        <v>35.123999999999995</v>
      </c>
      <c r="J17" s="82">
        <f>SUM('Grants Need-Based'!CO17,'Grants Non Need-Based '!CO17,Other!J17)</f>
        <v>38.828000000000003</v>
      </c>
      <c r="K17" s="82">
        <f>SUM('Grants Need-Based'!CP17,'Grants Non Need-Based '!CP17,Other!K17)</f>
        <v>40.510000000000005</v>
      </c>
      <c r="L17" s="82">
        <f>SUM('Grants Need-Based'!CQ17,'Grants Non Need-Based '!CQ17,Other!L17)</f>
        <v>21.488</v>
      </c>
      <c r="M17" s="82">
        <f>SUM('Grants Need-Based'!CR17,'Grants Non Need-Based '!CR17,Other!M17)</f>
        <v>18.397893999999997</v>
      </c>
      <c r="N17" s="82">
        <f>SUM('Grants Need-Based'!CS17,'Grants Non Need-Based '!CS17,Other!N17)</f>
        <v>52.921089999999992</v>
      </c>
      <c r="O17" s="82">
        <f>SUM('Grants Need-Based'!CT17,'Grants Non Need-Based '!CT17,Other!O17)</f>
        <v>60.781942000000029</v>
      </c>
      <c r="P17" s="82">
        <f>SUM('Grants Need-Based'!CU17,'Grants Non Need-Based '!CU17,Other!P17)</f>
        <v>74.324843000000016</v>
      </c>
      <c r="Q17" s="82">
        <f>SUM('Grants Need-Based'!CV17,'Grants Non Need-Based '!CV17,Other!Q17)</f>
        <v>76.989000000000004</v>
      </c>
      <c r="R17" s="82">
        <f>SUM('Grants Need-Based'!CW17,'Grants Non Need-Based '!CW17,Other!R17)</f>
        <v>81.070999999999998</v>
      </c>
      <c r="S17" s="82">
        <f>SUM('Grants Need-Based'!CX17,'Grants Non Need-Based '!CX17,Other!S17)</f>
        <v>84.656000000000006</v>
      </c>
      <c r="T17" s="82">
        <f>SUM('Grants Need-Based'!CY17,'Grants Non Need-Based '!CY17,Other!T17)</f>
        <v>93.665999999999997</v>
      </c>
      <c r="U17" s="82">
        <f>SUM('Grants Need-Based'!CZ17,'Grants Non Need-Based '!CZ17,Other!U17)</f>
        <v>100.02799999999999</v>
      </c>
      <c r="V17" s="82">
        <f>SUM('Grants Need-Based'!DA17,'Grants Non Need-Based '!DA17,Other!V17)</f>
        <v>113.102</v>
      </c>
      <c r="W17" s="82">
        <f>SUM('Grants Need-Based'!DB17,'Grants Non Need-Based '!DB17,Other!W17)</f>
        <v>132.30149999999998</v>
      </c>
      <c r="X17" s="82">
        <f>SUM('Grants Need-Based'!DC17,'Grants Non Need-Based '!DC17,Other!X17)</f>
        <v>151.56460299999998</v>
      </c>
      <c r="Y17" s="82">
        <f>SUM('Grants Need-Based'!DD17,'Grants Non Need-Based '!DD17,Other!Y17)</f>
        <v>166.43299999999999</v>
      </c>
      <c r="Z17" s="82">
        <f>SUM('Grants Need-Based'!DE17,'Grants Non Need-Based '!DE17,Other!Z17)</f>
        <v>187.345</v>
      </c>
      <c r="AA17" s="82">
        <f>SUM('Grants Need-Based'!DF17,'Grants Non Need-Based '!DF17,Other!AA17)</f>
        <v>209.29200000000003</v>
      </c>
      <c r="AB17" s="82">
        <f>SUM('Grants Need-Based'!DG17,'Grants Non Need-Based '!DG17,Other!AB17)</f>
        <v>247.54400000000001</v>
      </c>
      <c r="AC17" s="82">
        <f>SUM('Grants Need-Based'!DH17,'Grants Non Need-Based '!DH17,Other!AC17)</f>
        <v>241.03500000000003</v>
      </c>
      <c r="AD17" s="82">
        <f>SUM('Grants Need-Based'!DI17,'Grants Non Need-Based '!DI17,Other!AD17)</f>
        <v>249.524</v>
      </c>
      <c r="AE17" s="82">
        <f>SUM('Grants Need-Based'!DJ17,'Grants Non Need-Based '!DJ17,Other!AE17)</f>
        <v>275.19499999999999</v>
      </c>
      <c r="AF17" s="82">
        <f>SUM('Grants Need-Based'!DK17,'Grants Non Need-Based '!DK17,Other!AF17)</f>
        <v>282.58000000000004</v>
      </c>
      <c r="AG17" s="268">
        <f>SUM('Grants Need-Based'!DL17,'Grants Non Need-Based '!DL17,Other!AG17)</f>
        <v>308.98399999999998</v>
      </c>
      <c r="AH17" s="268">
        <f>SUM('Grants Need-Based'!DM17,'Grants Non Need-Based '!DM17,Other!AH17)</f>
        <v>105.49780199999998</v>
      </c>
      <c r="AI17" s="268">
        <f>SUM('Grants Need-Based'!DN17,'Grants Non Need-Based '!DN17,Other!AI17)</f>
        <v>102.253214</v>
      </c>
    </row>
    <row r="18" spans="1:35">
      <c r="A18" s="23" t="s">
        <v>49</v>
      </c>
      <c r="B18" s="82">
        <f>SUM('Grants Need-Based'!CG18,'Grants Non Need-Based '!CG18,Other!B18)</f>
        <v>12.577999999999999</v>
      </c>
      <c r="C18" s="82">
        <f>SUM('Grants Need-Based'!CH18,'Grants Non Need-Based '!CH18,Other!C18)</f>
        <v>13.728</v>
      </c>
      <c r="D18" s="82">
        <f>SUM('Grants Need-Based'!CI18,'Grants Non Need-Based '!CI18,Other!D18)</f>
        <v>14.231000000000002</v>
      </c>
      <c r="E18" s="82">
        <f>SUM('Grants Need-Based'!CJ18,'Grants Non Need-Based '!CJ18,Other!E18)</f>
        <v>17.795999999999999</v>
      </c>
      <c r="F18" s="82">
        <f>SUM('Grants Need-Based'!CK18,'Grants Non Need-Based '!CK18,Other!F18)</f>
        <v>16.46</v>
      </c>
      <c r="G18" s="82">
        <f>SUM('Grants Need-Based'!CL18,'Grants Non Need-Based '!CL18,Other!G18)</f>
        <v>20.096</v>
      </c>
      <c r="H18" s="82">
        <f>SUM('Grants Need-Based'!CM18,'Grants Non Need-Based '!CM18,Other!H18)</f>
        <v>19.771999999999998</v>
      </c>
      <c r="I18" s="82">
        <f>SUM('Grants Need-Based'!CN18,'Grants Non Need-Based '!CN18,Other!I18)</f>
        <v>19.446999999999999</v>
      </c>
      <c r="J18" s="82">
        <f>SUM('Grants Need-Based'!CO18,'Grants Non Need-Based '!CO18,Other!J18)</f>
        <v>18.224</v>
      </c>
      <c r="K18" s="82">
        <f>SUM('Grants Need-Based'!CP18,'Grants Non Need-Based '!CP18,Other!K18)</f>
        <v>18.315000000000001</v>
      </c>
      <c r="L18" s="82">
        <f>SUM('Grants Need-Based'!CQ18,'Grants Non Need-Based '!CQ18,Other!L18)</f>
        <v>17.861000000000001</v>
      </c>
      <c r="M18" s="82">
        <f>SUM('Grants Need-Based'!CR18,'Grants Non Need-Based '!CR18,Other!M18)</f>
        <v>17.297000000000001</v>
      </c>
      <c r="N18" s="82">
        <f>SUM('Grants Need-Based'!CS18,'Grants Non Need-Based '!CS18,Other!N18)</f>
        <v>18.622</v>
      </c>
      <c r="O18" s="82">
        <f>SUM('Grants Need-Based'!CT18,'Grants Non Need-Based '!CT18,Other!O18)</f>
        <v>21.54</v>
      </c>
      <c r="P18" s="82">
        <f>SUM('Grants Need-Based'!CU18,'Grants Non Need-Based '!CU18,Other!P18)</f>
        <v>21.917000000000002</v>
      </c>
      <c r="Q18" s="82">
        <f>SUM('Grants Need-Based'!CV18,'Grants Non Need-Based '!CV18,Other!Q18)</f>
        <v>76.781000000000006</v>
      </c>
      <c r="R18" s="82">
        <f>SUM('Grants Need-Based'!CW18,'Grants Non Need-Based '!CW18,Other!R18)</f>
        <v>94.546000000000006</v>
      </c>
      <c r="S18" s="82">
        <f>SUM('Grants Need-Based'!CX18,'Grants Non Need-Based '!CX18,Other!S18)</f>
        <v>105.17099999999999</v>
      </c>
      <c r="T18" s="82">
        <f>SUM('Grants Need-Based'!CY18,'Grants Non Need-Based '!CY18,Other!T18)</f>
        <v>103.63899999999998</v>
      </c>
      <c r="U18" s="82">
        <f>SUM('Grants Need-Based'!CZ18,'Grants Non Need-Based '!CZ18,Other!U18)</f>
        <v>200.52700000000002</v>
      </c>
      <c r="V18" s="82">
        <f>SUM('Grants Need-Based'!DA18,'Grants Non Need-Based '!DA18,Other!V18)</f>
        <v>227.26900000000001</v>
      </c>
      <c r="W18" s="82">
        <f>SUM('Grants Need-Based'!DB18,'Grants Non Need-Based '!DB18,Other!W18)</f>
        <v>244.73999999999998</v>
      </c>
      <c r="X18" s="82">
        <f>SUM('Grants Need-Based'!DC18,'Grants Non Need-Based '!DC18,Other!X18)</f>
        <v>257.933809</v>
      </c>
      <c r="Y18" s="82">
        <f>SUM('Grants Need-Based'!DD18,'Grants Non Need-Based '!DD18,Other!Y18)</f>
        <v>273.76700000000005</v>
      </c>
      <c r="Z18" s="82">
        <f>SUM('Grants Need-Based'!DE18,'Grants Non Need-Based '!DE18,Other!Z18)</f>
        <v>298.61899999999997</v>
      </c>
      <c r="AA18" s="82">
        <f>SUM('Grants Need-Based'!DF18,'Grants Non Need-Based '!DF18,Other!AA18)</f>
        <v>319.94400000000002</v>
      </c>
      <c r="AB18" s="82">
        <f>SUM('Grants Need-Based'!DG18,'Grants Non Need-Based '!DG18,Other!AB18)</f>
        <v>325.67899999999997</v>
      </c>
      <c r="AC18" s="82">
        <f>SUM('Grants Need-Based'!DH18,'Grants Non Need-Based '!DH18,Other!AC18)</f>
        <v>328.00100000000003</v>
      </c>
      <c r="AD18" s="82">
        <f>SUM('Grants Need-Based'!DI18,'Grants Non Need-Based '!DI18,Other!AD18)</f>
        <v>332.02600000000001</v>
      </c>
      <c r="AE18" s="82">
        <f>SUM('Grants Need-Based'!DJ18,'Grants Non Need-Based '!DJ18,Other!AE18)</f>
        <v>607.47699999999998</v>
      </c>
      <c r="AF18" s="82">
        <f>SUM('Grants Need-Based'!DK18,'Grants Non Need-Based '!DK18,Other!AF18)</f>
        <v>362.39900000000006</v>
      </c>
      <c r="AG18" s="268">
        <f>SUM('Grants Need-Based'!DL18,'Grants Non Need-Based '!DL18,Other!AG18)</f>
        <v>372.23799999999994</v>
      </c>
      <c r="AH18" s="268">
        <f>SUM('Grants Need-Based'!DM18,'Grants Non Need-Based '!DM18,Other!AH18)</f>
        <v>387.98214400000001</v>
      </c>
      <c r="AI18" s="268">
        <f>SUM('Grants Need-Based'!DN18,'Grants Non Need-Based '!DN18,Other!AI18)</f>
        <v>400.88226599999996</v>
      </c>
    </row>
    <row r="19" spans="1:35">
      <c r="A19" s="23" t="s">
        <v>50</v>
      </c>
      <c r="B19" s="82">
        <f>SUM('Grants Need-Based'!CG19,'Grants Non Need-Based '!CG19,Other!B19)</f>
        <v>7.0810000000000004</v>
      </c>
      <c r="C19" s="82">
        <f>SUM('Grants Need-Based'!CH19,'Grants Non Need-Based '!CH19,Other!C19)</f>
        <v>9.0329999999999995</v>
      </c>
      <c r="D19" s="82">
        <f>SUM('Grants Need-Based'!CI19,'Grants Non Need-Based '!CI19,Other!D19)</f>
        <v>12.324000000000002</v>
      </c>
      <c r="E19" s="82">
        <f>SUM('Grants Need-Based'!CJ19,'Grants Non Need-Based '!CJ19,Other!E19)</f>
        <v>13.786999999999999</v>
      </c>
      <c r="F19" s="82">
        <f>SUM('Grants Need-Based'!CK19,'Grants Non Need-Based '!CK19,Other!F19)</f>
        <v>16.603999999999999</v>
      </c>
      <c r="G19" s="82">
        <f>SUM('Grants Need-Based'!CL19,'Grants Non Need-Based '!CL19,Other!G19)</f>
        <v>12.54</v>
      </c>
      <c r="H19" s="82">
        <f>SUM('Grants Need-Based'!CM19,'Grants Non Need-Based '!CM19,Other!H19)</f>
        <v>20.027000000000001</v>
      </c>
      <c r="I19" s="82">
        <f>SUM('Grants Need-Based'!CN19,'Grants Non Need-Based '!CN19,Other!I19)</f>
        <v>18.002000000000002</v>
      </c>
      <c r="J19" s="82">
        <f>SUM('Grants Need-Based'!CO19,'Grants Non Need-Based '!CO19,Other!J19)</f>
        <v>19.291</v>
      </c>
      <c r="K19" s="82">
        <f>SUM('Grants Need-Based'!CP19,'Grants Non Need-Based '!CP19,Other!K19)</f>
        <v>24.471</v>
      </c>
      <c r="L19" s="82">
        <f>SUM('Grants Need-Based'!CQ19,'Grants Non Need-Based '!CQ19,Other!L19)</f>
        <v>30.414000000000001</v>
      </c>
      <c r="M19" s="82">
        <f>SUM('Grants Need-Based'!CR19,'Grants Non Need-Based '!CR19,Other!M19)</f>
        <v>19.832219999999996</v>
      </c>
      <c r="N19" s="82">
        <f>SUM('Grants Need-Based'!CS19,'Grants Non Need-Based '!CS19,Other!N19)</f>
        <v>20.702254999999994</v>
      </c>
      <c r="O19" s="82">
        <f>SUM('Grants Need-Based'!CT19,'Grants Non Need-Based '!CT19,Other!O19)</f>
        <v>20.428166999999988</v>
      </c>
      <c r="P19" s="82">
        <f>SUM('Grants Need-Based'!CU19,'Grants Non Need-Based '!CU19,Other!P19)</f>
        <v>22.417155000000047</v>
      </c>
      <c r="Q19" s="82">
        <f>SUM('Grants Need-Based'!CV19,'Grants Non Need-Based '!CV19,Other!Q19)</f>
        <v>22.873999999999999</v>
      </c>
      <c r="R19" s="82">
        <f>SUM('Grants Need-Based'!CW19,'Grants Non Need-Based '!CW19,Other!R19)</f>
        <v>23.709</v>
      </c>
      <c r="S19" s="82">
        <f>SUM('Grants Need-Based'!CX19,'Grants Non Need-Based '!CX19,Other!S19)</f>
        <v>30.878</v>
      </c>
      <c r="T19" s="82">
        <f>SUM('Grants Need-Based'!CY19,'Grants Non Need-Based '!CY19,Other!T19)</f>
        <v>39.927999999999997</v>
      </c>
      <c r="U19" s="82">
        <f>SUM('Grants Need-Based'!CZ19,'Grants Non Need-Based '!CZ19,Other!U19)</f>
        <v>56.406999999999996</v>
      </c>
      <c r="V19" s="82">
        <f>SUM('Grants Need-Based'!DA19,'Grants Non Need-Based '!DA19,Other!V19)</f>
        <v>51.774000000000001</v>
      </c>
      <c r="W19" s="82">
        <f>SUM('Grants Need-Based'!DB19,'Grants Non Need-Based '!DB19,Other!W19)</f>
        <v>138</v>
      </c>
      <c r="X19" s="82">
        <f>SUM('Grants Need-Based'!DC19,'Grants Non Need-Based '!DC19,Other!X19)</f>
        <v>177.17365700000002</v>
      </c>
      <c r="Y19" s="82">
        <f>SUM('Grants Need-Based'!DD19,'Grants Non Need-Based '!DD19,Other!Y19)</f>
        <v>236.16599999999997</v>
      </c>
      <c r="Z19" s="82">
        <f>SUM('Grants Need-Based'!DE19,'Grants Non Need-Based '!DE19,Other!Z19)</f>
        <v>285.63200000000001</v>
      </c>
      <c r="AA19" s="82">
        <f>SUM('Grants Need-Based'!DF19,'Grants Non Need-Based '!DF19,Other!AA19)</f>
        <v>317.988</v>
      </c>
      <c r="AB19" s="82">
        <f>SUM('Grants Need-Based'!DG19,'Grants Non Need-Based '!DG19,Other!AB19)</f>
        <v>339.91199999999998</v>
      </c>
      <c r="AC19" s="82">
        <f>SUM('Grants Need-Based'!DH19,'Grants Non Need-Based '!DH19,Other!AC19)</f>
        <v>355.19399999999996</v>
      </c>
      <c r="AD19" s="82">
        <f>SUM('Grants Need-Based'!DI19,'Grants Non Need-Based '!DI19,Other!AD19)</f>
        <v>368.72500000000008</v>
      </c>
      <c r="AE19" s="82">
        <f>SUM('Grants Need-Based'!DJ19,'Grants Non Need-Based '!DJ19,Other!AE19)</f>
        <v>375.19499999999999</v>
      </c>
      <c r="AF19" s="82">
        <f>SUM('Grants Need-Based'!DK19,'Grants Non Need-Based '!DK19,Other!AF19)</f>
        <v>367.13200000000001</v>
      </c>
      <c r="AG19" s="268">
        <f>SUM('Grants Need-Based'!DL19,'Grants Non Need-Based '!DL19,Other!AG19)</f>
        <v>368.23599999999999</v>
      </c>
      <c r="AH19" s="268">
        <f>SUM('Grants Need-Based'!DM19,'Grants Non Need-Based '!DM19,Other!AH19)</f>
        <v>411.63743899999997</v>
      </c>
      <c r="AI19" s="268">
        <f>SUM('Grants Need-Based'!DN19,'Grants Non Need-Based '!DN19,Other!AI19)</f>
        <v>432.38975399999998</v>
      </c>
    </row>
    <row r="20" spans="1:35">
      <c r="A20" s="23" t="s">
        <v>51</v>
      </c>
      <c r="B20" s="82">
        <f>SUM('Grants Need-Based'!CG20,'Grants Non Need-Based '!CG20,Other!B20)</f>
        <v>25.53</v>
      </c>
      <c r="C20" s="82">
        <f>SUM('Grants Need-Based'!CH20,'Grants Non Need-Based '!CH20,Other!C20)</f>
        <v>27.501000000000001</v>
      </c>
      <c r="D20" s="82">
        <f>SUM('Grants Need-Based'!CI20,'Grants Non Need-Based '!CI20,Other!D20)</f>
        <v>24.5</v>
      </c>
      <c r="E20" s="82">
        <f>SUM('Grants Need-Based'!CJ20,'Grants Non Need-Based '!CJ20,Other!E20)</f>
        <v>78.555999999999997</v>
      </c>
      <c r="F20" s="82">
        <f>SUM('Grants Need-Based'!CK20,'Grants Non Need-Based '!CK20,Other!F20)</f>
        <v>100.53400000000001</v>
      </c>
      <c r="G20" s="82">
        <f>SUM('Grants Need-Based'!CL20,'Grants Non Need-Based '!CL20,Other!G20)</f>
        <v>104.235</v>
      </c>
      <c r="H20" s="82">
        <f>SUM('Grants Need-Based'!CM20,'Grants Non Need-Based '!CM20,Other!H20)</f>
        <v>112.047</v>
      </c>
      <c r="I20" s="82">
        <f>SUM('Grants Need-Based'!CN20,'Grants Non Need-Based '!CN20,Other!I20)</f>
        <v>118.36799999999999</v>
      </c>
      <c r="J20" s="82">
        <f>SUM('Grants Need-Based'!CO20,'Grants Non Need-Based '!CO20,Other!J20)</f>
        <v>135.96600000000001</v>
      </c>
      <c r="K20" s="82">
        <f>SUM('Grants Need-Based'!CP20,'Grants Non Need-Based '!CP20,Other!K20)</f>
        <v>131.22</v>
      </c>
      <c r="L20" s="82">
        <f>SUM('Grants Need-Based'!CQ20,'Grants Non Need-Based '!CQ20,Other!L20)</f>
        <v>73.742000000000004</v>
      </c>
      <c r="M20" s="82">
        <f>SUM('Grants Need-Based'!CR20,'Grants Non Need-Based '!CR20,Other!M20)</f>
        <v>118.864728</v>
      </c>
      <c r="N20" s="82">
        <f>SUM('Grants Need-Based'!CS20,'Grants Non Need-Based '!CS20,Other!N20)</f>
        <v>262.70999999999998</v>
      </c>
      <c r="O20" s="82">
        <f>SUM('Grants Need-Based'!CT20,'Grants Non Need-Based '!CT20,Other!O20)</f>
        <v>320.32005700000002</v>
      </c>
      <c r="P20" s="82">
        <f>SUM('Grants Need-Based'!CU20,'Grants Non Need-Based '!CU20,Other!P20)</f>
        <v>357.92500000000001</v>
      </c>
      <c r="Q20" s="82">
        <f>SUM('Grants Need-Based'!CV20,'Grants Non Need-Based '!CV20,Other!Q20)</f>
        <v>368.79100000000005</v>
      </c>
      <c r="R20" s="82">
        <f>SUM('Grants Need-Based'!CW20,'Grants Non Need-Based '!CW20,Other!R20)</f>
        <v>469.73</v>
      </c>
      <c r="S20" s="82">
        <f>SUM('Grants Need-Based'!CX20,'Grants Non Need-Based '!CX20,Other!S20)</f>
        <v>270.65899999999999</v>
      </c>
      <c r="T20" s="82">
        <f>SUM('Grants Need-Based'!CY20,'Grants Non Need-Based '!CY20,Other!T20)</f>
        <v>351.90899999999999</v>
      </c>
      <c r="U20" s="82">
        <f>SUM('Grants Need-Based'!CZ20,'Grants Non Need-Based '!CZ20,Other!U20)</f>
        <v>401.06400000000002</v>
      </c>
      <c r="V20" s="82">
        <f>SUM('Grants Need-Based'!DA20,'Grants Non Need-Based '!DA20,Other!V20)</f>
        <v>433.88749999999999</v>
      </c>
      <c r="W20" s="82">
        <f>SUM('Grants Need-Based'!DB20,'Grants Non Need-Based '!DB20,Other!W20)</f>
        <v>458.40699999999998</v>
      </c>
      <c r="X20" s="82">
        <f>SUM('Grants Need-Based'!DC20,'Grants Non Need-Based '!DC20,Other!X20)</f>
        <v>523.26275099999998</v>
      </c>
      <c r="Y20" s="82">
        <f>SUM('Grants Need-Based'!DD20,'Grants Non Need-Based '!DD20,Other!Y20)</f>
        <v>561.88499999999999</v>
      </c>
      <c r="Z20" s="82">
        <f>SUM('Grants Need-Based'!DE20,'Grants Non Need-Based '!DE20,Other!Z20)</f>
        <v>699.0920000000001</v>
      </c>
      <c r="AA20" s="82">
        <f>SUM('Grants Need-Based'!DF20,'Grants Non Need-Based '!DF20,Other!AA20)</f>
        <v>621.02</v>
      </c>
      <c r="AB20" s="82">
        <f>SUM('Grants Need-Based'!DG20,'Grants Non Need-Based '!DG20,Other!AB20)</f>
        <v>820.33699999999999</v>
      </c>
      <c r="AC20" s="82">
        <f>SUM('Grants Need-Based'!DH20,'Grants Non Need-Based '!DH20,Other!AC20)</f>
        <v>917.404</v>
      </c>
      <c r="AD20" s="82">
        <f>SUM('Grants Need-Based'!DI20,'Grants Non Need-Based '!DI20,Other!AD20)</f>
        <v>824.94800000000009</v>
      </c>
      <c r="AE20" s="82">
        <f>SUM('Grants Need-Based'!DJ20,'Grants Non Need-Based '!DJ20,Other!AE20)</f>
        <v>869.48599999999999</v>
      </c>
      <c r="AF20" s="82">
        <f>SUM('Grants Need-Based'!DK20,'Grants Non Need-Based '!DK20,Other!AF20)</f>
        <v>938.779</v>
      </c>
      <c r="AG20" s="268">
        <f>SUM('Grants Need-Based'!DL20,'Grants Non Need-Based '!DL20,Other!AG20)</f>
        <v>1023.5170000000001</v>
      </c>
      <c r="AH20" s="268">
        <f>SUM('Grants Need-Based'!DM20,'Grants Non Need-Based '!DM20,Other!AH20)</f>
        <v>1125.6445390000001</v>
      </c>
      <c r="AI20" s="268">
        <f>SUM('Grants Need-Based'!DN20,'Grants Non Need-Based '!DN20,Other!AI20)</f>
        <v>1173.5983040000001</v>
      </c>
    </row>
    <row r="21" spans="1:35">
      <c r="A21" s="23" t="s">
        <v>52</v>
      </c>
      <c r="B21" s="82">
        <f>SUM('Grants Need-Based'!CG21,'Grants Non Need-Based '!CG21,Other!B21)</f>
        <v>15.687999999999999</v>
      </c>
      <c r="C21" s="82">
        <f>SUM('Grants Need-Based'!CH21,'Grants Non Need-Based '!CH21,Other!C21)</f>
        <v>17.146999999999998</v>
      </c>
      <c r="D21" s="82">
        <f>SUM('Grants Need-Based'!CI21,'Grants Non Need-Based '!CI21,Other!D21)</f>
        <v>17.761000000000003</v>
      </c>
      <c r="E21" s="82">
        <f>SUM('Grants Need-Based'!CJ21,'Grants Non Need-Based '!CJ21,Other!E21)</f>
        <v>19.132999999999999</v>
      </c>
      <c r="F21" s="82">
        <f>SUM('Grants Need-Based'!CK21,'Grants Non Need-Based '!CK21,Other!F21)</f>
        <v>20.262</v>
      </c>
      <c r="G21" s="82">
        <f>SUM('Grants Need-Based'!CL21,'Grants Non Need-Based '!CL21,Other!G21)</f>
        <v>23.898</v>
      </c>
      <c r="H21" s="82">
        <f>SUM('Grants Need-Based'!CM21,'Grants Non Need-Based '!CM21,Other!H21)</f>
        <v>26.373000000000005</v>
      </c>
      <c r="I21" s="82">
        <f>SUM('Grants Need-Based'!CN21,'Grants Non Need-Based '!CN21,Other!I21)</f>
        <v>25.514000000000003</v>
      </c>
      <c r="J21" s="82">
        <f>SUM('Grants Need-Based'!CO21,'Grants Non Need-Based '!CO21,Other!J21)</f>
        <v>26.619999999999997</v>
      </c>
      <c r="K21" s="82">
        <f>SUM('Grants Need-Based'!CP21,'Grants Non Need-Based '!CP21,Other!K21)</f>
        <v>26.878999999999998</v>
      </c>
      <c r="L21" s="82">
        <f>SUM('Grants Need-Based'!CQ21,'Grants Non Need-Based '!CQ21,Other!L21)</f>
        <v>73.474999999999994</v>
      </c>
      <c r="M21" s="82">
        <f>SUM('Grants Need-Based'!CR21,'Grants Non Need-Based '!CR21,Other!M21)</f>
        <v>83.504499999999993</v>
      </c>
      <c r="N21" s="82">
        <f>SUM('Grants Need-Based'!CS21,'Grants Non Need-Based '!CS21,Other!N21)</f>
        <v>90.03</v>
      </c>
      <c r="O21" s="82">
        <f>SUM('Grants Need-Based'!CT21,'Grants Non Need-Based '!CT21,Other!O21)</f>
        <v>95.133833333333328</v>
      </c>
      <c r="P21" s="82">
        <f>SUM('Grants Need-Based'!CU21,'Grants Non Need-Based '!CU21,Other!P21)</f>
        <v>98.966666666666669</v>
      </c>
      <c r="Q21" s="82">
        <f>SUM('Grants Need-Based'!CV21,'Grants Non Need-Based '!CV21,Other!Q21)</f>
        <v>112.4395</v>
      </c>
      <c r="R21" s="82">
        <f>SUM('Grants Need-Based'!CW21,'Grants Non Need-Based '!CW21,Other!R21)</f>
        <v>119.72133333333333</v>
      </c>
      <c r="S21" s="82">
        <f>SUM('Grants Need-Based'!CX21,'Grants Non Need-Based '!CX21,Other!S21)</f>
        <v>128.87916666666669</v>
      </c>
      <c r="T21" s="82">
        <f>SUM('Grants Need-Based'!CY21,'Grants Non Need-Based '!CY21,Other!T21)</f>
        <v>128.14099999999999</v>
      </c>
      <c r="U21" s="82">
        <f>SUM('Grants Need-Based'!CZ21,'Grants Non Need-Based '!CZ21,Other!U21)</f>
        <v>162.554</v>
      </c>
      <c r="V21" s="82">
        <f>SUM('Grants Need-Based'!DA21,'Grants Non Need-Based '!DA21,Other!V21)</f>
        <v>218.78000000000003</v>
      </c>
      <c r="W21" s="82">
        <f>SUM('Grants Need-Based'!DB21,'Grants Non Need-Based '!DB21,Other!W21)</f>
        <v>201.53110000000001</v>
      </c>
      <c r="X21" s="82">
        <f>SUM('Grants Need-Based'!DC21,'Grants Non Need-Based '!DC21,Other!X21)</f>
        <v>223.883577</v>
      </c>
      <c r="Y21" s="82">
        <f>SUM('Grants Need-Based'!DD21,'Grants Non Need-Based '!DD21,Other!Y21)</f>
        <v>255.68200000000002</v>
      </c>
      <c r="Z21" s="82">
        <f>SUM('Grants Need-Based'!DE21,'Grants Non Need-Based '!DE21,Other!Z21)</f>
        <v>275.96600000000001</v>
      </c>
      <c r="AA21" s="82">
        <f>SUM('Grants Need-Based'!DF21,'Grants Non Need-Based '!DF21,Other!AA21)</f>
        <v>295.53500000000003</v>
      </c>
      <c r="AB21" s="82">
        <f>SUM('Grants Need-Based'!DG21,'Grants Non Need-Based '!DG21,Other!AB21)</f>
        <v>329.71699999999998</v>
      </c>
      <c r="AC21" s="82">
        <f>SUM('Grants Need-Based'!DH21,'Grants Non Need-Based '!DH21,Other!AC21)</f>
        <v>395.42799999999994</v>
      </c>
      <c r="AD21" s="82">
        <f>SUM('Grants Need-Based'!DI21,'Grants Non Need-Based '!DI21,Other!AD21)</f>
        <v>426.53899999999999</v>
      </c>
      <c r="AE21" s="82">
        <f>SUM('Grants Need-Based'!DJ21,'Grants Non Need-Based '!DJ21,Other!AE21)</f>
        <v>431.411</v>
      </c>
      <c r="AF21" s="82">
        <f>SUM('Grants Need-Based'!DK21,'Grants Non Need-Based '!DK21,Other!AF21)</f>
        <v>468.70100000000002</v>
      </c>
      <c r="AG21" s="268">
        <f>SUM('Grants Need-Based'!DL21,'Grants Non Need-Based '!DL21,Other!AG21)</f>
        <v>651.904</v>
      </c>
      <c r="AH21" s="268">
        <f>SUM('Grants Need-Based'!DM21,'Grants Non Need-Based '!DM21,Other!AH21)</f>
        <v>690.924532</v>
      </c>
      <c r="AI21" s="268">
        <f>SUM('Grants Need-Based'!DN21,'Grants Non Need-Based '!DN21,Other!AI21)</f>
        <v>725.01271900000006</v>
      </c>
    </row>
    <row r="22" spans="1:35">
      <c r="A22" s="32" t="s">
        <v>53</v>
      </c>
      <c r="B22" s="81">
        <f>SUM('Grants Need-Based'!CG22,'Grants Non Need-Based '!CG22,Other!B22)</f>
        <v>7.3570000000000002</v>
      </c>
      <c r="C22" s="81">
        <f>SUM('Grants Need-Based'!CH22,'Grants Non Need-Based '!CH22,Other!C22)</f>
        <v>8.8670000000000009</v>
      </c>
      <c r="D22" s="81">
        <f>SUM('Grants Need-Based'!CI22,'Grants Non Need-Based '!CI22,Other!D22)</f>
        <v>8.843</v>
      </c>
      <c r="E22" s="81">
        <f>SUM('Grants Need-Based'!CJ22,'Grants Non Need-Based '!CJ22,Other!E22)</f>
        <v>8.8710000000000004</v>
      </c>
      <c r="F22" s="81">
        <f>SUM('Grants Need-Based'!CK22,'Grants Non Need-Based '!CK22,Other!F22)</f>
        <v>10.191000000000001</v>
      </c>
      <c r="G22" s="81">
        <f>SUM('Grants Need-Based'!CL22,'Grants Non Need-Based '!CL22,Other!G22)</f>
        <v>10.553999999999998</v>
      </c>
      <c r="H22" s="81">
        <f>SUM('Grants Need-Based'!CM22,'Grants Non Need-Based '!CM22,Other!H22)</f>
        <v>11.877000000000001</v>
      </c>
      <c r="I22" s="81">
        <f>SUM('Grants Need-Based'!CN22,'Grants Non Need-Based '!CN22,Other!I22)</f>
        <v>12.952999999999999</v>
      </c>
      <c r="J22" s="81">
        <f>SUM('Grants Need-Based'!CO22,'Grants Non Need-Based '!CO22,Other!J22)</f>
        <v>14.722999999999999</v>
      </c>
      <c r="K22" s="81">
        <f>SUM('Grants Need-Based'!CP22,'Grants Non Need-Based '!CP22,Other!K22)</f>
        <v>14.894</v>
      </c>
      <c r="L22" s="81">
        <f>SUM('Grants Need-Based'!CQ22,'Grants Non Need-Based '!CQ22,Other!L22)</f>
        <v>6.782</v>
      </c>
      <c r="M22" s="81">
        <f>SUM('Grants Need-Based'!CR22,'Grants Non Need-Based '!CR22,Other!M22)</f>
        <v>16.820428</v>
      </c>
      <c r="N22" s="81">
        <f>SUM('Grants Need-Based'!CS22,'Grants Non Need-Based '!CS22,Other!N22)</f>
        <v>20.993000000000002</v>
      </c>
      <c r="O22" s="81">
        <f>SUM('Grants Need-Based'!CT22,'Grants Non Need-Based '!CT22,Other!O22)</f>
        <v>24.18139</v>
      </c>
      <c r="P22" s="81">
        <f>SUM('Grants Need-Based'!CU22,'Grants Non Need-Based '!CU22,Other!P22)</f>
        <v>26.671999999999997</v>
      </c>
      <c r="Q22" s="81">
        <f>SUM('Grants Need-Based'!CV22,'Grants Non Need-Based '!CV22,Other!Q22)</f>
        <v>29.003</v>
      </c>
      <c r="R22" s="81">
        <f>SUM('Grants Need-Based'!CW22,'Grants Non Need-Based '!CW22,Other!R22)</f>
        <v>34.78</v>
      </c>
      <c r="S22" s="81">
        <f>SUM('Grants Need-Based'!CX22,'Grants Non Need-Based '!CX22,Other!S22)</f>
        <v>38.929000000000002</v>
      </c>
      <c r="T22" s="81">
        <f>SUM('Grants Need-Based'!CY22,'Grants Non Need-Based '!CY22,Other!T22)</f>
        <v>43.613999999999997</v>
      </c>
      <c r="U22" s="81">
        <f>SUM('Grants Need-Based'!CZ22,'Grants Non Need-Based '!CZ22,Other!U22)</f>
        <v>72.454999999999998</v>
      </c>
      <c r="V22" s="81">
        <f>SUM('Grants Need-Based'!DA22,'Grants Non Need-Based '!DA22,Other!V22)</f>
        <v>66.025000000000006</v>
      </c>
      <c r="W22" s="81">
        <f>SUM('Grants Need-Based'!DB22,'Grants Non Need-Based '!DB22,Other!W22)</f>
        <v>77.393000000000001</v>
      </c>
      <c r="X22" s="81">
        <f>SUM('Grants Need-Based'!DC22,'Grants Non Need-Based '!DC22,Other!X22)</f>
        <v>87.304524999999998</v>
      </c>
      <c r="Y22" s="81">
        <f>SUM('Grants Need-Based'!DD22,'Grants Non Need-Based '!DD22,Other!Y22)</f>
        <v>96.61999999999999</v>
      </c>
      <c r="Z22" s="81">
        <f>SUM('Grants Need-Based'!DE22,'Grants Non Need-Based '!DE22,Other!Z22)</f>
        <v>103.32599999999999</v>
      </c>
      <c r="AA22" s="81">
        <f>SUM('Grants Need-Based'!DF22,'Grants Non Need-Based '!DF22,Other!AA22)</f>
        <v>113.982</v>
      </c>
      <c r="AB22" s="81">
        <f>SUM('Grants Need-Based'!DG22,'Grants Non Need-Based '!DG22,Other!AB22)</f>
        <v>128.404</v>
      </c>
      <c r="AC22" s="81">
        <f>SUM('Grants Need-Based'!DH22,'Grants Non Need-Based '!DH22,Other!AC22)</f>
        <v>129.96899999999999</v>
      </c>
      <c r="AD22" s="81">
        <f>SUM('Grants Need-Based'!DI22,'Grants Non Need-Based '!DI22,Other!AD22)</f>
        <v>131.559</v>
      </c>
      <c r="AE22" s="81">
        <f>SUM('Grants Need-Based'!DJ22,'Grants Non Need-Based '!DJ22,Other!AE22)</f>
        <v>146.91499999999999</v>
      </c>
      <c r="AF22" s="81">
        <f>SUM('Grants Need-Based'!DK22,'Grants Non Need-Based '!DK22,Other!AF22)</f>
        <v>141.268</v>
      </c>
      <c r="AG22" s="81">
        <f>SUM('Grants Need-Based'!DL22,'Grants Non Need-Based '!DL22,Other!AG22)</f>
        <v>145.02199999999999</v>
      </c>
      <c r="AH22" s="81">
        <f>SUM('Grants Need-Based'!DM22,'Grants Non Need-Based '!DM22,Other!AH22)</f>
        <v>140.15139500000001</v>
      </c>
      <c r="AI22" s="81">
        <f>SUM('Grants Need-Based'!DN22,'Grants Non Need-Based '!DN22,Other!AI22)</f>
        <v>149.58351499999998</v>
      </c>
    </row>
    <row r="23" spans="1:35">
      <c r="A23" s="7" t="s">
        <v>54</v>
      </c>
      <c r="B23" s="82">
        <f>SUM('Grants Need-Based'!CG23,'Grants Non Need-Based '!CG23,Other!B23)</f>
        <v>133.90200000000002</v>
      </c>
      <c r="C23" s="82">
        <f>SUM('Grants Need-Based'!CH23,'Grants Non Need-Based '!CH23,Other!C23)</f>
        <v>159.09200000000001</v>
      </c>
      <c r="D23" s="82">
        <f>SUM('Grants Need-Based'!CI23,'Grants Non Need-Based '!CI23,Other!D23)</f>
        <v>174.91566666666671</v>
      </c>
      <c r="E23" s="82">
        <f>SUM('Grants Need-Based'!CJ23,'Grants Non Need-Based '!CJ23,Other!E23)</f>
        <v>194.79433333333336</v>
      </c>
      <c r="F23" s="82">
        <f>SUM('Grants Need-Based'!CK23,'Grants Non Need-Based '!CK23,Other!F23)</f>
        <v>196.11100000000005</v>
      </c>
      <c r="G23" s="82">
        <f>SUM('Grants Need-Based'!CL23,'Grants Non Need-Based '!CL23,Other!G23)</f>
        <v>213.15099999999998</v>
      </c>
      <c r="H23" s="82">
        <f>SUM('Grants Need-Based'!CM23,'Grants Non Need-Based '!CM23,Other!H23)</f>
        <v>239.39800000000008</v>
      </c>
      <c r="I23" s="82">
        <f>SUM('Grants Need-Based'!CN23,'Grants Non Need-Based '!CN23,Other!I23)</f>
        <v>256.09100000000007</v>
      </c>
      <c r="J23" s="82">
        <f>SUM('Grants Need-Based'!CO23,'Grants Non Need-Based '!CO23,Other!J23)</f>
        <v>317.92200000000003</v>
      </c>
      <c r="K23" s="82">
        <f>SUM('Grants Need-Based'!CP23,'Grants Non Need-Based '!CP23,Other!K23)</f>
        <v>337.64200000000005</v>
      </c>
      <c r="L23" s="82">
        <f>SUM('Grants Need-Based'!CQ23,'Grants Non Need-Based '!CQ23,Other!L23)</f>
        <v>516.79299999999989</v>
      </c>
      <c r="M23" s="82">
        <f>SUM('Grants Need-Based'!CR23,'Grants Non Need-Based '!CR23,Other!M23)</f>
        <v>452.78661300000016</v>
      </c>
      <c r="N23" s="82">
        <f>SUM('Grants Need-Based'!CS23,'Grants Non Need-Based '!CS23,Other!N23)</f>
        <v>1372.9278770000001</v>
      </c>
      <c r="O23" s="82">
        <f>SUM('Grants Need-Based'!CT23,'Grants Non Need-Based '!CT23,Other!O23)</f>
        <v>1366.0617959999997</v>
      </c>
      <c r="P23" s="82">
        <f>SUM('Grants Need-Based'!CU23,'Grants Non Need-Based '!CU23,Other!P23)</f>
        <v>1524.7540019999997</v>
      </c>
      <c r="Q23" s="82">
        <f>SUM('Grants Need-Based'!CV23,'Grants Non Need-Based '!CV23,Other!Q23)</f>
        <v>1105.944</v>
      </c>
      <c r="R23" s="82">
        <f>SUM('Grants Need-Based'!CW23,'Grants Non Need-Based '!CW23,Other!R23)</f>
        <v>1183.5871499999998</v>
      </c>
      <c r="S23" s="82">
        <f>SUM('Grants Need-Based'!CX23,'Grants Non Need-Based '!CX23,Other!S23)</f>
        <v>1069.1652000000001</v>
      </c>
      <c r="T23" s="82">
        <f>SUM('Grants Need-Based'!CY23,'Grants Non Need-Based '!CY23,Other!T23)</f>
        <v>1680.3573166666667</v>
      </c>
      <c r="U23" s="82">
        <f>SUM('Grants Need-Based'!CZ23,'Grants Non Need-Based '!CZ23,Other!U23)</f>
        <v>1084.3826333333332</v>
      </c>
      <c r="V23" s="82">
        <f>SUM('Grants Need-Based'!DA23,'Grants Non Need-Based '!DA23,Other!V23)</f>
        <v>1217.1475963333335</v>
      </c>
      <c r="W23" s="82">
        <f>SUM('Grants Need-Based'!DB23,'Grants Non Need-Based '!DB23,Other!W23)</f>
        <v>1314.7605761666666</v>
      </c>
      <c r="X23" s="82">
        <f>SUM('Grants Need-Based'!DC23,'Grants Non Need-Based '!DC23,Other!X23)</f>
        <v>1431.3378660000001</v>
      </c>
      <c r="Y23" s="82">
        <f>SUM('Grants Need-Based'!DD23,'Grants Non Need-Based '!DD23,Other!Y23)</f>
        <v>1501.5466666666666</v>
      </c>
      <c r="Z23" s="82">
        <f>SUM('Grants Need-Based'!DE23,'Grants Non Need-Based '!DE23,Other!Z23)</f>
        <v>1593.6468333333335</v>
      </c>
      <c r="AA23" s="82">
        <f>SUM('Grants Need-Based'!DF23,'Grants Non Need-Based '!DF23,Other!AA23)</f>
        <v>1740.8985</v>
      </c>
      <c r="AB23" s="82">
        <f>SUM('Grants Need-Based'!DG23,'Grants Non Need-Based '!DG23,Other!AB23)</f>
        <v>1940.9640000000002</v>
      </c>
      <c r="AC23" s="82">
        <f>SUM('Grants Need-Based'!DH23,'Grants Non Need-Based '!DH23,Other!AC23)</f>
        <v>2040.1129999999998</v>
      </c>
      <c r="AD23" s="82">
        <f>SUM('Grants Need-Based'!DI23,'Grants Non Need-Based '!DI23,Other!AD23)</f>
        <v>2360.64</v>
      </c>
      <c r="AE23" s="82">
        <f>SUM('Grants Need-Based'!DJ23,'Grants Non Need-Based '!DJ23,Other!AE23)</f>
        <v>2496.828</v>
      </c>
      <c r="AF23" s="82">
        <f>SUM('Grants Need-Based'!DK23,'Grants Non Need-Based '!DK23,Other!AF23)</f>
        <v>2656.5099999999998</v>
      </c>
      <c r="AG23" s="82">
        <f>SUM('Grants Need-Based'!DL23,'Grants Non Need-Based '!DL23,Other!AG23)</f>
        <v>2911.924</v>
      </c>
      <c r="AH23" s="82">
        <f>SUM('Grants Need-Based'!DM23,'Grants Non Need-Based '!DM23,Other!AH23)</f>
        <v>2986.0557429999999</v>
      </c>
      <c r="AI23" s="82">
        <f>SUM('Grants Need-Based'!DN23,'Grants Non Need-Based '!DN23,Other!AI23)</f>
        <v>3127.6762980000012</v>
      </c>
    </row>
    <row r="24" spans="1:35">
      <c r="A24" s="7" t="s">
        <v>35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</row>
    <row r="25" spans="1:35">
      <c r="A25" s="23" t="s">
        <v>55</v>
      </c>
      <c r="B25" s="82">
        <f>SUM('Grants Need-Based'!CG25,'Grants Non Need-Based '!CG25,Other!B25)</f>
        <v>0.191</v>
      </c>
      <c r="C25" s="82">
        <f>SUM('Grants Need-Based'!CH25,'Grants Non Need-Based '!CH25,Other!C25)</f>
        <v>2.0750000000000002</v>
      </c>
      <c r="D25" s="82">
        <f>SUM('Grants Need-Based'!CI25,'Grants Non Need-Based '!CI25,Other!D25)</f>
        <v>2.0750000000000002</v>
      </c>
      <c r="E25" s="82">
        <f>SUM('Grants Need-Based'!CJ25,'Grants Non Need-Based '!CJ25,Other!E25)</f>
        <v>2.0750000000000002</v>
      </c>
      <c r="F25" s="82">
        <f>SUM('Grants Need-Based'!CK25,'Grants Non Need-Based '!CK25,Other!F25)</f>
        <v>0.24</v>
      </c>
      <c r="G25" s="82">
        <f>SUM('Grants Need-Based'!CL25,'Grants Non Need-Based '!CL25,Other!G25)</f>
        <v>0.23</v>
      </c>
      <c r="H25" s="82">
        <f>SUM('Grants Need-Based'!CM25,'Grants Non Need-Based '!CM25,Other!H25)</f>
        <v>2.2120000000000002</v>
      </c>
      <c r="I25" s="82">
        <f>SUM('Grants Need-Based'!CN25,'Grants Non Need-Based '!CN25,Other!I25)</f>
        <v>2.5750000000000002</v>
      </c>
      <c r="J25" s="82">
        <f>SUM('Grants Need-Based'!CO25,'Grants Non Need-Based '!CO25,Other!J25)</f>
        <v>2.63</v>
      </c>
      <c r="K25" s="82">
        <f>SUM('Grants Need-Based'!CP25,'Grants Non Need-Based '!CP25,Other!K25)</f>
        <v>2.4470000000000001</v>
      </c>
      <c r="L25" s="82">
        <f>SUM('Grants Need-Based'!CQ25,'Grants Non Need-Based '!CQ25,Other!L25)</f>
        <v>2.3890000000000002</v>
      </c>
      <c r="M25" s="82">
        <f>SUM('Grants Need-Based'!CR25,'Grants Non Need-Based '!CR25,Other!M25)</f>
        <v>53.127696999999998</v>
      </c>
      <c r="N25" s="82">
        <f>SUM('Grants Need-Based'!CS25,'Grants Non Need-Based '!CS25,Other!N25)</f>
        <v>60.048999999999999</v>
      </c>
      <c r="O25" s="82">
        <f>SUM('Grants Need-Based'!CT25,'Grants Non Need-Based '!CT25,Other!O25)</f>
        <v>65.587063000000001</v>
      </c>
      <c r="P25" s="82">
        <f>SUM('Grants Need-Based'!CU25,'Grants Non Need-Based '!CU25,Other!P25)</f>
        <v>85.644000000000005</v>
      </c>
      <c r="Q25" s="82">
        <f>SUM('Grants Need-Based'!CV25,'Grants Non Need-Based '!CV25,Other!Q25)</f>
        <v>70.986000000000004</v>
      </c>
      <c r="R25" s="82">
        <f>SUM('Grants Need-Based'!CW25,'Grants Non Need-Based '!CW25,Other!R25)</f>
        <v>60.554400000000001</v>
      </c>
      <c r="S25" s="82">
        <f>SUM('Grants Need-Based'!CX25,'Grants Non Need-Based '!CX25,Other!S25)</f>
        <v>51.705000000000005</v>
      </c>
      <c r="T25" s="82">
        <f>SUM('Grants Need-Based'!CY25,'Grants Non Need-Based '!CY25,Other!T25)</f>
        <v>25.494</v>
      </c>
      <c r="U25" s="82">
        <f>SUM('Grants Need-Based'!CZ25,'Grants Non Need-Based '!CZ25,Other!U25)</f>
        <v>56.777000000000001</v>
      </c>
      <c r="V25" s="82">
        <f>SUM('Grants Need-Based'!DA25,'Grants Non Need-Based '!DA25,Other!V25)</f>
        <v>68.09</v>
      </c>
      <c r="W25" s="82">
        <f>SUM('Grants Need-Based'!DB25,'Grants Non Need-Based '!DB25,Other!W25)</f>
        <v>70.756</v>
      </c>
      <c r="X25" s="82">
        <f>SUM('Grants Need-Based'!DC25,'Grants Non Need-Based '!DC25,Other!X25)</f>
        <v>77.517816999999994</v>
      </c>
      <c r="Y25" s="82">
        <f>SUM('Grants Need-Based'!DD25,'Grants Non Need-Based '!DD25,Other!Y25)</f>
        <v>78.647000000000006</v>
      </c>
      <c r="Z25" s="82">
        <f>SUM('Grants Need-Based'!DE25,'Grants Non Need-Based '!DE25,Other!Z25)</f>
        <v>82.978000000000009</v>
      </c>
      <c r="AA25" s="82">
        <f>SUM('Grants Need-Based'!DF25,'Grants Non Need-Based '!DF25,Other!AA25)</f>
        <v>99.429000000000002</v>
      </c>
      <c r="AB25" s="82">
        <f>SUM('Grants Need-Based'!DG25,'Grants Non Need-Based '!DG25,Other!AB25)</f>
        <v>74.274999999999991</v>
      </c>
      <c r="AC25" s="82">
        <f>SUM('Grants Need-Based'!DH25,'Grants Non Need-Based '!DH25,Other!AC25)</f>
        <v>15.575999999999999</v>
      </c>
      <c r="AD25" s="82">
        <f>SUM('Grants Need-Based'!DI25,'Grants Non Need-Based '!DI25,Other!AD25)</f>
        <v>15.344999999999999</v>
      </c>
      <c r="AE25" s="82">
        <f>SUM('Grants Need-Based'!DJ25,'Grants Non Need-Based '!DJ25,Other!AE25)</f>
        <v>16.91</v>
      </c>
      <c r="AF25" s="82">
        <f>SUM('Grants Need-Based'!DK25,'Grants Non Need-Based '!DK25,Other!AF25)</f>
        <v>18.242000000000001</v>
      </c>
      <c r="AG25" s="82">
        <f>SUM('Grants Need-Based'!DL25,'Grants Non Need-Based '!DL25,Other!AG25)</f>
        <v>21.004000000000001</v>
      </c>
      <c r="AH25" s="82">
        <f>SUM('Grants Need-Based'!DM25,'Grants Non Need-Based '!DM25,Other!AH25)</f>
        <v>23.428283</v>
      </c>
      <c r="AI25" s="82">
        <f>SUM('Grants Need-Based'!DN25,'Grants Non Need-Based '!DN25,Other!AI25)</f>
        <v>25.229374999999997</v>
      </c>
    </row>
    <row r="26" spans="1:35">
      <c r="A26" s="23" t="s">
        <v>56</v>
      </c>
      <c r="B26" s="82">
        <f>SUM('Grants Need-Based'!CG26,'Grants Non Need-Based '!CG26,Other!B26)</f>
        <v>2.0419999999999998</v>
      </c>
      <c r="C26" s="82">
        <f>SUM('Grants Need-Based'!CH26,'Grants Non Need-Based '!CH26,Other!C26)</f>
        <v>2.5859999999999999</v>
      </c>
      <c r="D26" s="82">
        <f>SUM('Grants Need-Based'!CI26,'Grants Non Need-Based '!CI26,Other!D26)</f>
        <v>2.5859999999999999</v>
      </c>
      <c r="E26" s="82">
        <f>SUM('Grants Need-Based'!CJ26,'Grants Non Need-Based '!CJ26,Other!E26)</f>
        <v>2.4750000000000001</v>
      </c>
      <c r="F26" s="82">
        <f>SUM('Grants Need-Based'!CK26,'Grants Non Need-Based '!CK26,Other!F26)</f>
        <v>3.254</v>
      </c>
      <c r="G26" s="82">
        <f>SUM('Grants Need-Based'!CL26,'Grants Non Need-Based '!CL26,Other!G26)</f>
        <v>3.5259999999999998</v>
      </c>
      <c r="H26" s="82">
        <f>SUM('Grants Need-Based'!CM26,'Grants Non Need-Based '!CM26,Other!H26)</f>
        <v>3.4</v>
      </c>
      <c r="I26" s="82">
        <f>SUM('Grants Need-Based'!CN26,'Grants Non Need-Based '!CN26,Other!I26)</f>
        <v>3.427</v>
      </c>
      <c r="J26" s="82">
        <f>SUM('Grants Need-Based'!CO26,'Grants Non Need-Based '!CO26,Other!J26)</f>
        <v>3.3279999999999998</v>
      </c>
      <c r="K26" s="82">
        <f>SUM('Grants Need-Based'!CP26,'Grants Non Need-Based '!CP26,Other!K26)</f>
        <v>2.4419999999999997</v>
      </c>
      <c r="L26" s="82">
        <f>SUM('Grants Need-Based'!CQ26,'Grants Non Need-Based '!CQ26,Other!L26)</f>
        <v>3.504</v>
      </c>
      <c r="M26" s="82">
        <f>SUM('Grants Need-Based'!CR26,'Grants Non Need-Based '!CR26,Other!M26)</f>
        <v>3.4930000000000003</v>
      </c>
      <c r="N26" s="82">
        <f>SUM('Grants Need-Based'!CS26,'Grants Non Need-Based '!CS26,Other!N26)</f>
        <v>2.2929999999999997</v>
      </c>
      <c r="O26" s="82">
        <f>SUM('Grants Need-Based'!CT26,'Grants Non Need-Based '!CT26,Other!O26)</f>
        <v>2.7900000000000005</v>
      </c>
      <c r="P26" s="82">
        <f>SUM('Grants Need-Based'!CU26,'Grants Non Need-Based '!CU26,Other!P26)</f>
        <v>3.4449999999999998</v>
      </c>
      <c r="Q26" s="82">
        <f>SUM('Grants Need-Based'!CV26,'Grants Non Need-Based '!CV26,Other!Q26)</f>
        <v>3</v>
      </c>
      <c r="R26" s="82">
        <f>SUM('Grants Need-Based'!CW26,'Grants Non Need-Based '!CW26,Other!R26)</f>
        <v>2.952</v>
      </c>
      <c r="S26" s="82">
        <f>SUM('Grants Need-Based'!CX26,'Grants Non Need-Based '!CX26,Other!S26)</f>
        <v>3.4330000000000003</v>
      </c>
      <c r="T26" s="82">
        <f>SUM('Grants Need-Based'!CY26,'Grants Non Need-Based '!CY26,Other!T26)</f>
        <v>3.2519999999999998</v>
      </c>
      <c r="U26" s="82">
        <f>SUM('Grants Need-Based'!CZ26,'Grants Non Need-Based '!CZ26,Other!U26)</f>
        <v>2.9809999999999999</v>
      </c>
      <c r="V26" s="82">
        <f>SUM('Grants Need-Based'!DA26,'Grants Non Need-Based '!DA26,Other!V26)</f>
        <v>3.0686</v>
      </c>
      <c r="W26" s="82">
        <f>SUM('Grants Need-Based'!DB26,'Grants Non Need-Based '!DB26,Other!W26)</f>
        <v>3.1358665000000001</v>
      </c>
      <c r="X26" s="82">
        <f>SUM('Grants Need-Based'!DC26,'Grants Non Need-Based '!DC26,Other!X26)</f>
        <v>2.9245049999999999</v>
      </c>
      <c r="Y26" s="82">
        <f>SUM('Grants Need-Based'!DD26,'Grants Non Need-Based '!DD26,Other!Y26)</f>
        <v>15.225999999999999</v>
      </c>
      <c r="Z26" s="82">
        <f>SUM('Grants Need-Based'!DE26,'Grants Non Need-Based '!DE26,Other!Z26)</f>
        <v>16.268000000000001</v>
      </c>
      <c r="AA26" s="82">
        <f>SUM('Grants Need-Based'!DF26,'Grants Non Need-Based '!DF26,Other!AA26)</f>
        <v>23.532999999999998</v>
      </c>
      <c r="AB26" s="82">
        <f>SUM('Grants Need-Based'!DG26,'Grants Non Need-Based '!DG26,Other!AB26)</f>
        <v>20.956000000000003</v>
      </c>
      <c r="AC26" s="82">
        <f>SUM('Grants Need-Based'!DH26,'Grants Non Need-Based '!DH26,Other!AC26)</f>
        <v>19.943000000000001</v>
      </c>
      <c r="AD26" s="82">
        <f>SUM('Grants Need-Based'!DI26,'Grants Non Need-Based '!DI26,Other!AD26)</f>
        <v>16.024000000000001</v>
      </c>
      <c r="AE26" s="82">
        <f>SUM('Grants Need-Based'!DJ26,'Grants Non Need-Based '!DJ26,Other!AE26)</f>
        <v>21.714000000000002</v>
      </c>
      <c r="AF26" s="82">
        <f>SUM('Grants Need-Based'!DK26,'Grants Non Need-Based '!DK26,Other!AF26)</f>
        <v>21.545999999999999</v>
      </c>
      <c r="AG26" s="82">
        <f>SUM('Grants Need-Based'!DL26,'Grants Non Need-Based '!DL26,Other!AG26)</f>
        <v>23.163999999999998</v>
      </c>
      <c r="AH26" s="82">
        <f>SUM('Grants Need-Based'!DM26,'Grants Non Need-Based '!DM26,Other!AH26)</f>
        <v>22.768139000000001</v>
      </c>
      <c r="AI26" s="82">
        <f>SUM('Grants Need-Based'!DN26,'Grants Non Need-Based '!DN26,Other!AI26)</f>
        <v>22.73676</v>
      </c>
    </row>
    <row r="27" spans="1:35">
      <c r="A27" s="23" t="s">
        <v>57</v>
      </c>
      <c r="B27" s="82">
        <f>SUM('Grants Need-Based'!CG27,'Grants Non Need-Based '!CG27,Other!B27)</f>
        <v>92.899000000000001</v>
      </c>
      <c r="C27" s="82">
        <f>SUM('Grants Need-Based'!CH27,'Grants Non Need-Based '!CH27,Other!C27)</f>
        <v>104.467</v>
      </c>
      <c r="D27" s="82">
        <f>SUM('Grants Need-Based'!CI27,'Grants Non Need-Based '!CI27,Other!D27)</f>
        <v>123.746</v>
      </c>
      <c r="E27" s="82">
        <f>SUM('Grants Need-Based'!CJ27,'Grants Non Need-Based '!CJ27,Other!E27)</f>
        <v>134.625</v>
      </c>
      <c r="F27" s="82">
        <f>SUM('Grants Need-Based'!CK27,'Grants Non Need-Based '!CK27,Other!F27)</f>
        <v>138.41200000000001</v>
      </c>
      <c r="G27" s="82">
        <f>SUM('Grants Need-Based'!CL27,'Grants Non Need-Based '!CL27,Other!G27)</f>
        <v>144.214</v>
      </c>
      <c r="H27" s="82">
        <f>SUM('Grants Need-Based'!CM27,'Grants Non Need-Based '!CM27,Other!H27)</f>
        <v>162.00300000000001</v>
      </c>
      <c r="I27" s="82">
        <f>SUM('Grants Need-Based'!CN27,'Grants Non Need-Based '!CN27,Other!I27)</f>
        <v>164.74700000000001</v>
      </c>
      <c r="J27" s="82">
        <f>SUM('Grants Need-Based'!CO27,'Grants Non Need-Based '!CO27,Other!J27)</f>
        <v>221.36799999999999</v>
      </c>
      <c r="K27" s="82">
        <f>SUM('Grants Need-Based'!CP27,'Grants Non Need-Based '!CP27,Other!K27)</f>
        <v>237.88</v>
      </c>
      <c r="L27" s="82">
        <f>SUM('Grants Need-Based'!CQ27,'Grants Non Need-Based '!CQ27,Other!L27)</f>
        <v>361.49699999999996</v>
      </c>
      <c r="M27" s="82">
        <f>SUM('Grants Need-Based'!CR27,'Grants Non Need-Based '!CR27,Other!M27)</f>
        <v>239.78800000000001</v>
      </c>
      <c r="N27" s="82">
        <f>SUM('Grants Need-Based'!CS27,'Grants Non Need-Based '!CS27,Other!N27)</f>
        <v>630.41252500000007</v>
      </c>
      <c r="O27" s="82">
        <f>SUM('Grants Need-Based'!CT27,'Grants Non Need-Based '!CT27,Other!O27)</f>
        <v>493.98435899999993</v>
      </c>
      <c r="P27" s="82">
        <f>SUM('Grants Need-Based'!CU27,'Grants Non Need-Based '!CU27,Other!P27)</f>
        <v>537.54599999999982</v>
      </c>
      <c r="Q27" s="82">
        <f>SUM('Grants Need-Based'!CV27,'Grants Non Need-Based '!CV27,Other!Q27)</f>
        <v>568.92400000000009</v>
      </c>
      <c r="R27" s="82">
        <f>SUM('Grants Need-Based'!CW27,'Grants Non Need-Based '!CW27,Other!R27)</f>
        <v>632.06539999999995</v>
      </c>
      <c r="S27" s="82">
        <f>SUM('Grants Need-Based'!CX27,'Grants Non Need-Based '!CX27,Other!S27)</f>
        <v>475.70499999999998</v>
      </c>
      <c r="T27" s="82">
        <f>SUM('Grants Need-Based'!CY27,'Grants Non Need-Based '!CY27,Other!T27)</f>
        <v>535.86500000000001</v>
      </c>
      <c r="U27" s="82">
        <f>SUM('Grants Need-Based'!CZ27,'Grants Non Need-Based '!CZ27,Other!U27)</f>
        <v>569.274</v>
      </c>
      <c r="V27" s="82">
        <f>SUM('Grants Need-Based'!DA27,'Grants Non Need-Based '!DA27,Other!V27)</f>
        <v>683.21100000000001</v>
      </c>
      <c r="W27" s="82">
        <f>SUM('Grants Need-Based'!DB27,'Grants Non Need-Based '!DB27,Other!W27)</f>
        <v>757.77399999999989</v>
      </c>
      <c r="X27" s="82">
        <f>SUM('Grants Need-Based'!DC27,'Grants Non Need-Based '!DC27,Other!X27)</f>
        <v>799.26119999999992</v>
      </c>
      <c r="Y27" s="82">
        <f>SUM('Grants Need-Based'!DD27,'Grants Non Need-Based '!DD27,Other!Y27)</f>
        <v>800.05499999999995</v>
      </c>
      <c r="Z27" s="82">
        <f>SUM('Grants Need-Based'!DE27,'Grants Non Need-Based '!DE27,Other!Z27)</f>
        <v>853.43200000000013</v>
      </c>
      <c r="AA27" s="82">
        <f>SUM('Grants Need-Based'!DF27,'Grants Non Need-Based '!DF27,Other!AA27)</f>
        <v>894.351</v>
      </c>
      <c r="AB27" s="82">
        <f>SUM('Grants Need-Based'!DG27,'Grants Non Need-Based '!DG27,Other!AB27)</f>
        <v>1076.7</v>
      </c>
      <c r="AC27" s="82">
        <f>SUM('Grants Need-Based'!DH27,'Grants Non Need-Based '!DH27,Other!AC27)</f>
        <v>1272.9540000000002</v>
      </c>
      <c r="AD27" s="82">
        <f>SUM('Grants Need-Based'!DI27,'Grants Non Need-Based '!DI27,Other!AD27)</f>
        <v>1495.461</v>
      </c>
      <c r="AE27" s="82">
        <f>SUM('Grants Need-Based'!DJ27,'Grants Non Need-Based '!DJ27,Other!AE27)</f>
        <v>1545.1410000000001</v>
      </c>
      <c r="AF27" s="82">
        <f>SUM('Grants Need-Based'!DK27,'Grants Non Need-Based '!DK27,Other!AF27)</f>
        <v>1695.7050000000002</v>
      </c>
      <c r="AG27" s="82">
        <f>SUM('Grants Need-Based'!DL27,'Grants Non Need-Based '!DL27,Other!AG27)</f>
        <v>1872.203</v>
      </c>
      <c r="AH27" s="82">
        <f>SUM('Grants Need-Based'!DM27,'Grants Non Need-Based '!DM27,Other!AH27)</f>
        <v>1920.4580000000003</v>
      </c>
      <c r="AI27" s="82">
        <f>SUM('Grants Need-Based'!DN27,'Grants Non Need-Based '!DN27,Other!AI27)</f>
        <v>2031.1218980000001</v>
      </c>
    </row>
    <row r="28" spans="1:35">
      <c r="A28" s="23" t="s">
        <v>58</v>
      </c>
      <c r="B28" s="82">
        <f>SUM('Grants Need-Based'!CG28,'Grants Non Need-Based '!CG28,Other!B28)</f>
        <v>15.73</v>
      </c>
      <c r="C28" s="82">
        <f>SUM('Grants Need-Based'!CH28,'Grants Non Need-Based '!CH28,Other!C28)</f>
        <v>17.314</v>
      </c>
      <c r="D28" s="82">
        <f>SUM('Grants Need-Based'!CI28,'Grants Non Need-Based '!CI28,Other!D28)</f>
        <v>18.460999999999999</v>
      </c>
      <c r="E28" s="82">
        <f>SUM('Grants Need-Based'!CJ28,'Grants Non Need-Based '!CJ28,Other!E28)</f>
        <v>19.261000000000003</v>
      </c>
      <c r="F28" s="82">
        <f>SUM('Grants Need-Based'!CK28,'Grants Non Need-Based '!CK28,Other!F28)</f>
        <v>18.555999999999997</v>
      </c>
      <c r="G28" s="82">
        <f>SUM('Grants Need-Based'!CL28,'Grants Non Need-Based '!CL28,Other!G28)</f>
        <v>19.221</v>
      </c>
      <c r="H28" s="82">
        <f>SUM('Grants Need-Based'!CM28,'Grants Non Need-Based '!CM28,Other!H28)</f>
        <v>20.442</v>
      </c>
      <c r="I28" s="82">
        <f>SUM('Grants Need-Based'!CN28,'Grants Non Need-Based '!CN28,Other!I28)</f>
        <v>24.279</v>
      </c>
      <c r="J28" s="82">
        <f>SUM('Grants Need-Based'!CO28,'Grants Non Need-Based '!CO28,Other!J28)</f>
        <v>26.294</v>
      </c>
      <c r="K28" s="82">
        <f>SUM('Grants Need-Based'!CP28,'Grants Non Need-Based '!CP28,Other!K28)</f>
        <v>26.344000000000001</v>
      </c>
      <c r="L28" s="82">
        <f>SUM('Grants Need-Based'!CQ28,'Grants Non Need-Based '!CQ28,Other!L28)</f>
        <v>32.579000000000001</v>
      </c>
      <c r="M28" s="82">
        <f>SUM('Grants Need-Based'!CR28,'Grants Non Need-Based '!CR28,Other!M28)</f>
        <v>44.172882999999999</v>
      </c>
      <c r="N28" s="82">
        <f>SUM('Grants Need-Based'!CS28,'Grants Non Need-Based '!CS28,Other!N28)</f>
        <v>415.36239999999998</v>
      </c>
      <c r="O28" s="82">
        <f>SUM('Grants Need-Based'!CT28,'Grants Non Need-Based '!CT28,Other!O28)</f>
        <v>487.880087</v>
      </c>
      <c r="P28" s="82">
        <f>SUM('Grants Need-Based'!CU28,'Grants Non Need-Based '!CU28,Other!P28)</f>
        <v>514.346</v>
      </c>
      <c r="Q28" s="82">
        <f>SUM('Grants Need-Based'!CV28,'Grants Non Need-Based '!CV28,Other!Q28)</f>
        <v>70.697000000000003</v>
      </c>
      <c r="R28" s="82">
        <f>SUM('Grants Need-Based'!CW28,'Grants Non Need-Based '!CW28,Other!R28)</f>
        <v>70.697800000000001</v>
      </c>
      <c r="S28" s="82">
        <f>SUM('Grants Need-Based'!CX28,'Grants Non Need-Based '!CX28,Other!S28)</f>
        <v>70.695999999999998</v>
      </c>
      <c r="T28" s="82">
        <f>SUM('Grants Need-Based'!CY28,'Grants Non Need-Based '!CY28,Other!T28)</f>
        <v>85.943999999999988</v>
      </c>
      <c r="U28" s="82">
        <f>SUM('Grants Need-Based'!CZ28,'Grants Non Need-Based '!CZ28,Other!U28)</f>
        <v>98.356000000000009</v>
      </c>
      <c r="V28" s="82">
        <f>SUM('Grants Need-Based'!DA28,'Grants Non Need-Based '!DA28,Other!V28)</f>
        <v>83.86699999999999</v>
      </c>
      <c r="W28" s="82">
        <f>SUM('Grants Need-Based'!DB28,'Grants Non Need-Based '!DB28,Other!W28)</f>
        <v>75.335000000000008</v>
      </c>
      <c r="X28" s="82">
        <f>SUM('Grants Need-Based'!DC28,'Grants Non Need-Based '!DC28,Other!X28)</f>
        <v>77.131415000000004</v>
      </c>
      <c r="Y28" s="82">
        <f>SUM('Grants Need-Based'!DD28,'Grants Non Need-Based '!DD28,Other!Y28)</f>
        <v>85.280999999999992</v>
      </c>
      <c r="Z28" s="82">
        <f>SUM('Grants Need-Based'!DE28,'Grants Non Need-Based '!DE28,Other!Z28)</f>
        <v>96.131</v>
      </c>
      <c r="AA28" s="82">
        <f>SUM('Grants Need-Based'!DF28,'Grants Non Need-Based '!DF28,Other!AA28)</f>
        <v>106.42099999999999</v>
      </c>
      <c r="AB28" s="82">
        <f>SUM('Grants Need-Based'!DG28,'Grants Non Need-Based '!DG28,Other!AB28)</f>
        <v>104.35599999999999</v>
      </c>
      <c r="AC28" s="82">
        <f>SUM('Grants Need-Based'!DH28,'Grants Non Need-Based '!DH28,Other!AC28)</f>
        <v>104.82499999999999</v>
      </c>
      <c r="AD28" s="82">
        <f>SUM('Grants Need-Based'!DI28,'Grants Non Need-Based '!DI28,Other!AD28)</f>
        <v>104.18599999999999</v>
      </c>
      <c r="AE28" s="82">
        <f>SUM('Grants Need-Based'!DJ28,'Grants Non Need-Based '!DJ28,Other!AE28)</f>
        <v>105.47499999999999</v>
      </c>
      <c r="AF28" s="82">
        <f>SUM('Grants Need-Based'!DK28,'Grants Non Need-Based '!DK28,Other!AF28)</f>
        <v>111.229</v>
      </c>
      <c r="AG28" s="82">
        <f>SUM('Grants Need-Based'!DL28,'Grants Non Need-Based '!DL28,Other!AG28)</f>
        <v>147.85300000000001</v>
      </c>
      <c r="AH28" s="82">
        <f>SUM('Grants Need-Based'!DM28,'Grants Non Need-Based '!DM28,Other!AH28)</f>
        <v>168.964609</v>
      </c>
      <c r="AI28" s="82">
        <f>SUM('Grants Need-Based'!DN28,'Grants Non Need-Based '!DN28,Other!AI28)</f>
        <v>169.973376</v>
      </c>
    </row>
    <row r="29" spans="1:35">
      <c r="A29" s="23" t="s">
        <v>59</v>
      </c>
      <c r="B29" s="82">
        <f>SUM('Grants Need-Based'!CG29,'Grants Non Need-Based '!CG29,Other!B29)</f>
        <v>0.49299999999999999</v>
      </c>
      <c r="C29" s="82">
        <f>SUM('Grants Need-Based'!CH29,'Grants Non Need-Based '!CH29,Other!C29)</f>
        <v>0.49299999999999999</v>
      </c>
      <c r="D29" s="82">
        <f>SUM('Grants Need-Based'!CI29,'Grants Non Need-Based '!CI29,Other!D29)</f>
        <v>0.49299999999999999</v>
      </c>
      <c r="E29" s="82">
        <f>SUM('Grants Need-Based'!CJ29,'Grants Non Need-Based '!CJ29,Other!E29)</f>
        <v>2.597</v>
      </c>
      <c r="F29" s="82">
        <f>SUM('Grants Need-Based'!CK29,'Grants Non Need-Based '!CK29,Other!F29)</f>
        <v>0.73399999999999999</v>
      </c>
      <c r="G29" s="82">
        <f>SUM('Grants Need-Based'!CL29,'Grants Non Need-Based '!CL29,Other!G29)</f>
        <v>0.59799999999999998</v>
      </c>
      <c r="H29" s="82">
        <f>SUM('Grants Need-Based'!CM29,'Grants Non Need-Based '!CM29,Other!H29)</f>
        <v>5.9530000000000003</v>
      </c>
      <c r="I29" s="82">
        <f>SUM('Grants Need-Based'!CN29,'Grants Non Need-Based '!CN29,Other!I29)</f>
        <v>0.61099999999999999</v>
      </c>
      <c r="J29" s="82">
        <f>SUM('Grants Need-Based'!CO29,'Grants Non Need-Based '!CO29,Other!J29)</f>
        <v>0.66100000000000003</v>
      </c>
      <c r="K29" s="82">
        <f>SUM('Grants Need-Based'!CP29,'Grants Non Need-Based '!CP29,Other!K29)</f>
        <v>0.72399999999999998</v>
      </c>
      <c r="L29" s="82">
        <f>SUM('Grants Need-Based'!CQ29,'Grants Non Need-Based '!CQ29,Other!L29)</f>
        <v>0.748</v>
      </c>
      <c r="M29" s="82">
        <f>SUM('Grants Need-Based'!CR29,'Grants Non Need-Based '!CR29,Other!M29)</f>
        <v>0.73199999999999998</v>
      </c>
      <c r="N29" s="82">
        <f>SUM('Grants Need-Based'!CS29,'Grants Non Need-Based '!CS29,Other!N29)</f>
        <v>9.1260000000000012</v>
      </c>
      <c r="O29" s="82">
        <f>SUM('Grants Need-Based'!CT29,'Grants Non Need-Based '!CT29,Other!O29)</f>
        <v>10.206</v>
      </c>
      <c r="P29" s="82">
        <f>SUM('Grants Need-Based'!CU29,'Grants Non Need-Based '!CU29,Other!P29)</f>
        <v>10.360000000000001</v>
      </c>
      <c r="Q29" s="82">
        <f>SUM('Grants Need-Based'!CV29,'Grants Non Need-Based '!CV29,Other!Q29)</f>
        <v>10.193</v>
      </c>
      <c r="R29" s="82">
        <f>SUM('Grants Need-Based'!CW29,'Grants Non Need-Based '!CW29,Other!R29)</f>
        <v>10.19</v>
      </c>
      <c r="S29" s="82">
        <f>SUM('Grants Need-Based'!CX29,'Grants Non Need-Based '!CX29,Other!S29)</f>
        <v>10.235200000000001</v>
      </c>
      <c r="T29" s="82">
        <f>SUM('Grants Need-Based'!CY29,'Grants Non Need-Based '!CY29,Other!T29)</f>
        <v>10.231</v>
      </c>
      <c r="U29" s="82">
        <f>SUM('Grants Need-Based'!CZ29,'Grants Non Need-Based '!CZ29,Other!U29)</f>
        <v>10.108000000000001</v>
      </c>
      <c r="V29" s="82">
        <f>SUM('Grants Need-Based'!DA29,'Grants Non Need-Based '!DA29,Other!V29)</f>
        <v>8.9079999999999995</v>
      </c>
      <c r="W29" s="82">
        <f>SUM('Grants Need-Based'!DB29,'Grants Non Need-Based '!DB29,Other!W29)</f>
        <v>10.117999999999999</v>
      </c>
      <c r="X29" s="82">
        <f>SUM('Grants Need-Based'!DC29,'Grants Non Need-Based '!DC29,Other!X29)</f>
        <v>21.173598000000002</v>
      </c>
      <c r="Y29" s="82">
        <f>SUM('Grants Need-Based'!DD29,'Grants Non Need-Based '!DD29,Other!Y29)</f>
        <v>25.175000000000001</v>
      </c>
      <c r="Z29" s="82">
        <f>SUM('Grants Need-Based'!DE29,'Grants Non Need-Based '!DE29,Other!Z29)</f>
        <v>25.175000000000001</v>
      </c>
      <c r="AA29" s="82">
        <f>SUM('Grants Need-Based'!DF29,'Grants Non Need-Based '!DF29,Other!AA29)</f>
        <v>14.9565</v>
      </c>
      <c r="AB29" s="82">
        <f>SUM('Grants Need-Based'!DG29,'Grants Non Need-Based '!DG29,Other!AB29)</f>
        <v>4.7379999999999995</v>
      </c>
      <c r="AC29" s="82">
        <f>SUM('Grants Need-Based'!DH29,'Grants Non Need-Based '!DH29,Other!AC29)</f>
        <v>4.7770000000000001</v>
      </c>
      <c r="AD29" s="82">
        <f>SUM('Grants Need-Based'!DI29,'Grants Non Need-Based '!DI29,Other!AD29)</f>
        <v>4.3639999999999999</v>
      </c>
      <c r="AE29" s="82">
        <f>SUM('Grants Need-Based'!DJ29,'Grants Non Need-Based '!DJ29,Other!AE29)</f>
        <v>3.7879999999999994</v>
      </c>
      <c r="AF29" s="82">
        <f>SUM('Grants Need-Based'!DK29,'Grants Non Need-Based '!DK29,Other!AF29)</f>
        <v>4.3650000000000002</v>
      </c>
      <c r="AG29" s="82">
        <f>SUM('Grants Need-Based'!DL29,'Grants Non Need-Based '!DL29,Other!AG29)</f>
        <v>4.3280000000000003</v>
      </c>
      <c r="AH29" s="82">
        <f>SUM('Grants Need-Based'!DM29,'Grants Non Need-Based '!DM29,Other!AH29)</f>
        <v>4.0499100000000006</v>
      </c>
      <c r="AI29" s="82">
        <f>SUM('Grants Need-Based'!DN29,'Grants Non Need-Based '!DN29,Other!AI29)</f>
        <v>3.7771180000000002</v>
      </c>
    </row>
    <row r="30" spans="1:35">
      <c r="A30" s="23" t="s">
        <v>60</v>
      </c>
      <c r="B30" s="82">
        <f>SUM('Grants Need-Based'!CG30,'Grants Non Need-Based '!CG30,Other!B30)</f>
        <v>0.52600000000000002</v>
      </c>
      <c r="C30" s="82">
        <f>SUM('Grants Need-Based'!CH30,'Grants Non Need-Based '!CH30,Other!C30)</f>
        <v>0.63600000000000001</v>
      </c>
      <c r="D30" s="82">
        <f>SUM('Grants Need-Based'!CI30,'Grants Non Need-Based '!CI30,Other!D30)</f>
        <v>1.1186666666666667</v>
      </c>
      <c r="E30" s="82">
        <f>SUM('Grants Need-Based'!CJ30,'Grants Non Need-Based '!CJ30,Other!E30)</f>
        <v>0.71633333333333327</v>
      </c>
      <c r="F30" s="82">
        <f>SUM('Grants Need-Based'!CK30,'Grants Non Need-Based '!CK30,Other!F30)</f>
        <v>0.60499999999999998</v>
      </c>
      <c r="G30" s="82">
        <f>SUM('Grants Need-Based'!CL30,'Grants Non Need-Based '!CL30,Other!G30)</f>
        <v>0.624</v>
      </c>
      <c r="H30" s="82">
        <f>SUM('Grants Need-Based'!CM30,'Grants Non Need-Based '!CM30,Other!H30)</f>
        <v>0.63800000000000001</v>
      </c>
      <c r="I30" s="82">
        <f>SUM('Grants Need-Based'!CN30,'Grants Non Need-Based '!CN30,Other!I30)</f>
        <v>0.73</v>
      </c>
      <c r="J30" s="82">
        <f>SUM('Grants Need-Based'!CO30,'Grants Non Need-Based '!CO30,Other!J30)</f>
        <v>0.75900000000000001</v>
      </c>
      <c r="K30" s="82">
        <f>SUM('Grants Need-Based'!CP30,'Grants Non Need-Based '!CP30,Other!K30)</f>
        <v>1.012</v>
      </c>
      <c r="L30" s="82">
        <f>SUM('Grants Need-Based'!CQ30,'Grants Non Need-Based '!CQ30,Other!L30)</f>
        <v>1.0150000000000001</v>
      </c>
      <c r="M30" s="82">
        <f>SUM('Grants Need-Based'!CR30,'Grants Non Need-Based '!CR30,Other!M30)</f>
        <v>2.3501000000000003</v>
      </c>
      <c r="N30" s="82">
        <f>SUM('Grants Need-Based'!CS30,'Grants Non Need-Based '!CS30,Other!N30)</f>
        <v>2.2119999999999997</v>
      </c>
      <c r="O30" s="82">
        <f>SUM('Grants Need-Based'!CT30,'Grants Non Need-Based '!CT30,Other!O30)</f>
        <v>2.1008999999999998</v>
      </c>
      <c r="P30" s="82">
        <f>SUM('Grants Need-Based'!CU30,'Grants Non Need-Based '!CU30,Other!P30)</f>
        <v>2.101</v>
      </c>
      <c r="Q30" s="82">
        <f>SUM('Grants Need-Based'!CV30,'Grants Non Need-Based '!CV30,Other!Q30)</f>
        <v>2.1550000000000002</v>
      </c>
      <c r="R30" s="82">
        <f>SUM('Grants Need-Based'!CW30,'Grants Non Need-Based '!CW30,Other!R30)</f>
        <v>2.4790000000000001</v>
      </c>
      <c r="S30" s="82">
        <f>SUM('Grants Need-Based'!CX30,'Grants Non Need-Based '!CX30,Other!S30)</f>
        <v>2.706</v>
      </c>
      <c r="T30" s="82">
        <f>SUM('Grants Need-Based'!CY30,'Grants Non Need-Based '!CY30,Other!T30)</f>
        <v>6.2709999999999999</v>
      </c>
      <c r="U30" s="82">
        <f>SUM('Grants Need-Based'!CZ30,'Grants Non Need-Based '!CZ30,Other!U30)</f>
        <v>6.4219999999999997</v>
      </c>
      <c r="V30" s="82">
        <f>SUM('Grants Need-Based'!DA30,'Grants Non Need-Based '!DA30,Other!V30)</f>
        <v>6.798</v>
      </c>
      <c r="W30" s="82">
        <f>SUM('Grants Need-Based'!DB30,'Grants Non Need-Based '!DB30,Other!W30)</f>
        <v>7.6239999999999997</v>
      </c>
      <c r="X30" s="82">
        <f>SUM('Grants Need-Based'!DC30,'Grants Non Need-Based '!DC30,Other!X30)</f>
        <v>7.9077789999999997</v>
      </c>
      <c r="Y30" s="82">
        <f>SUM('Grants Need-Based'!DD30,'Grants Non Need-Based '!DD30,Other!Y30)</f>
        <v>8.3709999999999987</v>
      </c>
      <c r="Z30" s="82">
        <f>SUM('Grants Need-Based'!DE30,'Grants Non Need-Based '!DE30,Other!Z30)</f>
        <v>8.9660000000000011</v>
      </c>
      <c r="AA30" s="82">
        <f>SUM('Grants Need-Based'!DF30,'Grants Non Need-Based '!DF30,Other!AA30)</f>
        <v>8.4110000000000014</v>
      </c>
      <c r="AB30" s="82">
        <f>SUM('Grants Need-Based'!DG30,'Grants Non Need-Based '!DG30,Other!AB30)</f>
        <v>7.5910000000000002</v>
      </c>
      <c r="AC30" s="82">
        <f>SUM('Grants Need-Based'!DH30,'Grants Non Need-Based '!DH30,Other!AC30)</f>
        <v>6.5730000000000004</v>
      </c>
      <c r="AD30" s="82">
        <f>SUM('Grants Need-Based'!DI30,'Grants Non Need-Based '!DI30,Other!AD30)</f>
        <v>7.6269999999999998</v>
      </c>
      <c r="AE30" s="82">
        <f>SUM('Grants Need-Based'!DJ30,'Grants Non Need-Based '!DJ30,Other!AE30)</f>
        <v>6.702</v>
      </c>
      <c r="AF30" s="82">
        <f>SUM('Grants Need-Based'!DK30,'Grants Non Need-Based '!DK30,Other!AF30)</f>
        <v>6.165</v>
      </c>
      <c r="AG30" s="82">
        <f>SUM('Grants Need-Based'!DL30,'Grants Non Need-Based '!DL30,Other!AG30)</f>
        <v>6.2909999999999995</v>
      </c>
      <c r="AH30" s="82">
        <f>SUM('Grants Need-Based'!DM30,'Grants Non Need-Based '!DM30,Other!AH30)</f>
        <v>6.5138849999999993</v>
      </c>
      <c r="AI30" s="82">
        <f>SUM('Grants Need-Based'!DN30,'Grants Non Need-Based '!DN30,Other!AI30)</f>
        <v>11.290336</v>
      </c>
    </row>
    <row r="31" spans="1:35">
      <c r="A31" s="23" t="s">
        <v>61</v>
      </c>
      <c r="B31" s="82">
        <f>SUM('Grants Need-Based'!CG31,'Grants Non Need-Based '!CG31,Other!B31)</f>
        <v>0.33100000000000002</v>
      </c>
      <c r="C31" s="82">
        <f>SUM('Grants Need-Based'!CH31,'Grants Non Need-Based '!CH31,Other!C31)</f>
        <v>0.4</v>
      </c>
      <c r="D31" s="82">
        <f>SUM('Grants Need-Based'!CI31,'Grants Non Need-Based '!CI31,Other!D31)</f>
        <v>0.39300000000000002</v>
      </c>
      <c r="E31" s="82">
        <f>SUM('Grants Need-Based'!CJ31,'Grants Non Need-Based '!CJ31,Other!E31)</f>
        <v>0.40100000000000002</v>
      </c>
      <c r="F31" s="82">
        <f>SUM('Grants Need-Based'!CK31,'Grants Non Need-Based '!CK31,Other!F31)</f>
        <v>0.42</v>
      </c>
      <c r="G31" s="82">
        <f>SUM('Grants Need-Based'!CL31,'Grants Non Need-Based '!CL31,Other!G31)</f>
        <v>0.42</v>
      </c>
      <c r="H31" s="82">
        <f>SUM('Grants Need-Based'!CM31,'Grants Non Need-Based '!CM31,Other!H31)</f>
        <v>0.41699999999999998</v>
      </c>
      <c r="I31" s="82">
        <f>SUM('Grants Need-Based'!CN31,'Grants Non Need-Based '!CN31,Other!I31)</f>
        <v>0.38300000000000001</v>
      </c>
      <c r="J31" s="82">
        <f>SUM('Grants Need-Based'!CO31,'Grants Non Need-Based '!CO31,Other!J31)</f>
        <v>0.39500000000000002</v>
      </c>
      <c r="K31" s="82">
        <f>SUM('Grants Need-Based'!CP31,'Grants Non Need-Based '!CP31,Other!K31)</f>
        <v>0.41799999999999998</v>
      </c>
      <c r="L31" s="82">
        <f>SUM('Grants Need-Based'!CQ31,'Grants Non Need-Based '!CQ31,Other!L31)</f>
        <v>0.60699999999999998</v>
      </c>
      <c r="M31" s="82">
        <f>SUM('Grants Need-Based'!CR31,'Grants Non Need-Based '!CR31,Other!M31)</f>
        <v>0.91900000000000004</v>
      </c>
      <c r="N31" s="82">
        <f>SUM('Grants Need-Based'!CS31,'Grants Non Need-Based '!CS31,Other!N31)</f>
        <v>0.39270699999998659</v>
      </c>
      <c r="O31" s="82">
        <f>SUM('Grants Need-Based'!CT31,'Grants Non Need-Based '!CT31,Other!O31)</f>
        <v>1.7581060000000193</v>
      </c>
      <c r="P31" s="82">
        <f>SUM('Grants Need-Based'!CU31,'Grants Non Need-Based '!CU31,Other!P31)</f>
        <v>2.0500130000000092</v>
      </c>
      <c r="Q31" s="82">
        <f>SUM('Grants Need-Based'!CV31,'Grants Non Need-Based '!CV31,Other!Q31)</f>
        <v>3.7789999999999999</v>
      </c>
      <c r="R31" s="82">
        <f>SUM('Grants Need-Based'!CW31,'Grants Non Need-Based '!CW31,Other!R31)</f>
        <v>5.548</v>
      </c>
      <c r="S31" s="82">
        <f>SUM('Grants Need-Based'!CX31,'Grants Non Need-Based '!CX31,Other!S31)</f>
        <v>5.9190000000000005</v>
      </c>
      <c r="T31" s="82">
        <f>SUM('Grants Need-Based'!CY31,'Grants Non Need-Based '!CY31,Other!T31)</f>
        <v>8.1509</v>
      </c>
      <c r="U31" s="82">
        <f>SUM('Grants Need-Based'!CZ31,'Grants Non Need-Based '!CZ31,Other!U31)</f>
        <v>4.4347999999999992</v>
      </c>
      <c r="V31" s="82">
        <f>SUM('Grants Need-Based'!DA31,'Grants Non Need-Based '!DA31,Other!V31)</f>
        <v>4.5576999999999996</v>
      </c>
      <c r="W31" s="82">
        <f>SUM('Grants Need-Based'!DB31,'Grants Non Need-Based '!DB31,Other!W31)</f>
        <v>5.0356000000000005</v>
      </c>
      <c r="X31" s="82">
        <f>SUM('Grants Need-Based'!DC31,'Grants Non Need-Based '!DC31,Other!X31)</f>
        <v>4.7724690000000001</v>
      </c>
      <c r="Y31" s="82">
        <f>SUM('Grants Need-Based'!DD31,'Grants Non Need-Based '!DD31,Other!Y31)</f>
        <v>5.8786666666666667</v>
      </c>
      <c r="Z31" s="82">
        <f>SUM('Grants Need-Based'!DE31,'Grants Non Need-Based '!DE31,Other!Z31)</f>
        <v>5.6978333333333335</v>
      </c>
      <c r="AA31" s="82">
        <f>SUM('Grants Need-Based'!DF31,'Grants Non Need-Based '!DF31,Other!AA31)</f>
        <v>6.61</v>
      </c>
      <c r="AB31" s="82">
        <f>SUM('Grants Need-Based'!DG31,'Grants Non Need-Based '!DG31,Other!AB31)</f>
        <v>6.5120000000000005</v>
      </c>
      <c r="AC31" s="82">
        <f>SUM('Grants Need-Based'!DH31,'Grants Non Need-Based '!DH31,Other!AC31)</f>
        <v>6.74</v>
      </c>
      <c r="AD31" s="82">
        <f>SUM('Grants Need-Based'!DI31,'Grants Non Need-Based '!DI31,Other!AD31)</f>
        <v>7.3230000000000004</v>
      </c>
      <c r="AE31" s="82">
        <f>SUM('Grants Need-Based'!DJ31,'Grants Non Need-Based '!DJ31,Other!AE31)</f>
        <v>6.375</v>
      </c>
      <c r="AF31" s="82">
        <f>SUM('Grants Need-Based'!DK31,'Grants Non Need-Based '!DK31,Other!AF31)</f>
        <v>5.907</v>
      </c>
      <c r="AG31" s="82">
        <f>SUM('Grants Need-Based'!DL31,'Grants Non Need-Based '!DL31,Other!AG31)</f>
        <v>5.9079999999999995</v>
      </c>
      <c r="AH31" s="82">
        <f>SUM('Grants Need-Based'!DM31,'Grants Non Need-Based '!DM31,Other!AH31)</f>
        <v>2.6000389999999998</v>
      </c>
      <c r="AI31" s="82">
        <f>SUM('Grants Need-Based'!DN31,'Grants Non Need-Based '!DN31,Other!AI31)</f>
        <v>2.180288</v>
      </c>
    </row>
    <row r="32" spans="1:35">
      <c r="A32" s="23" t="s">
        <v>62</v>
      </c>
      <c r="B32" s="82">
        <f>SUM('Grants Need-Based'!CG32,'Grants Non Need-Based '!CG32,Other!B32)</f>
        <v>0.32700000000000001</v>
      </c>
      <c r="C32" s="82">
        <f>SUM('Grants Need-Based'!CH32,'Grants Non Need-Based '!CH32,Other!C32)</f>
        <v>0.41399999999999998</v>
      </c>
      <c r="D32" s="82">
        <f>SUM('Grants Need-Based'!CI32,'Grants Non Need-Based '!CI32,Other!D32)</f>
        <v>0.41399999999999998</v>
      </c>
      <c r="E32" s="82">
        <f>SUM('Grants Need-Based'!CJ32,'Grants Non Need-Based '!CJ32,Other!E32)</f>
        <v>0.41399999999999998</v>
      </c>
      <c r="F32" s="82">
        <f>SUM('Grants Need-Based'!CK32,'Grants Non Need-Based '!CK32,Other!F32)</f>
        <v>0.39999999999999997</v>
      </c>
      <c r="G32" s="82">
        <f>SUM('Grants Need-Based'!CL32,'Grants Non Need-Based '!CL32,Other!G32)</f>
        <v>0.39999999999999997</v>
      </c>
      <c r="H32" s="82">
        <f>SUM('Grants Need-Based'!CM32,'Grants Non Need-Based '!CM32,Other!H32)</f>
        <v>0.39999999999999997</v>
      </c>
      <c r="I32" s="82">
        <f>SUM('Grants Need-Based'!CN32,'Grants Non Need-Based '!CN32,Other!I32)</f>
        <v>0.39999999999999997</v>
      </c>
      <c r="J32" s="82">
        <f>SUM('Grants Need-Based'!CO32,'Grants Non Need-Based '!CO32,Other!J32)</f>
        <v>0.377</v>
      </c>
      <c r="K32" s="82">
        <f>SUM('Grants Need-Based'!CP32,'Grants Non Need-Based '!CP32,Other!K32)</f>
        <v>0.40100000000000002</v>
      </c>
      <c r="L32" s="82">
        <f>SUM('Grants Need-Based'!CQ32,'Grants Non Need-Based '!CQ32,Other!L32)</f>
        <v>0.40200000000000002</v>
      </c>
      <c r="M32" s="82">
        <f>SUM('Grants Need-Based'!CR32,'Grants Non Need-Based '!CR32,Other!M32)</f>
        <v>0.40200000000000002</v>
      </c>
      <c r="N32" s="82">
        <f>SUM('Grants Need-Based'!CS32,'Grants Non Need-Based '!CS32,Other!N32)</f>
        <v>62.083000000000006</v>
      </c>
      <c r="O32" s="82">
        <f>SUM('Grants Need-Based'!CT32,'Grants Non Need-Based '!CT32,Other!O32)</f>
        <v>106.23326800000001</v>
      </c>
      <c r="P32" s="82">
        <f>SUM('Grants Need-Based'!CU32,'Grants Non Need-Based '!CU32,Other!P32)</f>
        <v>119.70925</v>
      </c>
      <c r="Q32" s="82">
        <f>SUM('Grants Need-Based'!CV32,'Grants Non Need-Based '!CV32,Other!Q32)</f>
        <v>121.3075</v>
      </c>
      <c r="R32" s="82">
        <f>SUM('Grants Need-Based'!CW32,'Grants Non Need-Based '!CW32,Other!R32)</f>
        <v>146.93774999999999</v>
      </c>
      <c r="S32" s="82">
        <f>SUM('Grants Need-Based'!CX32,'Grants Non Need-Based '!CX32,Other!S32)</f>
        <v>157.655</v>
      </c>
      <c r="T32" s="82">
        <f>SUM('Grants Need-Based'!CY32,'Grants Non Need-Based '!CY32,Other!T32)</f>
        <v>4.1497499999999992</v>
      </c>
      <c r="U32" s="82">
        <f>SUM('Grants Need-Based'!CZ32,'Grants Non Need-Based '!CZ32,Other!U32)</f>
        <v>51.859500000000004</v>
      </c>
      <c r="V32" s="82">
        <f>SUM('Grants Need-Based'!DA32,'Grants Non Need-Based '!DA32,Other!V32)</f>
        <v>47.661296333333333</v>
      </c>
      <c r="W32" s="82">
        <f>SUM('Grants Need-Based'!DB32,'Grants Non Need-Based '!DB32,Other!W32)</f>
        <v>52.620092666666665</v>
      </c>
      <c r="X32" s="82">
        <f>SUM('Grants Need-Based'!DC32,'Grants Non Need-Based '!DC32,Other!X32)</f>
        <v>59.015371999999999</v>
      </c>
      <c r="Y32" s="82">
        <f>SUM('Grants Need-Based'!DD32,'Grants Non Need-Based '!DD32,Other!Y32)</f>
        <v>55.326999999999998</v>
      </c>
      <c r="Z32" s="82">
        <f>SUM('Grants Need-Based'!DE32,'Grants Non Need-Based '!DE32,Other!Z32)</f>
        <v>57.462000000000003</v>
      </c>
      <c r="AA32" s="82">
        <f>SUM('Grants Need-Based'!DF32,'Grants Non Need-Based '!DF32,Other!AA32)</f>
        <v>63.033999999999999</v>
      </c>
      <c r="AB32" s="82">
        <f>SUM('Grants Need-Based'!DG32,'Grants Non Need-Based '!DG32,Other!AB32)</f>
        <v>63.75</v>
      </c>
      <c r="AC32" s="82">
        <f>SUM('Grants Need-Based'!DH32,'Grants Non Need-Based '!DH32,Other!AC32)</f>
        <v>69.36699999999999</v>
      </c>
      <c r="AD32" s="82">
        <f>SUM('Grants Need-Based'!DI32,'Grants Non Need-Based '!DI32,Other!AD32)</f>
        <v>73.390000000000015</v>
      </c>
      <c r="AE32" s="82">
        <f>SUM('Grants Need-Based'!DJ32,'Grants Non Need-Based '!DJ32,Other!AE32)</f>
        <v>78.209000000000003</v>
      </c>
      <c r="AF32" s="82">
        <f>SUM('Grants Need-Based'!DK32,'Grants Non Need-Based '!DK32,Other!AF32)</f>
        <v>53.515999999999998</v>
      </c>
      <c r="AG32" s="82">
        <f>SUM('Grants Need-Based'!DL32,'Grants Non Need-Based '!DL32,Other!AG32)</f>
        <v>55.590999999999994</v>
      </c>
      <c r="AH32" s="82">
        <f>SUM('Grants Need-Based'!DM32,'Grants Non Need-Based '!DM32,Other!AH32)</f>
        <v>61.511282000000001</v>
      </c>
      <c r="AI32" s="82">
        <f>SUM('Grants Need-Based'!DN32,'Grants Non Need-Based '!DN32,Other!AI32)</f>
        <v>61.325919999999996</v>
      </c>
    </row>
    <row r="33" spans="1:35">
      <c r="A33" s="23" t="s">
        <v>63</v>
      </c>
      <c r="B33" s="82">
        <f>SUM('Grants Need-Based'!CG33,'Grants Non Need-Based '!CG33,Other!B33)</f>
        <v>1</v>
      </c>
      <c r="C33" s="82">
        <f>SUM('Grants Need-Based'!CH33,'Grants Non Need-Based '!CH33,Other!C33)</f>
        <v>8.6649999999999991</v>
      </c>
      <c r="D33" s="82">
        <f>SUM('Grants Need-Based'!CI33,'Grants Non Need-Based '!CI33,Other!D33)</f>
        <v>1.4610000000000001</v>
      </c>
      <c r="E33" s="82">
        <f>SUM('Grants Need-Based'!CJ33,'Grants Non Need-Based '!CJ33,Other!E33)</f>
        <v>1.4610000000000001</v>
      </c>
      <c r="F33" s="82">
        <f>SUM('Grants Need-Based'!CK33,'Grants Non Need-Based '!CK33,Other!F33)</f>
        <v>1.4610000000000001</v>
      </c>
      <c r="G33" s="82">
        <f>SUM('Grants Need-Based'!CL33,'Grants Non Need-Based '!CL33,Other!G33)</f>
        <v>8.2590000000000003</v>
      </c>
      <c r="H33" s="82">
        <f>SUM('Grants Need-Based'!CM33,'Grants Non Need-Based '!CM33,Other!H33)</f>
        <v>8.2590000000000003</v>
      </c>
      <c r="I33" s="82">
        <f>SUM('Grants Need-Based'!CN33,'Grants Non Need-Based '!CN33,Other!I33)</f>
        <v>13.423999999999999</v>
      </c>
      <c r="J33" s="82">
        <f>SUM('Grants Need-Based'!CO33,'Grants Non Need-Based '!CO33,Other!J33)</f>
        <v>13.841000000000001</v>
      </c>
      <c r="K33" s="82">
        <f>SUM('Grants Need-Based'!CP33,'Grants Non Need-Based '!CP33,Other!K33)</f>
        <v>16.016999999999999</v>
      </c>
      <c r="L33" s="82">
        <f>SUM('Grants Need-Based'!CQ33,'Grants Non Need-Based '!CQ33,Other!L33)</f>
        <v>17.367000000000001</v>
      </c>
      <c r="M33" s="82">
        <f>SUM('Grants Need-Based'!CR33,'Grants Non Need-Based '!CR33,Other!M33)</f>
        <v>21.133099999999999</v>
      </c>
      <c r="N33" s="82">
        <f>SUM('Grants Need-Based'!CS33,'Grants Non Need-Based '!CS33,Other!N33)</f>
        <v>29.319000000000003</v>
      </c>
      <c r="O33" s="82">
        <f>SUM('Grants Need-Based'!CT33,'Grants Non Need-Based '!CT33,Other!O33)</f>
        <v>30.187114999999999</v>
      </c>
      <c r="P33" s="82">
        <f>SUM('Grants Need-Based'!CU33,'Grants Non Need-Based '!CU33,Other!P33)</f>
        <v>66.1995</v>
      </c>
      <c r="Q33" s="82">
        <f>SUM('Grants Need-Based'!CV33,'Grants Non Need-Based '!CV33,Other!Q33)</f>
        <v>63.912999999999997</v>
      </c>
      <c r="R33" s="82">
        <f>SUM('Grants Need-Based'!CW33,'Grants Non Need-Based '!CW33,Other!R33)</f>
        <v>54.354399999999998</v>
      </c>
      <c r="S33" s="82">
        <f>SUM('Grants Need-Based'!CX33,'Grants Non Need-Based '!CX33,Other!S33)</f>
        <v>56.539000000000001</v>
      </c>
      <c r="T33" s="82">
        <f>SUM('Grants Need-Based'!CY33,'Grants Non Need-Based '!CY33,Other!T33)</f>
        <v>797.92200000000003</v>
      </c>
      <c r="U33" s="82">
        <f>SUM('Grants Need-Based'!CZ33,'Grants Non Need-Based '!CZ33,Other!U33)</f>
        <v>44.929000000000002</v>
      </c>
      <c r="V33" s="82">
        <f>SUM('Grants Need-Based'!DA33,'Grants Non Need-Based '!DA33,Other!V33)</f>
        <v>56.516500000000001</v>
      </c>
      <c r="W33" s="82">
        <f>SUM('Grants Need-Based'!DB33,'Grants Non Need-Based '!DB33,Other!W33)</f>
        <v>61.384999999999998</v>
      </c>
      <c r="X33" s="82">
        <f>SUM('Grants Need-Based'!DC33,'Grants Non Need-Based '!DC33,Other!X33)</f>
        <v>72.647795000000002</v>
      </c>
      <c r="Y33" s="82">
        <f>SUM('Grants Need-Based'!DD33,'Grants Non Need-Based '!DD33,Other!Y33)</f>
        <v>89.266000000000005</v>
      </c>
      <c r="Z33" s="82">
        <f>SUM('Grants Need-Based'!DE33,'Grants Non Need-Based '!DE33,Other!Z33)</f>
        <v>80.489999999999995</v>
      </c>
      <c r="AA33" s="82">
        <f>SUM('Grants Need-Based'!DF33,'Grants Non Need-Based '!DF33,Other!AA33)</f>
        <v>88.644999999999982</v>
      </c>
      <c r="AB33" s="82">
        <f>SUM('Grants Need-Based'!DG33,'Grants Non Need-Based '!DG33,Other!AB33)</f>
        <v>92.50200000000001</v>
      </c>
      <c r="AC33" s="82">
        <f>SUM('Grants Need-Based'!DH33,'Grants Non Need-Based '!DH33,Other!AC33)</f>
        <v>100.94500000000001</v>
      </c>
      <c r="AD33" s="82">
        <f>SUM('Grants Need-Based'!DI33,'Grants Non Need-Based '!DI33,Other!AD33)</f>
        <v>103.76499999999999</v>
      </c>
      <c r="AE33" s="82">
        <f>SUM('Grants Need-Based'!DJ33,'Grants Non Need-Based '!DJ33,Other!AE33)</f>
        <v>103.623</v>
      </c>
      <c r="AF33" s="82">
        <f>SUM('Grants Need-Based'!DK33,'Grants Non Need-Based '!DK33,Other!AF33)</f>
        <v>114.73399999999999</v>
      </c>
      <c r="AG33" s="82">
        <f>SUM('Grants Need-Based'!DL33,'Grants Non Need-Based '!DL33,Other!AG33)</f>
        <v>123.63400000000001</v>
      </c>
      <c r="AH33" s="82">
        <f>SUM('Grants Need-Based'!DM33,'Grants Non Need-Based '!DM33,Other!AH33)</f>
        <v>109.77907900000001</v>
      </c>
      <c r="AI33" s="82">
        <f>SUM('Grants Need-Based'!DN33,'Grants Non Need-Based '!DN33,Other!AI33)</f>
        <v>117.025008</v>
      </c>
    </row>
    <row r="34" spans="1:35">
      <c r="A34" s="23" t="s">
        <v>64</v>
      </c>
      <c r="B34" s="82">
        <f>SUM('Grants Need-Based'!CG34,'Grants Non Need-Based '!CG34,Other!B34)</f>
        <v>10.267000000000001</v>
      </c>
      <c r="C34" s="82">
        <f>SUM('Grants Need-Based'!CH34,'Grants Non Need-Based '!CH34,Other!C34)</f>
        <v>10.786</v>
      </c>
      <c r="D34" s="82">
        <f>SUM('Grants Need-Based'!CI34,'Grants Non Need-Based '!CI34,Other!D34)</f>
        <v>10.870000000000001</v>
      </c>
      <c r="E34" s="82">
        <f>SUM('Grants Need-Based'!CJ34,'Grants Non Need-Based '!CJ34,Other!E34)</f>
        <v>10.728999999999999</v>
      </c>
      <c r="F34" s="82">
        <f>SUM('Grants Need-Based'!CK34,'Grants Non Need-Based '!CK34,Other!F34)</f>
        <v>10.121</v>
      </c>
      <c r="G34" s="82">
        <f>SUM('Grants Need-Based'!CL34,'Grants Non Need-Based '!CL34,Other!G34)</f>
        <v>12.180999999999999</v>
      </c>
      <c r="H34" s="82">
        <f>SUM('Grants Need-Based'!CM34,'Grants Non Need-Based '!CM34,Other!H34)</f>
        <v>10.77</v>
      </c>
      <c r="I34" s="82">
        <f>SUM('Grants Need-Based'!CN34,'Grants Non Need-Based '!CN34,Other!I34)</f>
        <v>11.747999999999999</v>
      </c>
      <c r="J34" s="82">
        <f>SUM('Grants Need-Based'!CO34,'Grants Non Need-Based '!CO34,Other!J34)</f>
        <v>11.852</v>
      </c>
      <c r="K34" s="82">
        <f>SUM('Grants Need-Based'!CP34,'Grants Non Need-Based '!CP34,Other!K34)</f>
        <v>12.606</v>
      </c>
      <c r="L34" s="82">
        <f>SUM('Grants Need-Based'!CQ34,'Grants Non Need-Based '!CQ34,Other!L34)</f>
        <v>23.995000000000001</v>
      </c>
      <c r="M34" s="82">
        <f>SUM('Grants Need-Based'!CR34,'Grants Non Need-Based '!CR34,Other!M34)</f>
        <v>14.561</v>
      </c>
      <c r="N34" s="82">
        <f>SUM('Grants Need-Based'!CS34,'Grants Non Need-Based '!CS34,Other!N34)</f>
        <v>27.948186999999994</v>
      </c>
      <c r="O34" s="82">
        <f>SUM('Grants Need-Based'!CT34,'Grants Non Need-Based '!CT34,Other!O34)</f>
        <v>31.304598999999996</v>
      </c>
      <c r="P34" s="82">
        <f>SUM('Grants Need-Based'!CU34,'Grants Non Need-Based '!CU34,Other!P34)</f>
        <v>31.060320000000004</v>
      </c>
      <c r="Q34" s="82">
        <f>SUM('Grants Need-Based'!CV34,'Grants Non Need-Based '!CV34,Other!Q34)</f>
        <v>31.579000000000001</v>
      </c>
      <c r="R34" s="82">
        <f>SUM('Grants Need-Based'!CW34,'Grants Non Need-Based '!CW34,Other!R34)</f>
        <v>33.762</v>
      </c>
      <c r="S34" s="82">
        <f>SUM('Grants Need-Based'!CX34,'Grants Non Need-Based '!CX34,Other!S34)</f>
        <v>80.347000000000008</v>
      </c>
      <c r="T34" s="82">
        <f>SUM('Grants Need-Based'!CY34,'Grants Non Need-Based '!CY34,Other!T34)</f>
        <v>40.465000000000003</v>
      </c>
      <c r="U34" s="82">
        <f>SUM('Grants Need-Based'!CZ34,'Grants Non Need-Based '!CZ34,Other!U34)</f>
        <v>58.277999999999999</v>
      </c>
      <c r="V34" s="82">
        <f>SUM('Grants Need-Based'!DA34,'Grants Non Need-Based '!DA34,Other!V34)</f>
        <v>56.831000000000003</v>
      </c>
      <c r="W34" s="82">
        <f>SUM('Grants Need-Based'!DB34,'Grants Non Need-Based '!DB34,Other!W34)</f>
        <v>50.867000000000004</v>
      </c>
      <c r="X34" s="82">
        <f>SUM('Grants Need-Based'!DC34,'Grants Non Need-Based '!DC34,Other!X34)</f>
        <v>61.962303000000006</v>
      </c>
      <c r="Y34" s="82">
        <f>SUM('Grants Need-Based'!DD34,'Grants Non Need-Based '!DD34,Other!Y34)</f>
        <v>68.789999999999992</v>
      </c>
      <c r="Z34" s="82">
        <f>SUM('Grants Need-Based'!DE34,'Grants Non Need-Based '!DE34,Other!Z34)</f>
        <v>73.38300000000001</v>
      </c>
      <c r="AA34" s="82">
        <f>SUM('Grants Need-Based'!DF34,'Grants Non Need-Based '!DF34,Other!AA34)</f>
        <v>116.40299999999999</v>
      </c>
      <c r="AB34" s="82">
        <f>SUM('Grants Need-Based'!DG34,'Grants Non Need-Based '!DG34,Other!AB34)</f>
        <v>133.82599999999999</v>
      </c>
      <c r="AC34" s="82">
        <f>SUM('Grants Need-Based'!DH34,'Grants Non Need-Based '!DH34,Other!AC34)</f>
        <v>87.396000000000001</v>
      </c>
      <c r="AD34" s="82">
        <f>SUM('Grants Need-Based'!DI34,'Grants Non Need-Based '!DI34,Other!AD34)</f>
        <v>122.70699999999999</v>
      </c>
      <c r="AE34" s="82">
        <f>SUM('Grants Need-Based'!DJ34,'Grants Non Need-Based '!DJ34,Other!AE34)</f>
        <v>139.63999999999999</v>
      </c>
      <c r="AF34" s="82">
        <f>SUM('Grants Need-Based'!DK34,'Grants Non Need-Based '!DK34,Other!AF34)</f>
        <v>146.48099999999999</v>
      </c>
      <c r="AG34" s="82">
        <f>SUM('Grants Need-Based'!DL34,'Grants Non Need-Based '!DL34,Other!AG34)</f>
        <v>136.24799999999999</v>
      </c>
      <c r="AH34" s="82">
        <f>SUM('Grants Need-Based'!DM34,'Grants Non Need-Based '!DM34,Other!AH34)</f>
        <v>149.04827499999999</v>
      </c>
      <c r="AI34" s="82">
        <f>SUM('Grants Need-Based'!DN34,'Grants Non Need-Based '!DN34,Other!AI34)</f>
        <v>154.72911199999999</v>
      </c>
    </row>
    <row r="35" spans="1:35">
      <c r="A35" s="23" t="s">
        <v>65</v>
      </c>
      <c r="B35" s="82">
        <f>SUM('Grants Need-Based'!CG35,'Grants Non Need-Based '!CG35,Other!B35)</f>
        <v>2.2770000000000001</v>
      </c>
      <c r="C35" s="82">
        <f>SUM('Grants Need-Based'!CH35,'Grants Non Need-Based '!CH35,Other!C35)</f>
        <v>3.4450000000000003</v>
      </c>
      <c r="D35" s="82">
        <f>SUM('Grants Need-Based'!CI35,'Grants Non Need-Based '!CI35,Other!D35)</f>
        <v>3.1129999999999995</v>
      </c>
      <c r="E35" s="82">
        <f>SUM('Grants Need-Based'!CJ35,'Grants Non Need-Based '!CJ35,Other!E35)</f>
        <v>9.1349999999999998</v>
      </c>
      <c r="F35" s="82">
        <f>SUM('Grants Need-Based'!CK35,'Grants Non Need-Based '!CK35,Other!F35)</f>
        <v>8.5440000000000005</v>
      </c>
      <c r="G35" s="82">
        <f>SUM('Grants Need-Based'!CL35,'Grants Non Need-Based '!CL35,Other!G35)</f>
        <v>9.6430000000000007</v>
      </c>
      <c r="H35" s="82">
        <f>SUM('Grants Need-Based'!CM35,'Grants Non Need-Based '!CM35,Other!H35)</f>
        <v>10.526999999999999</v>
      </c>
      <c r="I35" s="82">
        <f>SUM('Grants Need-Based'!CN35,'Grants Non Need-Based '!CN35,Other!I35)</f>
        <v>11.485999999999999</v>
      </c>
      <c r="J35" s="82">
        <f>SUM('Grants Need-Based'!CO35,'Grants Non Need-Based '!CO35,Other!J35)</f>
        <v>11.838000000000001</v>
      </c>
      <c r="K35" s="82">
        <f>SUM('Grants Need-Based'!CP35,'Grants Non Need-Based '!CP35,Other!K35)</f>
        <v>12.556000000000001</v>
      </c>
      <c r="L35" s="82">
        <f>SUM('Grants Need-Based'!CQ35,'Grants Non Need-Based '!CQ35,Other!L35)</f>
        <v>2.8559999999999999</v>
      </c>
      <c r="M35" s="82">
        <f>SUM('Grants Need-Based'!CR35,'Grants Non Need-Based '!CR35,Other!M35)</f>
        <v>3.64</v>
      </c>
      <c r="N35" s="82">
        <f>SUM('Grants Need-Based'!CS35,'Grants Non Need-Based '!CS35,Other!N35)</f>
        <v>37.848058000000016</v>
      </c>
      <c r="O35" s="82">
        <f>SUM('Grants Need-Based'!CT35,'Grants Non Need-Based '!CT35,Other!O35)</f>
        <v>25.086961999999993</v>
      </c>
      <c r="P35" s="82">
        <f>SUM('Grants Need-Based'!CU35,'Grants Non Need-Based '!CU35,Other!P35)</f>
        <v>28.282918999999985</v>
      </c>
      <c r="Q35" s="82">
        <f>SUM('Grants Need-Based'!CV35,'Grants Non Need-Based '!CV35,Other!Q35)</f>
        <v>30.840499999999999</v>
      </c>
      <c r="R35" s="82">
        <f>SUM('Grants Need-Based'!CW35,'Grants Non Need-Based '!CW35,Other!R35)</f>
        <v>30.186400000000003</v>
      </c>
      <c r="S35" s="82">
        <f>SUM('Grants Need-Based'!CX35,'Grants Non Need-Based '!CX35,Other!S35)</f>
        <v>29.97</v>
      </c>
      <c r="T35" s="82">
        <f>SUM('Grants Need-Based'!CY35,'Grants Non Need-Based '!CY35,Other!T35)</f>
        <v>34.951666666666668</v>
      </c>
      <c r="U35" s="82">
        <f>SUM('Grants Need-Based'!CZ35,'Grants Non Need-Based '!CZ35,Other!U35)</f>
        <v>33.736333333333334</v>
      </c>
      <c r="V35" s="82">
        <f>SUM('Grants Need-Based'!DA35,'Grants Non Need-Based '!DA35,Other!V35)</f>
        <v>39.138500000000001</v>
      </c>
      <c r="W35" s="82">
        <f>SUM('Grants Need-Based'!DB35,'Grants Non Need-Based '!DB35,Other!W35)</f>
        <v>46.840017000000003</v>
      </c>
      <c r="X35" s="82">
        <f>SUM('Grants Need-Based'!DC35,'Grants Non Need-Based '!DC35,Other!X35)</f>
        <v>48.024467999999999</v>
      </c>
      <c r="Y35" s="82">
        <f>SUM('Grants Need-Based'!DD35,'Grants Non Need-Based '!DD35,Other!Y35)</f>
        <v>55.207999999999998</v>
      </c>
      <c r="Z35" s="82">
        <f>SUM('Grants Need-Based'!DE35,'Grants Non Need-Based '!DE35,Other!Z35)</f>
        <v>55.817</v>
      </c>
      <c r="AA35" s="82">
        <f>SUM('Grants Need-Based'!DF35,'Grants Non Need-Based '!DF35,Other!AA35)</f>
        <v>62.097999999999999</v>
      </c>
      <c r="AB35" s="82">
        <f>SUM('Grants Need-Based'!DG35,'Grants Non Need-Based '!DG35,Other!AB35)</f>
        <v>68.274999999999991</v>
      </c>
      <c r="AC35" s="82">
        <f>SUM('Grants Need-Based'!DH35,'Grants Non Need-Based '!DH35,Other!AC35)</f>
        <v>74.061999999999998</v>
      </c>
      <c r="AD35" s="82">
        <f>SUM('Grants Need-Based'!DI35,'Grants Non Need-Based '!DI35,Other!AD35)</f>
        <v>83.576999999999998</v>
      </c>
      <c r="AE35" s="82">
        <f>SUM('Grants Need-Based'!DJ35,'Grants Non Need-Based '!DJ35,Other!AE35)</f>
        <v>90.263000000000005</v>
      </c>
      <c r="AF35" s="82">
        <f>SUM('Grants Need-Based'!DK35,'Grants Non Need-Based '!DK35,Other!AF35)</f>
        <v>93.783999999999992</v>
      </c>
      <c r="AG35" s="82">
        <f>SUM('Grants Need-Based'!DL35,'Grants Non Need-Based '!DL35,Other!AG35)</f>
        <v>117.721</v>
      </c>
      <c r="AH35" s="82">
        <f>SUM('Grants Need-Based'!DM35,'Grants Non Need-Based '!DM35,Other!AH35)</f>
        <v>128.90022299999998</v>
      </c>
      <c r="AI35" s="82">
        <f>SUM('Grants Need-Based'!DN35,'Grants Non Need-Based '!DN35,Other!AI35)</f>
        <v>154.46487499999998</v>
      </c>
    </row>
    <row r="36" spans="1:35">
      <c r="A36" s="23" t="s">
        <v>66</v>
      </c>
      <c r="B36" s="82">
        <f>SUM('Grants Need-Based'!CG36,'Grants Non Need-Based '!CG36,Other!B36)</f>
        <v>7.5789999999999997</v>
      </c>
      <c r="C36" s="82">
        <f>SUM('Grants Need-Based'!CH36,'Grants Non Need-Based '!CH36,Other!C36)</f>
        <v>7.5709999999999997</v>
      </c>
      <c r="D36" s="82">
        <f>SUM('Grants Need-Based'!CI36,'Grants Non Need-Based '!CI36,Other!D36)</f>
        <v>9.9450000000000003</v>
      </c>
      <c r="E36" s="82">
        <f>SUM('Grants Need-Based'!CJ36,'Grants Non Need-Based '!CJ36,Other!E36)</f>
        <v>10.665000000000001</v>
      </c>
      <c r="F36" s="82">
        <f>SUM('Grants Need-Based'!CK36,'Grants Non Need-Based '!CK36,Other!F36)</f>
        <v>13.123999999999999</v>
      </c>
      <c r="G36" s="82">
        <f>SUM('Grants Need-Based'!CL36,'Grants Non Need-Based '!CL36,Other!G36)</f>
        <v>13.584999999999999</v>
      </c>
      <c r="H36" s="82">
        <f>SUM('Grants Need-Based'!CM36,'Grants Non Need-Based '!CM36,Other!H36)</f>
        <v>14.135999999999999</v>
      </c>
      <c r="I36" s="82">
        <f>SUM('Grants Need-Based'!CN36,'Grants Non Need-Based '!CN36,Other!I36)</f>
        <v>22.04</v>
      </c>
      <c r="J36" s="82">
        <f>SUM('Grants Need-Based'!CO36,'Grants Non Need-Based '!CO36,Other!J36)</f>
        <v>24.359000000000002</v>
      </c>
      <c r="K36" s="82">
        <f>SUM('Grants Need-Based'!CP36,'Grants Non Need-Based '!CP36,Other!K36)</f>
        <v>24.57</v>
      </c>
      <c r="L36" s="82">
        <f>SUM('Grants Need-Based'!CQ36,'Grants Non Need-Based '!CQ36,Other!L36)</f>
        <v>69.584000000000003</v>
      </c>
      <c r="M36" s="82">
        <f>SUM('Grants Need-Based'!CR36,'Grants Non Need-Based '!CR36,Other!M36)</f>
        <v>68.242833000000005</v>
      </c>
      <c r="N36" s="82">
        <f>SUM('Grants Need-Based'!CS36,'Grants Non Need-Based '!CS36,Other!N36)</f>
        <v>95.663000000000011</v>
      </c>
      <c r="O36" s="82">
        <f>SUM('Grants Need-Based'!CT36,'Grants Non Need-Based '!CT36,Other!O36)</f>
        <v>108.783337</v>
      </c>
      <c r="P36" s="82">
        <f>SUM('Grants Need-Based'!CU36,'Grants Non Need-Based '!CU36,Other!P36)</f>
        <v>123.81200000000001</v>
      </c>
      <c r="Q36" s="82">
        <f>SUM('Grants Need-Based'!CV36,'Grants Non Need-Based '!CV36,Other!Q36)</f>
        <v>128.41499999999999</v>
      </c>
      <c r="R36" s="82">
        <f>SUM('Grants Need-Based'!CW36,'Grants Non Need-Based '!CW36,Other!R36)</f>
        <v>133.70499999999998</v>
      </c>
      <c r="S36" s="82">
        <f>SUM('Grants Need-Based'!CX36,'Grants Non Need-Based '!CX36,Other!S36)</f>
        <v>124.096</v>
      </c>
      <c r="T36" s="82">
        <f>SUM('Grants Need-Based'!CY36,'Grants Non Need-Based '!CY36,Other!T36)</f>
        <v>127.49799999999999</v>
      </c>
      <c r="U36" s="82">
        <f>SUM('Grants Need-Based'!CZ36,'Grants Non Need-Based '!CZ36,Other!U36)</f>
        <v>147.06599999999997</v>
      </c>
      <c r="V36" s="82">
        <f>SUM('Grants Need-Based'!DA36,'Grants Non Need-Based '!DA36,Other!V36)</f>
        <v>158.33699999999999</v>
      </c>
      <c r="W36" s="82">
        <f>SUM('Grants Need-Based'!DB36,'Grants Non Need-Based '!DB36,Other!W36)</f>
        <v>173.10300000000001</v>
      </c>
      <c r="X36" s="82">
        <f>SUM('Grants Need-Based'!DC36,'Grants Non Need-Based '!DC36,Other!X36)</f>
        <v>198.83621399999998</v>
      </c>
      <c r="Y36" s="82">
        <f>SUM('Grants Need-Based'!DD36,'Grants Non Need-Based '!DD36,Other!Y36)</f>
        <v>214.15899999999999</v>
      </c>
      <c r="Z36" s="82">
        <f>SUM('Grants Need-Based'!DE36,'Grants Non Need-Based '!DE36,Other!Z36)</f>
        <v>237.685</v>
      </c>
      <c r="AA36" s="82">
        <f>SUM('Grants Need-Based'!DF36,'Grants Non Need-Based '!DF36,Other!AA36)</f>
        <v>256.84400000000005</v>
      </c>
      <c r="AB36" s="82">
        <f>SUM('Grants Need-Based'!DG36,'Grants Non Need-Based '!DG36,Other!AB36)</f>
        <v>273.69800000000004</v>
      </c>
      <c r="AC36" s="82">
        <f>SUM('Grants Need-Based'!DH36,'Grants Non Need-Based '!DH36,Other!AC36)</f>
        <v>261.82299999999998</v>
      </c>
      <c r="AD36" s="82">
        <f>SUM('Grants Need-Based'!DI36,'Grants Non Need-Based '!DI36,Other!AD36)</f>
        <v>311.38400000000007</v>
      </c>
      <c r="AE36" s="82">
        <f>SUM('Grants Need-Based'!DJ36,'Grants Non Need-Based '!DJ36,Other!AE36)</f>
        <v>363.51799999999997</v>
      </c>
      <c r="AF36" s="82">
        <f>SUM('Grants Need-Based'!DK36,'Grants Non Need-Based '!DK36,Other!AF36)</f>
        <v>369.68599999999998</v>
      </c>
      <c r="AG36" s="82">
        <f>SUM('Grants Need-Based'!DL36,'Grants Non Need-Based '!DL36,Other!AG36)</f>
        <v>383.46700000000004</v>
      </c>
      <c r="AH36" s="82">
        <f>SUM('Grants Need-Based'!DM36,'Grants Non Need-Based '!DM36,Other!AH36)</f>
        <v>371.76845799999995</v>
      </c>
      <c r="AI36" s="82">
        <f>SUM('Grants Need-Based'!DN36,'Grants Non Need-Based '!DN36,Other!AI36)</f>
        <v>356.78961300000003</v>
      </c>
    </row>
    <row r="37" spans="1:35">
      <c r="A37" s="32" t="s">
        <v>67</v>
      </c>
      <c r="B37" s="81">
        <f>SUM('Grants Need-Based'!CG37,'Grants Non Need-Based '!CG37,Other!B37)</f>
        <v>0.24</v>
      </c>
      <c r="C37" s="81">
        <f>SUM('Grants Need-Based'!CH37,'Grants Non Need-Based '!CH37,Other!C37)</f>
        <v>0.24</v>
      </c>
      <c r="D37" s="81">
        <f>SUM('Grants Need-Based'!CI37,'Grants Non Need-Based '!CI37,Other!D37)</f>
        <v>0.24</v>
      </c>
      <c r="E37" s="81">
        <f>SUM('Grants Need-Based'!CJ37,'Grants Non Need-Based '!CJ37,Other!E37)</f>
        <v>0.24</v>
      </c>
      <c r="F37" s="81">
        <f>SUM('Grants Need-Based'!CK37,'Grants Non Need-Based '!CK37,Other!F37)</f>
        <v>0.24</v>
      </c>
      <c r="G37" s="81">
        <f>SUM('Grants Need-Based'!CL37,'Grants Non Need-Based '!CL37,Other!G37)</f>
        <v>0.25</v>
      </c>
      <c r="H37" s="81">
        <f>SUM('Grants Need-Based'!CM37,'Grants Non Need-Based '!CM37,Other!H37)</f>
        <v>0.24099999999999999</v>
      </c>
      <c r="I37" s="81">
        <f>SUM('Grants Need-Based'!CN37,'Grants Non Need-Based '!CN37,Other!I37)</f>
        <v>0.24099999999999999</v>
      </c>
      <c r="J37" s="81">
        <f>SUM('Grants Need-Based'!CO37,'Grants Non Need-Based '!CO37,Other!J37)</f>
        <v>0.22</v>
      </c>
      <c r="K37" s="81">
        <f>SUM('Grants Need-Based'!CP37,'Grants Non Need-Based '!CP37,Other!K37)</f>
        <v>0.22500000000000001</v>
      </c>
      <c r="L37" s="81">
        <f>SUM('Grants Need-Based'!CQ37,'Grants Non Need-Based '!CQ37,Other!L37)</f>
        <v>0.25</v>
      </c>
      <c r="M37" s="81">
        <f>SUM('Grants Need-Based'!CR37,'Grants Non Need-Based '!CR37,Other!M37)</f>
        <v>0.22500000000000001</v>
      </c>
      <c r="N37" s="81">
        <f>SUM('Grants Need-Based'!CS37,'Grants Non Need-Based '!CS37,Other!N37)</f>
        <v>0.219</v>
      </c>
      <c r="O37" s="81">
        <f>SUM('Grants Need-Based'!CT37,'Grants Non Need-Based '!CT37,Other!O37)</f>
        <v>0.16</v>
      </c>
      <c r="P37" s="81">
        <f>SUM('Grants Need-Based'!CU37,'Grants Non Need-Based '!CU37,Other!P37)</f>
        <v>0.19800000000000001</v>
      </c>
      <c r="Q37" s="81">
        <f>SUM('Grants Need-Based'!CV37,'Grants Non Need-Based '!CV37,Other!Q37)</f>
        <v>0.155</v>
      </c>
      <c r="R37" s="81">
        <f>SUM('Grants Need-Based'!CW37,'Grants Non Need-Based '!CW37,Other!R37)</f>
        <v>0.155</v>
      </c>
      <c r="S37" s="81">
        <f>SUM('Grants Need-Based'!CX37,'Grants Non Need-Based '!CX37,Other!S37)</f>
        <v>0.159</v>
      </c>
      <c r="T37" s="81">
        <f>SUM('Grants Need-Based'!CY37,'Grants Non Need-Based '!CY37,Other!T37)</f>
        <v>0.16300000000000001</v>
      </c>
      <c r="U37" s="81">
        <f>SUM('Grants Need-Based'!CZ37,'Grants Non Need-Based '!CZ37,Other!U37)</f>
        <v>0.161</v>
      </c>
      <c r="V37" s="81">
        <f>SUM('Grants Need-Based'!DA37,'Grants Non Need-Based '!DA37,Other!V37)</f>
        <v>0.16300000000000001</v>
      </c>
      <c r="W37" s="81">
        <f>SUM('Grants Need-Based'!DB37,'Grants Non Need-Based '!DB37,Other!W37)</f>
        <v>0.16700000000000001</v>
      </c>
      <c r="X37" s="81">
        <f>SUM('Grants Need-Based'!DC37,'Grants Non Need-Based '!DC37,Other!X37)</f>
        <v>0.16293099999999999</v>
      </c>
      <c r="Y37" s="81">
        <f>SUM('Grants Need-Based'!DD37,'Grants Non Need-Based '!DD37,Other!Y37)</f>
        <v>0.16300000000000001</v>
      </c>
      <c r="Z37" s="81">
        <f>SUM('Grants Need-Based'!DE37,'Grants Non Need-Based '!DE37,Other!Z37)</f>
        <v>0.16200000000000001</v>
      </c>
      <c r="AA37" s="81">
        <f>SUM('Grants Need-Based'!DF37,'Grants Non Need-Based '!DF37,Other!AA37)</f>
        <v>0.16300000000000001</v>
      </c>
      <c r="AB37" s="81">
        <f>SUM('Grants Need-Based'!DG37,'Grants Non Need-Based '!DG37,Other!AB37)</f>
        <v>13.785</v>
      </c>
      <c r="AC37" s="81">
        <f>SUM('Grants Need-Based'!DH37,'Grants Non Need-Based '!DH37,Other!AC37)</f>
        <v>15.132</v>
      </c>
      <c r="AD37" s="81">
        <f>SUM('Grants Need-Based'!DI37,'Grants Non Need-Based '!DI37,Other!AD37)</f>
        <v>15.487</v>
      </c>
      <c r="AE37" s="81">
        <f>SUM('Grants Need-Based'!DJ37,'Grants Non Need-Based '!DJ37,Other!AE37)</f>
        <v>15.47</v>
      </c>
      <c r="AF37" s="81">
        <f>SUM('Grants Need-Based'!DK37,'Grants Non Need-Based '!DK37,Other!AF37)</f>
        <v>15.15</v>
      </c>
      <c r="AG37" s="81">
        <f>SUM('Grants Need-Based'!DL37,'Grants Non Need-Based '!DL37,Other!AG37)</f>
        <v>14.512</v>
      </c>
      <c r="AH37" s="81">
        <f>SUM('Grants Need-Based'!DM37,'Grants Non Need-Based '!DM37,Other!AH37)</f>
        <v>16.265561000000002</v>
      </c>
      <c r="AI37" s="81">
        <f>SUM('Grants Need-Based'!DN37,'Grants Non Need-Based '!DN37,Other!AI37)</f>
        <v>17.032619</v>
      </c>
    </row>
    <row r="38" spans="1:35">
      <c r="A38" s="7" t="s">
        <v>68</v>
      </c>
      <c r="B38" s="82">
        <f>SUM('Grants Need-Based'!CG38,'Grants Non Need-Based '!CG38,Other!B38)</f>
        <v>330.11799999999999</v>
      </c>
      <c r="C38" s="82">
        <f>SUM('Grants Need-Based'!CH38,'Grants Non Need-Based '!CH38,Other!C38)</f>
        <v>378.07299999999998</v>
      </c>
      <c r="D38" s="82">
        <f>SUM('Grants Need-Based'!CI38,'Grants Non Need-Based '!CI38,Other!D38)</f>
        <v>420.54700000000008</v>
      </c>
      <c r="E38" s="82">
        <f>SUM('Grants Need-Based'!CJ38,'Grants Non Need-Based '!CJ38,Other!E38)</f>
        <v>471.78300000000002</v>
      </c>
      <c r="F38" s="82">
        <f>SUM('Grants Need-Based'!CK38,'Grants Non Need-Based '!CK38,Other!F38)</f>
        <v>488.05600000000004</v>
      </c>
      <c r="G38" s="82">
        <f>SUM('Grants Need-Based'!CL38,'Grants Non Need-Based '!CL38,Other!G38)</f>
        <v>538.51899999999989</v>
      </c>
      <c r="H38" s="82">
        <f>SUM('Grants Need-Based'!CM38,'Grants Non Need-Based '!CM38,Other!H38)</f>
        <v>616.62040000000013</v>
      </c>
      <c r="I38" s="82">
        <f>SUM('Grants Need-Based'!CN38,'Grants Non Need-Based '!CN38,Other!I38)</f>
        <v>600.58300000000008</v>
      </c>
      <c r="J38" s="82">
        <f>SUM('Grants Need-Based'!CO38,'Grants Non Need-Based '!CO38,Other!J38)</f>
        <v>647.82800000000009</v>
      </c>
      <c r="K38" s="82">
        <f>SUM('Grants Need-Based'!CP38,'Grants Non Need-Based '!CP38,Other!K38)</f>
        <v>688.61300000000006</v>
      </c>
      <c r="L38" s="82">
        <f>SUM('Grants Need-Based'!CQ38,'Grants Non Need-Based '!CQ38,Other!L38)</f>
        <v>723.90399999999988</v>
      </c>
      <c r="M38" s="82">
        <f>SUM('Grants Need-Based'!CR38,'Grants Non Need-Based '!CR38,Other!M38)</f>
        <v>824.24803000000009</v>
      </c>
      <c r="N38" s="82">
        <f>SUM('Grants Need-Based'!CS38,'Grants Non Need-Based '!CS38,Other!N38)</f>
        <v>964.20690733333333</v>
      </c>
      <c r="O38" s="82">
        <f>SUM('Grants Need-Based'!CT38,'Grants Non Need-Based '!CT38,Other!O38)</f>
        <v>1014.5456486666669</v>
      </c>
      <c r="P38" s="82">
        <f>SUM('Grants Need-Based'!CU38,'Grants Non Need-Based '!CU38,Other!P38)</f>
        <v>1101.0862530000004</v>
      </c>
      <c r="Q38" s="82">
        <f>SUM('Grants Need-Based'!CV38,'Grants Non Need-Based '!CV38,Other!Q38)</f>
        <v>1218.6934999999999</v>
      </c>
      <c r="R38" s="82">
        <f>SUM('Grants Need-Based'!CW38,'Grants Non Need-Based '!CW38,Other!R38)</f>
        <v>1413.6772000000001</v>
      </c>
      <c r="S38" s="82">
        <f>SUM('Grants Need-Based'!CX38,'Grants Non Need-Based '!CX38,Other!S38)</f>
        <v>1406.4490000000001</v>
      </c>
      <c r="T38" s="82">
        <f>SUM('Grants Need-Based'!CY38,'Grants Non Need-Based '!CY38,Other!T38)</f>
        <v>1566.3520000000001</v>
      </c>
      <c r="U38" s="82">
        <f>SUM('Grants Need-Based'!CZ38,'Grants Non Need-Based '!CZ38,Other!U38)</f>
        <v>1582.6016666666667</v>
      </c>
      <c r="V38" s="82">
        <f>SUM('Grants Need-Based'!DA38,'Grants Non Need-Based '!DA38,Other!V38)</f>
        <v>1672.4813333333329</v>
      </c>
      <c r="W38" s="82">
        <f>SUM('Grants Need-Based'!DB38,'Grants Non Need-Based '!DB38,Other!W38)</f>
        <v>1767.9980000000003</v>
      </c>
      <c r="X38" s="82">
        <f>SUM('Grants Need-Based'!DC38,'Grants Non Need-Based '!DC38,Other!X38)</f>
        <v>1807.7012369999998</v>
      </c>
      <c r="Y38" s="82">
        <f>SUM('Grants Need-Based'!DD38,'Grants Non Need-Based '!DD38,Other!Y38)</f>
        <v>2036.1155779999999</v>
      </c>
      <c r="Z38" s="82">
        <f>SUM('Grants Need-Based'!DE38,'Grants Non Need-Based '!DE38,Other!Z38)</f>
        <v>2079.2579999999998</v>
      </c>
      <c r="AA38" s="82">
        <f>SUM('Grants Need-Based'!DF38,'Grants Non Need-Based '!DF38,Other!AA38)</f>
        <v>1961.9499999999998</v>
      </c>
      <c r="AB38" s="82">
        <f>SUM('Grants Need-Based'!DG38,'Grants Non Need-Based '!DG38,Other!AB38)</f>
        <v>1669.7529999999999</v>
      </c>
      <c r="AC38" s="82">
        <f>SUM('Grants Need-Based'!DH38,'Grants Non Need-Based '!DH38,Other!AC38)</f>
        <v>1592.479</v>
      </c>
      <c r="AD38" s="82">
        <f>SUM('Grants Need-Based'!DI38,'Grants Non Need-Based '!DI38,Other!AD38)</f>
        <v>1636.058</v>
      </c>
      <c r="AE38" s="82">
        <f>SUM('Grants Need-Based'!DJ38,'Grants Non Need-Based '!DJ38,Other!AE38)</f>
        <v>1604.4830000000002</v>
      </c>
      <c r="AF38" s="82">
        <f>SUM('Grants Need-Based'!DK38,'Grants Non Need-Based '!DK38,Other!AF38)</f>
        <v>1633.0830000000001</v>
      </c>
      <c r="AG38" s="82">
        <f>SUM('Grants Need-Based'!DL38,'Grants Non Need-Based '!DL38,Other!AG38)</f>
        <v>1684.587</v>
      </c>
      <c r="AH38" s="82">
        <f>SUM('Grants Need-Based'!DM38,'Grants Non Need-Based '!DM38,Other!AH38)</f>
        <v>1668.8718070000002</v>
      </c>
      <c r="AI38" s="82">
        <f>SUM('Grants Need-Based'!DN38,'Grants Non Need-Based '!DN38,Other!AI38)</f>
        <v>1747.4593560000001</v>
      </c>
    </row>
    <row r="39" spans="1:35">
      <c r="A39" s="7" t="s">
        <v>35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</row>
    <row r="40" spans="1:35">
      <c r="A40" s="23" t="s">
        <v>69</v>
      </c>
      <c r="B40" s="82">
        <f>SUM('Grants Need-Based'!CG40,'Grants Non Need-Based '!CG40,Other!B40)</f>
        <v>109.12299999999999</v>
      </c>
      <c r="C40" s="82">
        <f>SUM('Grants Need-Based'!CH40,'Grants Non Need-Based '!CH40,Other!C40)</f>
        <v>119.666</v>
      </c>
      <c r="D40" s="82">
        <f>SUM('Grants Need-Based'!CI40,'Grants Non Need-Based '!CI40,Other!D40)</f>
        <v>136.416</v>
      </c>
      <c r="E40" s="82">
        <f>SUM('Grants Need-Based'!CJ40,'Grants Non Need-Based '!CJ40,Other!E40)</f>
        <v>147.434</v>
      </c>
      <c r="F40" s="82">
        <f>SUM('Grants Need-Based'!CK40,'Grants Non Need-Based '!CK40,Other!F40)</f>
        <v>147.953</v>
      </c>
      <c r="G40" s="82">
        <f>SUM('Grants Need-Based'!CL40,'Grants Non Need-Based '!CL40,Other!G40)</f>
        <v>159.43599999999998</v>
      </c>
      <c r="H40" s="82">
        <f>SUM('Grants Need-Based'!CM40,'Grants Non Need-Based '!CM40,Other!H40)</f>
        <v>204.31040000000002</v>
      </c>
      <c r="I40" s="82">
        <f>SUM('Grants Need-Based'!CN40,'Grants Non Need-Based '!CN40,Other!I40)</f>
        <v>203.083</v>
      </c>
      <c r="J40" s="82">
        <f>SUM('Grants Need-Based'!CO40,'Grants Non Need-Based '!CO40,Other!J40)</f>
        <v>209.48899999999998</v>
      </c>
      <c r="K40" s="82">
        <f>SUM('Grants Need-Based'!CP40,'Grants Non Need-Based '!CP40,Other!K40)</f>
        <v>225.14100000000002</v>
      </c>
      <c r="L40" s="82">
        <f>SUM('Grants Need-Based'!CQ40,'Grants Non Need-Based '!CQ40,Other!L40)</f>
        <v>232.90600000000001</v>
      </c>
      <c r="M40" s="82">
        <f>SUM('Grants Need-Based'!CR40,'Grants Non Need-Based '!CR40,Other!M40)</f>
        <v>274.43469099999999</v>
      </c>
      <c r="N40" s="82">
        <f>SUM('Grants Need-Based'!CS40,'Grants Non Need-Based '!CS40,Other!N40)</f>
        <v>286.72008000000011</v>
      </c>
      <c r="O40" s="82">
        <f>SUM('Grants Need-Based'!CT40,'Grants Non Need-Based '!CT40,Other!O40)</f>
        <v>303.24458300000015</v>
      </c>
      <c r="P40" s="82">
        <f>SUM('Grants Need-Based'!CU40,'Grants Non Need-Based '!CU40,Other!P40)</f>
        <v>320.00090800000004</v>
      </c>
      <c r="Q40" s="82">
        <f>SUM('Grants Need-Based'!CV40,'Grants Non Need-Based '!CV40,Other!Q40)</f>
        <v>347.14</v>
      </c>
      <c r="R40" s="82">
        <f>SUM('Grants Need-Based'!CW40,'Grants Non Need-Based '!CW40,Other!R40)</f>
        <v>369.27399999999994</v>
      </c>
      <c r="S40" s="82">
        <f>SUM('Grants Need-Based'!CX40,'Grants Non Need-Based '!CX40,Other!S40)</f>
        <v>395.03199999999998</v>
      </c>
      <c r="T40" s="82">
        <f>SUM('Grants Need-Based'!CY40,'Grants Non Need-Based '!CY40,Other!T40)</f>
        <v>421.42699999999996</v>
      </c>
      <c r="U40" s="82">
        <f>SUM('Grants Need-Based'!CZ40,'Grants Non Need-Based '!CZ40,Other!U40)</f>
        <v>378.25799999999998</v>
      </c>
      <c r="V40" s="82">
        <f>SUM('Grants Need-Based'!DA40,'Grants Non Need-Based '!DA40,Other!V40)</f>
        <v>382.79250000000002</v>
      </c>
      <c r="W40" s="82">
        <f>SUM('Grants Need-Based'!DB40,'Grants Non Need-Based '!DB40,Other!W40)</f>
        <v>377.45400000000001</v>
      </c>
      <c r="X40" s="82">
        <f>SUM('Grants Need-Based'!DC40,'Grants Non Need-Based '!DC40,Other!X40)</f>
        <v>390.26989400000002</v>
      </c>
      <c r="Y40" s="82">
        <f>SUM('Grants Need-Based'!DD40,'Grants Non Need-Based '!DD40,Other!Y40)</f>
        <v>454.411</v>
      </c>
      <c r="Z40" s="82">
        <f>SUM('Grants Need-Based'!DE40,'Grants Non Need-Based '!DE40,Other!Z40)</f>
        <v>427.93900000000002</v>
      </c>
      <c r="AA40" s="82">
        <f>SUM('Grants Need-Based'!DF40,'Grants Non Need-Based '!DF40,Other!AA40)</f>
        <v>428.69100000000003</v>
      </c>
      <c r="AB40" s="82">
        <f>SUM('Grants Need-Based'!DG40,'Grants Non Need-Based '!DG40,Other!AB40)</f>
        <v>427.04599999999999</v>
      </c>
      <c r="AC40" s="82">
        <f>SUM('Grants Need-Based'!DH40,'Grants Non Need-Based '!DH40,Other!AC40)</f>
        <v>415.07</v>
      </c>
      <c r="AD40" s="82">
        <f>SUM('Grants Need-Based'!DI40,'Grants Non Need-Based '!DI40,Other!AD40)</f>
        <v>437.75700000000006</v>
      </c>
      <c r="AE40" s="82">
        <f>SUM('Grants Need-Based'!DJ40,'Grants Non Need-Based '!DJ40,Other!AE40)</f>
        <v>379.61599999999999</v>
      </c>
      <c r="AF40" s="82">
        <f>SUM('Grants Need-Based'!DK40,'Grants Non Need-Based '!DK40,Other!AF40)</f>
        <v>377.33800000000002</v>
      </c>
      <c r="AG40" s="82">
        <f>SUM('Grants Need-Based'!DL40,'Grants Non Need-Based '!DL40,Other!AG40)</f>
        <v>362.38000000000005</v>
      </c>
      <c r="AH40" s="82">
        <f>SUM('Grants Need-Based'!DM40,'Grants Non Need-Based '!DM40,Other!AH40)</f>
        <v>322.14887199999998</v>
      </c>
      <c r="AI40" s="82">
        <f>SUM('Grants Need-Based'!DN40,'Grants Non Need-Based '!DN40,Other!AI40)</f>
        <v>350.79705200000001</v>
      </c>
    </row>
    <row r="41" spans="1:35">
      <c r="A41" s="23" t="s">
        <v>70</v>
      </c>
      <c r="B41" s="82">
        <f>SUM('Grants Need-Based'!CG41,'Grants Non Need-Based '!CG41,Other!B41)</f>
        <v>23.266000000000002</v>
      </c>
      <c r="C41" s="82">
        <f>SUM('Grants Need-Based'!CH41,'Grants Non Need-Based '!CH41,Other!C41)</f>
        <v>33.334000000000003</v>
      </c>
      <c r="D41" s="82">
        <f>SUM('Grants Need-Based'!CI41,'Grants Non Need-Based '!CI41,Other!D41)</f>
        <v>35.315000000000005</v>
      </c>
      <c r="E41" s="82">
        <f>SUM('Grants Need-Based'!CJ41,'Grants Non Need-Based '!CJ41,Other!E41)</f>
        <v>41.052</v>
      </c>
      <c r="F41" s="82">
        <f>SUM('Grants Need-Based'!CK41,'Grants Non Need-Based '!CK41,Other!F41)</f>
        <v>45.816000000000003</v>
      </c>
      <c r="G41" s="82">
        <f>SUM('Grants Need-Based'!CL41,'Grants Non Need-Based '!CL41,Other!G41)</f>
        <v>52.062000000000005</v>
      </c>
      <c r="H41" s="82">
        <f>SUM('Grants Need-Based'!CM41,'Grants Non Need-Based '!CM41,Other!H41)</f>
        <v>59.315000000000005</v>
      </c>
      <c r="I41" s="82">
        <f>SUM('Grants Need-Based'!CN41,'Grants Non Need-Based '!CN41,Other!I41)</f>
        <v>47.454000000000001</v>
      </c>
      <c r="J41" s="82">
        <f>SUM('Grants Need-Based'!CO41,'Grants Non Need-Based '!CO41,Other!J41)</f>
        <v>50.963000000000001</v>
      </c>
      <c r="K41" s="82">
        <f>SUM('Grants Need-Based'!CP41,'Grants Non Need-Based '!CP41,Other!K41)</f>
        <v>56.191000000000003</v>
      </c>
      <c r="L41" s="82">
        <f>SUM('Grants Need-Based'!CQ41,'Grants Non Need-Based '!CQ41,Other!L41)</f>
        <v>56.191000000000003</v>
      </c>
      <c r="M41" s="82">
        <f>SUM('Grants Need-Based'!CR41,'Grants Non Need-Based '!CR41,Other!M41)</f>
        <v>69.581740000000011</v>
      </c>
      <c r="N41" s="82">
        <f>SUM('Grants Need-Based'!CS41,'Grants Non Need-Based '!CS41,Other!N41)</f>
        <v>98.361000000000004</v>
      </c>
      <c r="O41" s="82">
        <f>SUM('Grants Need-Based'!CT41,'Grants Non Need-Based '!CT41,Other!O41)</f>
        <v>123.81169</v>
      </c>
      <c r="P41" s="82">
        <f>SUM('Grants Need-Based'!CU41,'Grants Non Need-Based '!CU41,Other!P41)</f>
        <v>141.31299999999999</v>
      </c>
      <c r="Q41" s="82">
        <f>SUM('Grants Need-Based'!CV41,'Grants Non Need-Based '!CV41,Other!Q41)</f>
        <v>162.90799999999999</v>
      </c>
      <c r="R41" s="82">
        <f>SUM('Grants Need-Based'!CW41,'Grants Non Need-Based '!CW41,Other!R41)</f>
        <v>171</v>
      </c>
      <c r="S41" s="82">
        <f>SUM('Grants Need-Based'!CX41,'Grants Non Need-Based '!CX41,Other!S41)</f>
        <v>122.74400000000001</v>
      </c>
      <c r="T41" s="82">
        <f>SUM('Grants Need-Based'!CY41,'Grants Non Need-Based '!CY41,Other!T41)</f>
        <v>138.84700000000001</v>
      </c>
      <c r="U41" s="82">
        <f>SUM('Grants Need-Based'!CZ41,'Grants Non Need-Based '!CZ41,Other!U41)</f>
        <v>235.429</v>
      </c>
      <c r="V41" s="82">
        <f>SUM('Grants Need-Based'!DA41,'Grants Non Need-Based '!DA41,Other!V41)</f>
        <v>352.04749999999996</v>
      </c>
      <c r="W41" s="82">
        <f>SUM('Grants Need-Based'!DB41,'Grants Non Need-Based '!DB41,Other!W41)</f>
        <v>295.42900000000003</v>
      </c>
      <c r="X41" s="82">
        <f>SUM('Grants Need-Based'!DC41,'Grants Non Need-Based '!DC41,Other!X41)</f>
        <v>304.98312899999996</v>
      </c>
      <c r="Y41" s="82">
        <f>SUM('Grants Need-Based'!DD41,'Grants Non Need-Based '!DD41,Other!Y41)</f>
        <v>350.55099999999999</v>
      </c>
      <c r="Z41" s="82">
        <f>SUM('Grants Need-Based'!DE41,'Grants Non Need-Based '!DE41,Other!Z41)</f>
        <v>398.35300000000001</v>
      </c>
      <c r="AA41" s="82">
        <f>SUM('Grants Need-Based'!DF41,'Grants Non Need-Based '!DF41,Other!AA41)</f>
        <v>265.54599999999999</v>
      </c>
      <c r="AB41" s="82">
        <f>SUM('Grants Need-Based'!DG41,'Grants Non Need-Based '!DG41,Other!AB41)</f>
        <v>254.03100000000001</v>
      </c>
      <c r="AC41" s="82">
        <f>SUM('Grants Need-Based'!DH41,'Grants Non Need-Based '!DH41,Other!AC41)</f>
        <v>276.90499999999997</v>
      </c>
      <c r="AD41" s="82">
        <f>SUM('Grants Need-Based'!DI41,'Grants Non Need-Based '!DI41,Other!AD41)</f>
        <v>285.20099999999996</v>
      </c>
      <c r="AE41" s="82">
        <f>SUM('Grants Need-Based'!DJ41,'Grants Non Need-Based '!DJ41,Other!AE41)</f>
        <v>285.43899999999996</v>
      </c>
      <c r="AF41" s="82">
        <f>SUM('Grants Need-Based'!DK41,'Grants Non Need-Based '!DK41,Other!AF41)</f>
        <v>301.25100000000003</v>
      </c>
      <c r="AG41" s="82">
        <f>SUM('Grants Need-Based'!DL41,'Grants Non Need-Based '!DL41,Other!AG41)</f>
        <v>321.91300000000001</v>
      </c>
      <c r="AH41" s="82">
        <f>SUM('Grants Need-Based'!DM41,'Grants Non Need-Based '!DM41,Other!AH41)</f>
        <v>324.73692099999994</v>
      </c>
      <c r="AI41" s="82">
        <f>SUM('Grants Need-Based'!DN41,'Grants Non Need-Based '!DN41,Other!AI41)</f>
        <v>335.51716500000003</v>
      </c>
    </row>
    <row r="42" spans="1:35">
      <c r="A42" s="23" t="s">
        <v>71</v>
      </c>
      <c r="B42" s="82">
        <f>SUM('Grants Need-Based'!CG42,'Grants Non Need-Based '!CG42,Other!B42)</f>
        <v>20.268000000000001</v>
      </c>
      <c r="C42" s="82">
        <f>SUM('Grants Need-Based'!CH42,'Grants Non Need-Based '!CH42,Other!C42)</f>
        <v>23.946999999999999</v>
      </c>
      <c r="D42" s="82">
        <f>SUM('Grants Need-Based'!CI42,'Grants Non Need-Based '!CI42,Other!D42)</f>
        <v>23.516000000000002</v>
      </c>
      <c r="E42" s="82">
        <f>SUM('Grants Need-Based'!CJ42,'Grants Non Need-Based '!CJ42,Other!E42)</f>
        <v>26.148</v>
      </c>
      <c r="F42" s="82">
        <f>SUM('Grants Need-Based'!CK42,'Grants Non Need-Based '!CK42,Other!F42)</f>
        <v>31.231000000000002</v>
      </c>
      <c r="G42" s="82">
        <f>SUM('Grants Need-Based'!CL42,'Grants Non Need-Based '!CL42,Other!G42)</f>
        <v>52.915999999999997</v>
      </c>
      <c r="H42" s="82">
        <f>SUM('Grants Need-Based'!CM42,'Grants Non Need-Based '!CM42,Other!H42)</f>
        <v>58.932000000000002</v>
      </c>
      <c r="I42" s="82">
        <f>SUM('Grants Need-Based'!CN42,'Grants Non Need-Based '!CN42,Other!I42)</f>
        <v>40.169000000000004</v>
      </c>
      <c r="J42" s="82">
        <f>SUM('Grants Need-Based'!CO42,'Grants Non Need-Based '!CO42,Other!J42)</f>
        <v>61.876999999999995</v>
      </c>
      <c r="K42" s="82">
        <f>SUM('Grants Need-Based'!CP42,'Grants Non Need-Based '!CP42,Other!K42)</f>
        <v>64.109000000000009</v>
      </c>
      <c r="L42" s="82">
        <f>SUM('Grants Need-Based'!CQ42,'Grants Non Need-Based '!CQ42,Other!L42)</f>
        <v>39.364000000000004</v>
      </c>
      <c r="M42" s="82">
        <f>SUM('Grants Need-Based'!CR42,'Grants Non Need-Based '!CR42,Other!M42)</f>
        <v>39.571199999999997</v>
      </c>
      <c r="N42" s="82">
        <f>SUM('Grants Need-Based'!CS42,'Grants Non Need-Based '!CS42,Other!N42)</f>
        <v>50.864221000000001</v>
      </c>
      <c r="O42" s="82">
        <f>SUM('Grants Need-Based'!CT42,'Grants Non Need-Based '!CT42,Other!O42)</f>
        <v>53.982838000000015</v>
      </c>
      <c r="P42" s="82">
        <f>SUM('Grants Need-Based'!CU42,'Grants Non Need-Based '!CU42,Other!P42)</f>
        <v>56.602882999999999</v>
      </c>
      <c r="Q42" s="82">
        <f>SUM('Grants Need-Based'!CV42,'Grants Non Need-Based '!CV42,Other!Q42)</f>
        <v>56.796999999999997</v>
      </c>
      <c r="R42" s="82">
        <f>SUM('Grants Need-Based'!CW42,'Grants Non Need-Based '!CW42,Other!R42)</f>
        <v>62.117000000000004</v>
      </c>
      <c r="S42" s="82">
        <f>SUM('Grants Need-Based'!CX42,'Grants Non Need-Based '!CX42,Other!S42)</f>
        <v>63.856999999999999</v>
      </c>
      <c r="T42" s="82">
        <f>SUM('Grants Need-Based'!CY42,'Grants Non Need-Based '!CY42,Other!T42)</f>
        <v>60.933999999999997</v>
      </c>
      <c r="U42" s="82">
        <f>SUM('Grants Need-Based'!CZ42,'Grants Non Need-Based '!CZ42,Other!U42)</f>
        <v>55.321999999999996</v>
      </c>
      <c r="V42" s="82">
        <f>SUM('Grants Need-Based'!DA42,'Grants Non Need-Based '!DA42,Other!V42)</f>
        <v>52.246000000000002</v>
      </c>
      <c r="W42" s="82">
        <f>SUM('Grants Need-Based'!DB42,'Grants Non Need-Based '!DB42,Other!W42)</f>
        <v>56.614000000000004</v>
      </c>
      <c r="X42" s="82">
        <f>SUM('Grants Need-Based'!DC42,'Grants Non Need-Based '!DC42,Other!X42)</f>
        <v>59.260894</v>
      </c>
      <c r="Y42" s="82">
        <f>SUM('Grants Need-Based'!DD42,'Grants Non Need-Based '!DD42,Other!Y42)</f>
        <v>61.997577999999997</v>
      </c>
      <c r="Z42" s="82">
        <f>SUM('Grants Need-Based'!DE42,'Grants Non Need-Based '!DE42,Other!Z42)</f>
        <v>65.786999999999992</v>
      </c>
      <c r="AA42" s="82">
        <f>SUM('Grants Need-Based'!DF42,'Grants Non Need-Based '!DF42,Other!AA42)</f>
        <v>68.45</v>
      </c>
      <c r="AB42" s="82">
        <f>SUM('Grants Need-Based'!DG42,'Grants Non Need-Based '!DG42,Other!AB42)</f>
        <v>58.729000000000006</v>
      </c>
      <c r="AC42" s="82">
        <f>SUM('Grants Need-Based'!DH42,'Grants Non Need-Based '!DH42,Other!AC42)</f>
        <v>59.086999999999996</v>
      </c>
      <c r="AD42" s="82">
        <f>SUM('Grants Need-Based'!DI42,'Grants Non Need-Based '!DI42,Other!AD42)</f>
        <v>58.570999999999998</v>
      </c>
      <c r="AE42" s="82">
        <f>SUM('Grants Need-Based'!DJ42,'Grants Non Need-Based '!DJ42,Other!AE42)</f>
        <v>63.756999999999998</v>
      </c>
      <c r="AF42" s="82">
        <f>SUM('Grants Need-Based'!DK42,'Grants Non Need-Based '!DK42,Other!AF42)</f>
        <v>66.669000000000011</v>
      </c>
      <c r="AG42" s="82">
        <f>SUM('Grants Need-Based'!DL42,'Grants Non Need-Based '!DL42,Other!AG42)</f>
        <v>66.978999999999999</v>
      </c>
      <c r="AH42" s="82">
        <f>SUM('Grants Need-Based'!DM42,'Grants Non Need-Based '!DM42,Other!AH42)</f>
        <v>67.257200999999995</v>
      </c>
      <c r="AI42" s="82">
        <f>SUM('Grants Need-Based'!DN42,'Grants Non Need-Based '!DN42,Other!AI42)</f>
        <v>68.193734000000006</v>
      </c>
    </row>
    <row r="43" spans="1:35">
      <c r="A43" s="23" t="s">
        <v>72</v>
      </c>
      <c r="B43" s="82">
        <f>SUM('Grants Need-Based'!CG43,'Grants Non Need-Based '!CG43,Other!B43)</f>
        <v>5.0919999999999996</v>
      </c>
      <c r="C43" s="82">
        <f>SUM('Grants Need-Based'!CH43,'Grants Non Need-Based '!CH43,Other!C43)</f>
        <v>4.8410000000000002</v>
      </c>
      <c r="D43" s="82">
        <f>SUM('Grants Need-Based'!CI43,'Grants Non Need-Based '!CI43,Other!D43)</f>
        <v>5.3419999999999996</v>
      </c>
      <c r="E43" s="82">
        <f>SUM('Grants Need-Based'!CJ43,'Grants Non Need-Based '!CJ43,Other!E43)</f>
        <v>5.43</v>
      </c>
      <c r="F43" s="82">
        <f>SUM('Grants Need-Based'!CK43,'Grants Non Need-Based '!CK43,Other!F43)</f>
        <v>5.7549999999999999</v>
      </c>
      <c r="G43" s="82">
        <f>SUM('Grants Need-Based'!CL43,'Grants Non Need-Based '!CL43,Other!G43)</f>
        <v>6.0309999999999997</v>
      </c>
      <c r="H43" s="82">
        <f>SUM('Grants Need-Based'!CM43,'Grants Non Need-Based '!CM43,Other!H43)</f>
        <v>7.55</v>
      </c>
      <c r="I43" s="82">
        <f>SUM('Grants Need-Based'!CN43,'Grants Non Need-Based '!CN43,Other!I43)</f>
        <v>6.6659999999999995</v>
      </c>
      <c r="J43" s="82">
        <f>SUM('Grants Need-Based'!CO43,'Grants Non Need-Based '!CO43,Other!J43)</f>
        <v>6.6129999999999995</v>
      </c>
      <c r="K43" s="82">
        <f>SUM('Grants Need-Based'!CP43,'Grants Non Need-Based '!CP43,Other!K43)</f>
        <v>6.9929999999999994</v>
      </c>
      <c r="L43" s="82">
        <f>SUM('Grants Need-Based'!CQ43,'Grants Non Need-Based '!CQ43,Other!L43)</f>
        <v>9.1639999999999997</v>
      </c>
      <c r="M43" s="82">
        <f>SUM('Grants Need-Based'!CR43,'Grants Non Need-Based '!CR43,Other!M43)</f>
        <v>12.562000000000001</v>
      </c>
      <c r="N43" s="82">
        <f>SUM('Grants Need-Based'!CS43,'Grants Non Need-Based '!CS43,Other!N43)</f>
        <v>12.771333333333331</v>
      </c>
      <c r="O43" s="82">
        <f>SUM('Grants Need-Based'!CT43,'Grants Non Need-Based '!CT43,Other!O43)</f>
        <v>13.323041666666665</v>
      </c>
      <c r="P43" s="82">
        <f>SUM('Grants Need-Based'!CU43,'Grants Non Need-Based '!CU43,Other!P43)</f>
        <v>12.419</v>
      </c>
      <c r="Q43" s="82">
        <f>SUM('Grants Need-Based'!CV43,'Grants Non Need-Based '!CV43,Other!Q43)</f>
        <v>14.708000000000002</v>
      </c>
      <c r="R43" s="82">
        <f>SUM('Grants Need-Based'!CW43,'Grants Non Need-Based '!CW43,Other!R43)</f>
        <v>15.208</v>
      </c>
      <c r="S43" s="82">
        <f>SUM('Grants Need-Based'!CX43,'Grants Non Need-Based '!CX43,Other!S43)</f>
        <v>15.793000000000001</v>
      </c>
      <c r="T43" s="82">
        <f>SUM('Grants Need-Based'!CY43,'Grants Non Need-Based '!CY43,Other!T43)</f>
        <v>15.874000000000001</v>
      </c>
      <c r="U43" s="82">
        <f>SUM('Grants Need-Based'!CZ43,'Grants Non Need-Based '!CZ43,Other!U43)</f>
        <v>15.539666666666667</v>
      </c>
      <c r="V43" s="82">
        <f>SUM('Grants Need-Based'!DA43,'Grants Non Need-Based '!DA43,Other!V43)</f>
        <v>16.607333333333333</v>
      </c>
      <c r="W43" s="82">
        <f>SUM('Grants Need-Based'!DB43,'Grants Non Need-Based '!DB43,Other!W43)</f>
        <v>18.012</v>
      </c>
      <c r="X43" s="82">
        <f>SUM('Grants Need-Based'!DC43,'Grants Non Need-Based '!DC43,Other!X43)</f>
        <v>18.754348</v>
      </c>
      <c r="Y43" s="82">
        <f>SUM('Grants Need-Based'!DD43,'Grants Non Need-Based '!DD43,Other!Y43)</f>
        <v>20.73</v>
      </c>
      <c r="Z43" s="82">
        <f>SUM('Grants Need-Based'!DE43,'Grants Non Need-Based '!DE43,Other!Z43)</f>
        <v>23.821999999999999</v>
      </c>
      <c r="AA43" s="82">
        <f>SUM('Grants Need-Based'!DF43,'Grants Non Need-Based '!DF43,Other!AA43)</f>
        <v>23.310000000000002</v>
      </c>
      <c r="AB43" s="82">
        <f>SUM('Grants Need-Based'!DG43,'Grants Non Need-Based '!DG43,Other!AB43)</f>
        <v>22.954000000000004</v>
      </c>
      <c r="AC43" s="82">
        <f>SUM('Grants Need-Based'!DH43,'Grants Non Need-Based '!DH43,Other!AC43)</f>
        <v>21.792999999999999</v>
      </c>
      <c r="AD43" s="82">
        <f>SUM('Grants Need-Based'!DI43,'Grants Non Need-Based '!DI43,Other!AD43)</f>
        <v>22.039000000000001</v>
      </c>
      <c r="AE43" s="82">
        <f>SUM('Grants Need-Based'!DJ43,'Grants Non Need-Based '!DJ43,Other!AE43)</f>
        <v>21.797000000000001</v>
      </c>
      <c r="AF43" s="82">
        <f>SUM('Grants Need-Based'!DK43,'Grants Non Need-Based '!DK43,Other!AF43)</f>
        <v>22.088000000000001</v>
      </c>
      <c r="AG43" s="82">
        <f>SUM('Grants Need-Based'!DL43,'Grants Non Need-Based '!DL43,Other!AG43)</f>
        <v>22.495999999999999</v>
      </c>
      <c r="AH43" s="82">
        <f>SUM('Grants Need-Based'!DM43,'Grants Non Need-Based '!DM43,Other!AH43)</f>
        <v>21.451310000000003</v>
      </c>
      <c r="AI43" s="82">
        <f>SUM('Grants Need-Based'!DN43,'Grants Non Need-Based '!DN43,Other!AI43)</f>
        <v>20.475877000000001</v>
      </c>
    </row>
    <row r="44" spans="1:35">
      <c r="A44" s="23" t="s">
        <v>73</v>
      </c>
      <c r="B44" s="82">
        <f>SUM('Grants Need-Based'!CG44,'Grants Non Need-Based '!CG44,Other!B44)</f>
        <v>47.492000000000004</v>
      </c>
      <c r="C44" s="82">
        <f>SUM('Grants Need-Based'!CH44,'Grants Non Need-Based '!CH44,Other!C44)</f>
        <v>51.437999999999995</v>
      </c>
      <c r="D44" s="82">
        <f>SUM('Grants Need-Based'!CI44,'Grants Non Need-Based '!CI44,Other!D44)</f>
        <v>65.546999999999997</v>
      </c>
      <c r="E44" s="82">
        <f>SUM('Grants Need-Based'!CJ44,'Grants Non Need-Based '!CJ44,Other!E44)</f>
        <v>71.366</v>
      </c>
      <c r="F44" s="82">
        <f>SUM('Grants Need-Based'!CK44,'Grants Non Need-Based '!CK44,Other!F44)</f>
        <v>72.378999999999991</v>
      </c>
      <c r="G44" s="82">
        <f>SUM('Grants Need-Based'!CL44,'Grants Non Need-Based '!CL44,Other!G44)</f>
        <v>74.409000000000006</v>
      </c>
      <c r="H44" s="82">
        <f>SUM('Grants Need-Based'!CM44,'Grants Non Need-Based '!CM44,Other!H44)</f>
        <v>77.311000000000007</v>
      </c>
      <c r="I44" s="82">
        <f>SUM('Grants Need-Based'!CN44,'Grants Non Need-Based '!CN44,Other!I44)</f>
        <v>74.878</v>
      </c>
      <c r="J44" s="82">
        <f>SUM('Grants Need-Based'!CO44,'Grants Non Need-Based '!CO44,Other!J44)</f>
        <v>83.477000000000004</v>
      </c>
      <c r="K44" s="82">
        <f>SUM('Grants Need-Based'!CP44,'Grants Non Need-Based '!CP44,Other!K44)</f>
        <v>83.548999999999992</v>
      </c>
      <c r="L44" s="82">
        <f>SUM('Grants Need-Based'!CQ44,'Grants Non Need-Based '!CQ44,Other!L44)</f>
        <v>92.643000000000001</v>
      </c>
      <c r="M44" s="82">
        <f>SUM('Grants Need-Based'!CR44,'Grants Non Need-Based '!CR44,Other!M44)</f>
        <v>104.37325200000001</v>
      </c>
      <c r="N44" s="82">
        <f>SUM('Grants Need-Based'!CS44,'Grants Non Need-Based '!CS44,Other!N44)</f>
        <v>115.24221999999997</v>
      </c>
      <c r="O44" s="82">
        <f>SUM('Grants Need-Based'!CT44,'Grants Non Need-Based '!CT44,Other!O44)</f>
        <v>114.92724800000002</v>
      </c>
      <c r="P44" s="82">
        <f>SUM('Grants Need-Based'!CU44,'Grants Non Need-Based '!CU44,Other!P44)</f>
        <v>117.764972</v>
      </c>
      <c r="Q44" s="82">
        <f>SUM('Grants Need-Based'!CV44,'Grants Non Need-Based '!CV44,Other!Q44)</f>
        <v>118.203</v>
      </c>
      <c r="R44" s="82">
        <f>SUM('Grants Need-Based'!CW44,'Grants Non Need-Based '!CW44,Other!R44)</f>
        <v>227.71639999999996</v>
      </c>
      <c r="S44" s="82">
        <f>SUM('Grants Need-Based'!CX44,'Grants Non Need-Based '!CX44,Other!S44)</f>
        <v>224.083</v>
      </c>
      <c r="T44" s="82">
        <f>SUM('Grants Need-Based'!CY44,'Grants Non Need-Based '!CY44,Other!T44)</f>
        <v>264.59300000000002</v>
      </c>
      <c r="U44" s="82">
        <f>SUM('Grants Need-Based'!CZ44,'Grants Non Need-Based '!CZ44,Other!U44)</f>
        <v>258.23</v>
      </c>
      <c r="V44" s="82">
        <f>SUM('Grants Need-Based'!DA44,'Grants Non Need-Based '!DA44,Other!V44)</f>
        <v>211.96299999999999</v>
      </c>
      <c r="W44" s="82">
        <f>SUM('Grants Need-Based'!DB44,'Grants Non Need-Based '!DB44,Other!W44)</f>
        <v>250.87299999999999</v>
      </c>
      <c r="X44" s="82">
        <f>SUM('Grants Need-Based'!DC44,'Grants Non Need-Based '!DC44,Other!X44)</f>
        <v>284.00290100000001</v>
      </c>
      <c r="Y44" s="82">
        <f>SUM('Grants Need-Based'!DD44,'Grants Non Need-Based '!DD44,Other!Y44)</f>
        <v>315.47199999999998</v>
      </c>
      <c r="Z44" s="82">
        <f>SUM('Grants Need-Based'!DE44,'Grants Non Need-Based '!DE44,Other!Z44)</f>
        <v>240.15299999999999</v>
      </c>
      <c r="AA44" s="82">
        <f>SUM('Grants Need-Based'!DF44,'Grants Non Need-Based '!DF44,Other!AA44)</f>
        <v>211.41600000000003</v>
      </c>
      <c r="AB44" s="82">
        <f>SUM('Grants Need-Based'!DG44,'Grants Non Need-Based '!DG44,Other!AB44)</f>
        <v>80.612000000000009</v>
      </c>
      <c r="AC44" s="82">
        <f>SUM('Grants Need-Based'!DH44,'Grants Non Need-Based '!DH44,Other!AC44)</f>
        <v>85.612000000000009</v>
      </c>
      <c r="AD44" s="82">
        <f>SUM('Grants Need-Based'!DI44,'Grants Non Need-Based '!DI44,Other!AD44)</f>
        <v>88.309000000000012</v>
      </c>
      <c r="AE44" s="82">
        <f>SUM('Grants Need-Based'!DJ44,'Grants Non Need-Based '!DJ44,Other!AE44)</f>
        <v>92.777999999999992</v>
      </c>
      <c r="AF44" s="82">
        <f>SUM('Grants Need-Based'!DK44,'Grants Non Need-Based '!DK44,Other!AF44)</f>
        <v>96.261999999999986</v>
      </c>
      <c r="AG44" s="82">
        <f>SUM('Grants Need-Based'!DL44,'Grants Non Need-Based '!DL44,Other!AG44)</f>
        <v>101.47899999999998</v>
      </c>
      <c r="AH44" s="82">
        <f>SUM('Grants Need-Based'!DM44,'Grants Non Need-Based '!DM44,Other!AH44)</f>
        <v>104.48095699999999</v>
      </c>
      <c r="AI44" s="82">
        <f>SUM('Grants Need-Based'!DN44,'Grants Non Need-Based '!DN44,Other!AI44)</f>
        <v>108.40554300000001</v>
      </c>
    </row>
    <row r="45" spans="1:35">
      <c r="A45" s="23" t="s">
        <v>74</v>
      </c>
      <c r="B45" s="82">
        <f>SUM('Grants Need-Based'!CG45,'Grants Non Need-Based '!CG45,Other!B45)</f>
        <v>45.333999999999996</v>
      </c>
      <c r="C45" s="82">
        <f>SUM('Grants Need-Based'!CH45,'Grants Non Need-Based '!CH45,Other!C45)</f>
        <v>52.504000000000005</v>
      </c>
      <c r="D45" s="82">
        <f>SUM('Grants Need-Based'!CI45,'Grants Non Need-Based '!CI45,Other!D45)</f>
        <v>54.44</v>
      </c>
      <c r="E45" s="82">
        <f>SUM('Grants Need-Based'!CJ45,'Grants Non Need-Based '!CJ45,Other!E45)</f>
        <v>62.346000000000004</v>
      </c>
      <c r="F45" s="82">
        <f>SUM('Grants Need-Based'!CK45,'Grants Non Need-Based '!CK45,Other!F45)</f>
        <v>64.040000000000006</v>
      </c>
      <c r="G45" s="82">
        <f>SUM('Grants Need-Based'!CL45,'Grants Non Need-Based '!CL45,Other!G45)</f>
        <v>64.64</v>
      </c>
      <c r="H45" s="82">
        <f>SUM('Grants Need-Based'!CM45,'Grants Non Need-Based '!CM45,Other!H45)</f>
        <v>69.588999999999999</v>
      </c>
      <c r="I45" s="82">
        <f>SUM('Grants Need-Based'!CN45,'Grants Non Need-Based '!CN45,Other!I45)</f>
        <v>77.793999999999997</v>
      </c>
      <c r="J45" s="82">
        <f>SUM('Grants Need-Based'!CO45,'Grants Non Need-Based '!CO45,Other!J45)</f>
        <v>79.272999999999996</v>
      </c>
      <c r="K45" s="82">
        <f>SUM('Grants Need-Based'!CP45,'Grants Non Need-Based '!CP45,Other!K45)</f>
        <v>83.19</v>
      </c>
      <c r="L45" s="82">
        <f>SUM('Grants Need-Based'!CQ45,'Grants Non Need-Based '!CQ45,Other!L45)</f>
        <v>102.96000000000001</v>
      </c>
      <c r="M45" s="82">
        <f>SUM('Grants Need-Based'!CR45,'Grants Non Need-Based '!CR45,Other!M45)</f>
        <v>106.16000000000001</v>
      </c>
      <c r="N45" s="82">
        <f>SUM('Grants Need-Based'!CS45,'Grants Non Need-Based '!CS45,Other!N45)</f>
        <v>123.47</v>
      </c>
      <c r="O45" s="82">
        <f>SUM('Grants Need-Based'!CT45,'Grants Non Need-Based '!CT45,Other!O45)</f>
        <v>126.52376899999999</v>
      </c>
      <c r="P45" s="82">
        <f>SUM('Grants Need-Based'!CU45,'Grants Non Need-Based '!CU45,Other!P45)</f>
        <v>138.46099999999998</v>
      </c>
      <c r="Q45" s="82">
        <f>SUM('Grants Need-Based'!CV45,'Grants Non Need-Based '!CV45,Other!Q45)</f>
        <v>190.37799999999999</v>
      </c>
      <c r="R45" s="82">
        <f>SUM('Grants Need-Based'!CW45,'Grants Non Need-Based '!CW45,Other!R45)</f>
        <v>209.46600000000001</v>
      </c>
      <c r="S45" s="82">
        <f>SUM('Grants Need-Based'!CX45,'Grants Non Need-Based '!CX45,Other!S45)</f>
        <v>226.43099999999998</v>
      </c>
      <c r="T45" s="82">
        <f>SUM('Grants Need-Based'!CY45,'Grants Non Need-Based '!CY45,Other!T45)</f>
        <v>249.17000000000002</v>
      </c>
      <c r="U45" s="82">
        <f>SUM('Grants Need-Based'!CZ45,'Grants Non Need-Based '!CZ45,Other!U45)</f>
        <v>243.86900000000003</v>
      </c>
      <c r="V45" s="82">
        <f>SUM('Grants Need-Based'!DA45,'Grants Non Need-Based '!DA45,Other!V45)</f>
        <v>248.86799999999999</v>
      </c>
      <c r="W45" s="82">
        <f>SUM('Grants Need-Based'!DB45,'Grants Non Need-Based '!DB45,Other!W45)</f>
        <v>279.17899999999997</v>
      </c>
      <c r="X45" s="82">
        <f>SUM('Grants Need-Based'!DC45,'Grants Non Need-Based '!DC45,Other!X45)</f>
        <v>270.90317500000003</v>
      </c>
      <c r="Y45" s="82">
        <f>SUM('Grants Need-Based'!DD45,'Grants Non Need-Based '!DD45,Other!Y45)</f>
        <v>313.14499999999998</v>
      </c>
      <c r="Z45" s="82">
        <f>SUM('Grants Need-Based'!DE45,'Grants Non Need-Based '!DE45,Other!Z45)</f>
        <v>310.91200000000003</v>
      </c>
      <c r="AA45" s="82">
        <f>SUM('Grants Need-Based'!DF45,'Grants Non Need-Based '!DF45,Other!AA45)</f>
        <v>290.94600000000003</v>
      </c>
      <c r="AB45" s="82">
        <f>SUM('Grants Need-Based'!DG45,'Grants Non Need-Based '!DG45,Other!AB45)</f>
        <v>318.53699999999998</v>
      </c>
      <c r="AC45" s="82">
        <f>SUM('Grants Need-Based'!DH45,'Grants Non Need-Based '!DH45,Other!AC45)</f>
        <v>229.39300000000003</v>
      </c>
      <c r="AD45" s="82">
        <f>SUM('Grants Need-Based'!DI45,'Grants Non Need-Based '!DI45,Other!AD45)</f>
        <v>250.98599999999999</v>
      </c>
      <c r="AE45" s="82">
        <f>SUM('Grants Need-Based'!DJ45,'Grants Non Need-Based '!DJ45,Other!AE45)</f>
        <v>253.52</v>
      </c>
      <c r="AF45" s="82">
        <f>SUM('Grants Need-Based'!DK45,'Grants Non Need-Based '!DK45,Other!AF45)</f>
        <v>255.88</v>
      </c>
      <c r="AG45" s="82">
        <f>SUM('Grants Need-Based'!DL45,'Grants Non Need-Based '!DL45,Other!AG45)</f>
        <v>257.49099999999999</v>
      </c>
      <c r="AH45" s="82">
        <f>SUM('Grants Need-Based'!DM45,'Grants Non Need-Based '!DM45,Other!AH45)</f>
        <v>264.12365499999999</v>
      </c>
      <c r="AI45" s="82">
        <f>SUM('Grants Need-Based'!DN45,'Grants Non Need-Based '!DN45,Other!AI45)</f>
        <v>276.45992699999999</v>
      </c>
    </row>
    <row r="46" spans="1:35">
      <c r="A46" s="23" t="s">
        <v>75</v>
      </c>
      <c r="B46" s="82">
        <f>SUM('Grants Need-Based'!CG46,'Grants Non Need-Based '!CG46,Other!B46)</f>
        <v>8.7959999999999994</v>
      </c>
      <c r="C46" s="82">
        <f>SUM('Grants Need-Based'!CH46,'Grants Non Need-Based '!CH46,Other!C46)</f>
        <v>9.1449999999999996</v>
      </c>
      <c r="D46" s="82">
        <f>SUM('Grants Need-Based'!CI46,'Grants Non Need-Based '!CI46,Other!D46)</f>
        <v>9.6449999999999996</v>
      </c>
      <c r="E46" s="82">
        <f>SUM('Grants Need-Based'!CJ46,'Grants Non Need-Based '!CJ46,Other!E46)</f>
        <v>10.291</v>
      </c>
      <c r="F46" s="82">
        <f>SUM('Grants Need-Based'!CK46,'Grants Non Need-Based '!CK46,Other!F46)</f>
        <v>11.879000000000001</v>
      </c>
      <c r="G46" s="82">
        <f>SUM('Grants Need-Based'!CL46,'Grants Non Need-Based '!CL46,Other!G46)</f>
        <v>14.594999999999999</v>
      </c>
      <c r="H46" s="82">
        <f>SUM('Grants Need-Based'!CM46,'Grants Non Need-Based '!CM46,Other!H46)</f>
        <v>17.617000000000001</v>
      </c>
      <c r="I46" s="82">
        <f>SUM('Grants Need-Based'!CN46,'Grants Non Need-Based '!CN46,Other!I46)</f>
        <v>21.495000000000001</v>
      </c>
      <c r="J46" s="82">
        <f>SUM('Grants Need-Based'!CO46,'Grants Non Need-Based '!CO46,Other!J46)</f>
        <v>19.900000000000002</v>
      </c>
      <c r="K46" s="82">
        <f>SUM('Grants Need-Based'!CP46,'Grants Non Need-Based '!CP46,Other!K46)</f>
        <v>21.615999999999996</v>
      </c>
      <c r="L46" s="82">
        <f>SUM('Grants Need-Based'!CQ46,'Grants Non Need-Based '!CQ46,Other!L46)</f>
        <v>22.125</v>
      </c>
      <c r="M46" s="82">
        <f>SUM('Grants Need-Based'!CR46,'Grants Non Need-Based '!CR46,Other!M46)</f>
        <v>23.481494999999999</v>
      </c>
      <c r="N46" s="82">
        <f>SUM('Grants Need-Based'!CS46,'Grants Non Need-Based '!CS46,Other!N46)</f>
        <v>70.264000000000024</v>
      </c>
      <c r="O46" s="82">
        <f>SUM('Grants Need-Based'!CT46,'Grants Non Need-Based '!CT46,Other!O46)</f>
        <v>77.966832000000011</v>
      </c>
      <c r="P46" s="82">
        <f>SUM('Grants Need-Based'!CU46,'Grants Non Need-Based '!CU46,Other!P46)</f>
        <v>78.819989999999962</v>
      </c>
      <c r="Q46" s="82">
        <f>SUM('Grants Need-Based'!CV46,'Grants Non Need-Based '!CV46,Other!Q46)</f>
        <v>91.074999999999989</v>
      </c>
      <c r="R46" s="82">
        <f>SUM('Grants Need-Based'!CW46,'Grants Non Need-Based '!CW46,Other!R46)</f>
        <v>100.26400000000001</v>
      </c>
      <c r="S46" s="82">
        <f>SUM('Grants Need-Based'!CX46,'Grants Non Need-Based '!CX46,Other!S46)</f>
        <v>51.567999999999998</v>
      </c>
      <c r="T46" s="82">
        <f>SUM('Grants Need-Based'!CY46,'Grants Non Need-Based '!CY46,Other!T46)</f>
        <v>62.412999999999997</v>
      </c>
      <c r="U46" s="82">
        <f>SUM('Grants Need-Based'!CZ46,'Grants Non Need-Based '!CZ46,Other!U46)</f>
        <v>62.772999999999996</v>
      </c>
      <c r="V46" s="82">
        <f>SUM('Grants Need-Based'!DA46,'Grants Non Need-Based '!DA46,Other!V46)</f>
        <v>54.12700000000001</v>
      </c>
      <c r="W46" s="82">
        <f>SUM('Grants Need-Based'!DB46,'Grants Non Need-Based '!DB46,Other!W46)</f>
        <v>68.429999999999993</v>
      </c>
      <c r="X46" s="82">
        <f>SUM('Grants Need-Based'!DC46,'Grants Non Need-Based '!DC46,Other!X46)</f>
        <v>70.274841000000009</v>
      </c>
      <c r="Y46" s="82">
        <f>SUM('Grants Need-Based'!DD46,'Grants Non Need-Based '!DD46,Other!Y46)</f>
        <v>71.154000000000011</v>
      </c>
      <c r="Z46" s="82">
        <f>SUM('Grants Need-Based'!DE46,'Grants Non Need-Based '!DE46,Other!Z46)</f>
        <v>120.97499999999998</v>
      </c>
      <c r="AA46" s="82">
        <f>SUM('Grants Need-Based'!DF46,'Grants Non Need-Based '!DF46,Other!AA46)</f>
        <v>140.57500000000002</v>
      </c>
      <c r="AB46" s="82">
        <f>SUM('Grants Need-Based'!DG46,'Grants Non Need-Based '!DG46,Other!AB46)</f>
        <v>135.732</v>
      </c>
      <c r="AC46" s="82">
        <f>SUM('Grants Need-Based'!DH46,'Grants Non Need-Based '!DH46,Other!AC46)</f>
        <v>103.381</v>
      </c>
      <c r="AD46" s="82">
        <f>SUM('Grants Need-Based'!DI46,'Grants Non Need-Based '!DI46,Other!AD46)</f>
        <v>110.05199999999999</v>
      </c>
      <c r="AE46" s="82">
        <f>SUM('Grants Need-Based'!DJ46,'Grants Non Need-Based '!DJ46,Other!AE46)</f>
        <v>104.261</v>
      </c>
      <c r="AF46" s="82">
        <f>SUM('Grants Need-Based'!DK46,'Grants Non Need-Based '!DK46,Other!AF46)</f>
        <v>107.414</v>
      </c>
      <c r="AG46" s="82">
        <f>SUM('Grants Need-Based'!DL46,'Grants Non Need-Based '!DL46,Other!AG46)</f>
        <v>111.342</v>
      </c>
      <c r="AH46" s="82">
        <f>SUM('Grants Need-Based'!DM46,'Grants Non Need-Based '!DM46,Other!AH46)</f>
        <v>119.94782499999999</v>
      </c>
      <c r="AI46" s="82">
        <f>SUM('Grants Need-Based'!DN46,'Grants Non Need-Based '!DN46,Other!AI46)</f>
        <v>129.622525</v>
      </c>
    </row>
    <row r="47" spans="1:35">
      <c r="A47" s="23" t="s">
        <v>76</v>
      </c>
      <c r="B47" s="82">
        <f>SUM('Grants Need-Based'!CG47,'Grants Non Need-Based '!CG47,Other!B47)</f>
        <v>0.86</v>
      </c>
      <c r="C47" s="82">
        <f>SUM('Grants Need-Based'!CH47,'Grants Non Need-Based '!CH47,Other!C47)</f>
        <v>1.089</v>
      </c>
      <c r="D47" s="82">
        <f>SUM('Grants Need-Based'!CI47,'Grants Non Need-Based '!CI47,Other!D47)</f>
        <v>1.089</v>
      </c>
      <c r="E47" s="82">
        <f>SUM('Grants Need-Based'!CJ47,'Grants Non Need-Based '!CJ47,Other!E47)</f>
        <v>1.093</v>
      </c>
      <c r="F47" s="82">
        <f>SUM('Grants Need-Based'!CK47,'Grants Non Need-Based '!CK47,Other!F47)</f>
        <v>1.089</v>
      </c>
      <c r="G47" s="82">
        <f>SUM('Grants Need-Based'!CL47,'Grants Non Need-Based '!CL47,Other!G47)</f>
        <v>1.7929999999999999</v>
      </c>
      <c r="H47" s="82">
        <f>SUM('Grants Need-Based'!CM47,'Grants Non Need-Based '!CM47,Other!H47)</f>
        <v>2.0369999999999999</v>
      </c>
      <c r="I47" s="82">
        <f>SUM('Grants Need-Based'!CN47,'Grants Non Need-Based '!CN47,Other!I47)</f>
        <v>2.1960000000000002</v>
      </c>
      <c r="J47" s="82">
        <f>SUM('Grants Need-Based'!CO47,'Grants Non Need-Based '!CO47,Other!J47)</f>
        <v>2.3519999999999999</v>
      </c>
      <c r="K47" s="82">
        <f>SUM('Grants Need-Based'!CP47,'Grants Non Need-Based '!CP47,Other!K47)</f>
        <v>2.613</v>
      </c>
      <c r="L47" s="82">
        <f>SUM('Grants Need-Based'!CQ47,'Grants Non Need-Based '!CQ47,Other!L47)</f>
        <v>2.6859999999999999</v>
      </c>
      <c r="M47" s="82">
        <f>SUM('Grants Need-Based'!CR47,'Grants Non Need-Based '!CR47,Other!M47)</f>
        <v>2.726</v>
      </c>
      <c r="N47" s="82">
        <f>SUM('Grants Need-Based'!CS47,'Grants Non Need-Based '!CS47,Other!N47)</f>
        <v>20.318000000000001</v>
      </c>
      <c r="O47" s="82">
        <f>SUM('Grants Need-Based'!CT47,'Grants Non Need-Based '!CT47,Other!O47)</f>
        <v>4.4452239999999996</v>
      </c>
      <c r="P47" s="82">
        <f>SUM('Grants Need-Based'!CU47,'Grants Non Need-Based '!CU47,Other!P47)</f>
        <v>26.996000000000002</v>
      </c>
      <c r="Q47" s="82">
        <f>SUM('Grants Need-Based'!CV47,'Grants Non Need-Based '!CV47,Other!Q47)</f>
        <v>19.877000000000002</v>
      </c>
      <c r="R47" s="82">
        <f>SUM('Grants Need-Based'!CW47,'Grants Non Need-Based '!CW47,Other!R47)</f>
        <v>20.262</v>
      </c>
      <c r="S47" s="82">
        <f>SUM('Grants Need-Based'!CX47,'Grants Non Need-Based '!CX47,Other!S47)</f>
        <v>19.914999999999999</v>
      </c>
      <c r="T47" s="82">
        <f>SUM('Grants Need-Based'!CY47,'Grants Non Need-Based '!CY47,Other!T47)</f>
        <v>44.384</v>
      </c>
      <c r="U47" s="82">
        <f>SUM('Grants Need-Based'!CZ47,'Grants Non Need-Based '!CZ47,Other!U47)</f>
        <v>39.635999999999996</v>
      </c>
      <c r="V47" s="82">
        <f>SUM('Grants Need-Based'!DA47,'Grants Non Need-Based '!DA47,Other!V47)</f>
        <v>63.796999999999997</v>
      </c>
      <c r="W47" s="82">
        <f>SUM('Grants Need-Based'!DB47,'Grants Non Need-Based '!DB47,Other!W47)</f>
        <v>89.960999999999999</v>
      </c>
      <c r="X47" s="82">
        <f>SUM('Grants Need-Based'!DC47,'Grants Non Need-Based '!DC47,Other!X47)</f>
        <v>79.786301000000009</v>
      </c>
      <c r="Y47" s="82">
        <f>SUM('Grants Need-Based'!DD47,'Grants Non Need-Based '!DD47,Other!Y47)</f>
        <v>85.335000000000008</v>
      </c>
      <c r="Z47" s="82">
        <f>SUM('Grants Need-Based'!DE47,'Grants Non Need-Based '!DE47,Other!Z47)</f>
        <v>117.732</v>
      </c>
      <c r="AA47" s="82">
        <f>SUM('Grants Need-Based'!DF47,'Grants Non Need-Based '!DF47,Other!AA47)</f>
        <v>121.232</v>
      </c>
      <c r="AB47" s="82">
        <f>SUM('Grants Need-Based'!DG47,'Grants Non Need-Based '!DG47,Other!AB47)</f>
        <v>133.62899999999999</v>
      </c>
      <c r="AC47" s="82">
        <f>SUM('Grants Need-Based'!DH47,'Grants Non Need-Based '!DH47,Other!AC47)</f>
        <v>145.53800000000001</v>
      </c>
      <c r="AD47" s="82">
        <f>SUM('Grants Need-Based'!DI47,'Grants Non Need-Based '!DI47,Other!AD47)</f>
        <v>131.624</v>
      </c>
      <c r="AE47" s="82">
        <f>SUM('Grants Need-Based'!DJ47,'Grants Non Need-Based '!DJ47,Other!AE47)</f>
        <v>125.86199999999999</v>
      </c>
      <c r="AF47" s="82">
        <f>SUM('Grants Need-Based'!DK47,'Grants Non Need-Based '!DK47,Other!AF47)</f>
        <v>125.06100000000001</v>
      </c>
      <c r="AG47" s="82">
        <f>SUM('Grants Need-Based'!DL47,'Grants Non Need-Based '!DL47,Other!AG47)</f>
        <v>149.89699999999999</v>
      </c>
      <c r="AH47" s="82">
        <f>SUM('Grants Need-Based'!DM47,'Grants Non Need-Based '!DM47,Other!AH47)</f>
        <v>150.65450799999999</v>
      </c>
      <c r="AI47" s="82">
        <f>SUM('Grants Need-Based'!DN47,'Grants Non Need-Based '!DN47,Other!AI47)</f>
        <v>161.63707700000001</v>
      </c>
    </row>
    <row r="48" spans="1:35">
      <c r="A48" s="23" t="s">
        <v>77</v>
      </c>
      <c r="B48" s="82">
        <f>SUM('Grants Need-Based'!CG48,'Grants Non Need-Based '!CG48,Other!B48)</f>
        <v>0.83500000000000008</v>
      </c>
      <c r="C48" s="82">
        <f>SUM('Grants Need-Based'!CH48,'Grants Non Need-Based '!CH48,Other!C48)</f>
        <v>0.84</v>
      </c>
      <c r="D48" s="82">
        <f>SUM('Grants Need-Based'!CI48,'Grants Non Need-Based '!CI48,Other!D48)</f>
        <v>0.89</v>
      </c>
      <c r="E48" s="82">
        <f>SUM('Grants Need-Based'!CJ48,'Grants Non Need-Based '!CJ48,Other!E48)</f>
        <v>0.748</v>
      </c>
      <c r="F48" s="82">
        <f>SUM('Grants Need-Based'!CK48,'Grants Non Need-Based '!CK48,Other!F48)</f>
        <v>0.59000000000000008</v>
      </c>
      <c r="G48" s="82">
        <f>SUM('Grants Need-Based'!CL48,'Grants Non Need-Based '!CL48,Other!G48)</f>
        <v>1.1179999999999999</v>
      </c>
      <c r="H48" s="82">
        <f>SUM('Grants Need-Based'!CM48,'Grants Non Need-Based '!CM48,Other!H48)</f>
        <v>1.6220000000000001</v>
      </c>
      <c r="I48" s="82">
        <f>SUM('Grants Need-Based'!CN48,'Grants Non Need-Based '!CN48,Other!I48)</f>
        <v>1.492</v>
      </c>
      <c r="J48" s="82">
        <f>SUM('Grants Need-Based'!CO48,'Grants Non Need-Based '!CO48,Other!J48)</f>
        <v>1.9240000000000002</v>
      </c>
      <c r="K48" s="82">
        <f>SUM('Grants Need-Based'!CP48,'Grants Non Need-Based '!CP48,Other!K48)</f>
        <v>2.4590000000000001</v>
      </c>
      <c r="L48" s="82">
        <f>SUM('Grants Need-Based'!CQ48,'Grants Non Need-Based '!CQ48,Other!L48)</f>
        <v>3.1859999999999999</v>
      </c>
      <c r="M48" s="82">
        <f>SUM('Grants Need-Based'!CR48,'Grants Non Need-Based '!CR48,Other!M48)</f>
        <v>2.3119999999999998</v>
      </c>
      <c r="N48" s="82">
        <f>SUM('Grants Need-Based'!CS48,'Grants Non Need-Based '!CS48,Other!N48)</f>
        <v>2.1869999999999998</v>
      </c>
      <c r="O48" s="82">
        <f>SUM('Grants Need-Based'!CT48,'Grants Non Need-Based '!CT48,Other!O48)</f>
        <v>2.4539999999999997</v>
      </c>
      <c r="P48" s="82">
        <f>SUM('Grants Need-Based'!CU48,'Grants Non Need-Based '!CU48,Other!P48)</f>
        <v>2.3729999999999998</v>
      </c>
      <c r="Q48" s="82">
        <f>SUM('Grants Need-Based'!CV48,'Grants Non Need-Based '!CV48,Other!Q48)</f>
        <v>2.3220000000000001</v>
      </c>
      <c r="R48" s="82">
        <f>SUM('Grants Need-Based'!CW48,'Grants Non Need-Based '!CW48,Other!R48)</f>
        <v>2.431</v>
      </c>
      <c r="S48" s="82">
        <f>SUM('Grants Need-Based'!CX48,'Grants Non Need-Based '!CX48,Other!S48)</f>
        <v>11.625</v>
      </c>
      <c r="T48" s="82">
        <f>SUM('Grants Need-Based'!CY48,'Grants Non Need-Based '!CY48,Other!T48)</f>
        <v>24.343999999999998</v>
      </c>
      <c r="U48" s="82">
        <f>SUM('Grants Need-Based'!CZ48,'Grants Non Need-Based '!CZ48,Other!U48)</f>
        <v>2.0110000000000001</v>
      </c>
      <c r="V48" s="82">
        <f>SUM('Grants Need-Based'!DA48,'Grants Non Need-Based '!DA48,Other!V48)</f>
        <v>2.0369999999999999</v>
      </c>
      <c r="W48" s="82">
        <f>SUM('Grants Need-Based'!DB48,'Grants Non Need-Based '!DB48,Other!W48)</f>
        <v>2.1470000000000002</v>
      </c>
      <c r="X48" s="82">
        <f>SUM('Grants Need-Based'!DC48,'Grants Non Need-Based '!DC48,Other!X48)</f>
        <v>2.347731</v>
      </c>
      <c r="Y48" s="82">
        <f>SUM('Grants Need-Based'!DD48,'Grants Non Need-Based '!DD48,Other!Y48)</f>
        <v>2.6890000000000001</v>
      </c>
      <c r="Z48" s="82">
        <f>SUM('Grants Need-Based'!DE48,'Grants Non Need-Based '!DE48,Other!Z48)</f>
        <v>4.4480000000000004</v>
      </c>
      <c r="AA48" s="82">
        <f>SUM('Grants Need-Based'!DF48,'Grants Non Need-Based '!DF48,Other!AA48)</f>
        <v>4.37</v>
      </c>
      <c r="AB48" s="82">
        <f>SUM('Grants Need-Based'!DG48,'Grants Non Need-Based '!DG48,Other!AB48)</f>
        <v>10.731</v>
      </c>
      <c r="AC48" s="82">
        <f>SUM('Grants Need-Based'!DH48,'Grants Non Need-Based '!DH48,Other!AC48)</f>
        <v>13.554</v>
      </c>
      <c r="AD48" s="82">
        <f>SUM('Grants Need-Based'!DI48,'Grants Non Need-Based '!DI48,Other!AD48)</f>
        <v>15.147</v>
      </c>
      <c r="AE48" s="82">
        <f>SUM('Grants Need-Based'!DJ48,'Grants Non Need-Based '!DJ48,Other!AE48)</f>
        <v>19.640999999999998</v>
      </c>
      <c r="AF48" s="82">
        <f>SUM('Grants Need-Based'!DK48,'Grants Non Need-Based '!DK48,Other!AF48)</f>
        <v>19.891000000000002</v>
      </c>
      <c r="AG48" s="82">
        <f>SUM('Grants Need-Based'!DL48,'Grants Non Need-Based '!DL48,Other!AG48)</f>
        <v>19.483999999999998</v>
      </c>
      <c r="AH48" s="82">
        <f>SUM('Grants Need-Based'!DM48,'Grants Non Need-Based '!DM48,Other!AH48)</f>
        <v>22.234714</v>
      </c>
      <c r="AI48" s="82">
        <f>SUM('Grants Need-Based'!DN48,'Grants Non Need-Based '!DN48,Other!AI48)</f>
        <v>22.138928000000003</v>
      </c>
    </row>
    <row r="49" spans="1:35">
      <c r="A49" s="23" t="s">
        <v>78</v>
      </c>
      <c r="B49" s="82">
        <f>SUM('Grants Need-Based'!CG49,'Grants Non Need-Based '!CG49,Other!B49)</f>
        <v>45.25</v>
      </c>
      <c r="C49" s="82">
        <f>SUM('Grants Need-Based'!CH49,'Grants Non Need-Based '!CH49,Other!C49)</f>
        <v>55.498999999999995</v>
      </c>
      <c r="D49" s="82">
        <f>SUM('Grants Need-Based'!CI49,'Grants Non Need-Based '!CI49,Other!D49)</f>
        <v>59.430999999999997</v>
      </c>
      <c r="E49" s="82">
        <f>SUM('Grants Need-Based'!CJ49,'Grants Non Need-Based '!CJ49,Other!E49)</f>
        <v>72.847000000000008</v>
      </c>
      <c r="F49" s="82">
        <f>SUM('Grants Need-Based'!CK49,'Grants Non Need-Based '!CK49,Other!F49)</f>
        <v>70.241</v>
      </c>
      <c r="G49" s="82">
        <f>SUM('Grants Need-Based'!CL49,'Grants Non Need-Based '!CL49,Other!G49)</f>
        <v>72.861999999999995</v>
      </c>
      <c r="H49" s="82">
        <f>SUM('Grants Need-Based'!CM49,'Grants Non Need-Based '!CM49,Other!H49)</f>
        <v>76.683000000000007</v>
      </c>
      <c r="I49" s="82">
        <f>SUM('Grants Need-Based'!CN49,'Grants Non Need-Based '!CN49,Other!I49)</f>
        <v>80.040999999999997</v>
      </c>
      <c r="J49" s="82">
        <f>SUM('Grants Need-Based'!CO49,'Grants Non Need-Based '!CO49,Other!J49)</f>
        <v>85.668000000000006</v>
      </c>
      <c r="K49" s="82">
        <f>SUM('Grants Need-Based'!CP49,'Grants Non Need-Based '!CP49,Other!K49)</f>
        <v>94.131</v>
      </c>
      <c r="L49" s="82">
        <f>SUM('Grants Need-Based'!CQ49,'Grants Non Need-Based '!CQ49,Other!L49)</f>
        <v>110.89099999999999</v>
      </c>
      <c r="M49" s="82">
        <f>SUM('Grants Need-Based'!CR49,'Grants Non Need-Based '!CR49,Other!M49)</f>
        <v>126.63935299999999</v>
      </c>
      <c r="N49" s="82">
        <f>SUM('Grants Need-Based'!CS49,'Grants Non Need-Based '!CS49,Other!N49)</f>
        <v>124.80705300000001</v>
      </c>
      <c r="O49" s="82">
        <f>SUM('Grants Need-Based'!CT49,'Grants Non Need-Based '!CT49,Other!O49)</f>
        <v>132.62177799999998</v>
      </c>
      <c r="P49" s="82">
        <f>SUM('Grants Need-Based'!CU49,'Grants Non Need-Based '!CU49,Other!P49)</f>
        <v>143.81199999999998</v>
      </c>
      <c r="Q49" s="82">
        <f>SUM('Grants Need-Based'!CV49,'Grants Non Need-Based '!CV49,Other!Q49)</f>
        <v>149.32300000000001</v>
      </c>
      <c r="R49" s="82">
        <f>SUM('Grants Need-Based'!CW49,'Grants Non Need-Based '!CW49,Other!R49)</f>
        <v>171.89339999999999</v>
      </c>
      <c r="S49" s="82">
        <f>SUM('Grants Need-Based'!CX49,'Grants Non Need-Based '!CX49,Other!S49)</f>
        <v>195.124</v>
      </c>
      <c r="T49" s="82">
        <f>SUM('Grants Need-Based'!CY49,'Grants Non Need-Based '!CY49,Other!T49)</f>
        <v>206.98000000000002</v>
      </c>
      <c r="U49" s="82">
        <f>SUM('Grants Need-Based'!CZ49,'Grants Non Need-Based '!CZ49,Other!U49)</f>
        <v>211.74600000000001</v>
      </c>
      <c r="V49" s="82">
        <f>SUM('Grants Need-Based'!DA49,'Grants Non Need-Based '!DA49,Other!V49)</f>
        <v>201.95399999999998</v>
      </c>
      <c r="W49" s="82">
        <f>SUM('Grants Need-Based'!DB49,'Grants Non Need-Based '!DB49,Other!W49)</f>
        <v>240</v>
      </c>
      <c r="X49" s="82">
        <f>SUM('Grants Need-Based'!DC49,'Grants Non Need-Based '!DC49,Other!X49)</f>
        <v>222.34414100000001</v>
      </c>
      <c r="Y49" s="82">
        <f>SUM('Grants Need-Based'!DD49,'Grants Non Need-Based '!DD49,Other!Y49)</f>
        <v>256.50100000000003</v>
      </c>
      <c r="Z49" s="82">
        <f>SUM('Grants Need-Based'!DE49,'Grants Non Need-Based '!DE49,Other!Z49)</f>
        <v>256.024</v>
      </c>
      <c r="AA49" s="82">
        <f>SUM('Grants Need-Based'!DF49,'Grants Non Need-Based '!DF49,Other!AA49)</f>
        <v>284.74600000000004</v>
      </c>
      <c r="AB49" s="82">
        <f>SUM('Grants Need-Based'!DG49,'Grants Non Need-Based '!DG49,Other!AB49)</f>
        <v>109.02600000000001</v>
      </c>
      <c r="AC49" s="82">
        <f>SUM('Grants Need-Based'!DH49,'Grants Non Need-Based '!DH49,Other!AC49)</f>
        <v>110.39999999999999</v>
      </c>
      <c r="AD49" s="82">
        <f>SUM('Grants Need-Based'!DI49,'Grants Non Need-Based '!DI49,Other!AD49)</f>
        <v>109.42899999999999</v>
      </c>
      <c r="AE49" s="82">
        <f>SUM('Grants Need-Based'!DJ49,'Grants Non Need-Based '!DJ49,Other!AE49)</f>
        <v>122.065</v>
      </c>
      <c r="AF49" s="82">
        <f>SUM('Grants Need-Based'!DK49,'Grants Non Need-Based '!DK49,Other!AF49)</f>
        <v>120.196</v>
      </c>
      <c r="AG49" s="82">
        <f>SUM('Grants Need-Based'!DL49,'Grants Non Need-Based '!DL49,Other!AG49)</f>
        <v>127.928</v>
      </c>
      <c r="AH49" s="82">
        <f>SUM('Grants Need-Based'!DM49,'Grants Non Need-Based '!DM49,Other!AH49)</f>
        <v>131.87222200000002</v>
      </c>
      <c r="AI49" s="82">
        <f>SUM('Grants Need-Based'!DN49,'Grants Non Need-Based '!DN49,Other!AI49)</f>
        <v>132.58004399999999</v>
      </c>
    </row>
    <row r="50" spans="1:35">
      <c r="A50" s="23" t="s">
        <v>79</v>
      </c>
      <c r="B50" s="82">
        <f>SUM('Grants Need-Based'!CG50,'Grants Non Need-Based '!CG50,Other!B50)</f>
        <v>0.27</v>
      </c>
      <c r="C50" s="82">
        <f>SUM('Grants Need-Based'!CH50,'Grants Non Need-Based '!CH50,Other!C50)</f>
        <v>0.53100000000000003</v>
      </c>
      <c r="D50" s="82">
        <f>SUM('Grants Need-Based'!CI50,'Grants Non Need-Based '!CI50,Other!D50)</f>
        <v>0.67600000000000005</v>
      </c>
      <c r="E50" s="82">
        <f>SUM('Grants Need-Based'!CJ50,'Grants Non Need-Based '!CJ50,Other!E50)</f>
        <v>0.62</v>
      </c>
      <c r="F50" s="82">
        <f>SUM('Grants Need-Based'!CK50,'Grants Non Need-Based '!CK50,Other!F50)</f>
        <v>0.67099999999999993</v>
      </c>
      <c r="G50" s="82">
        <f>SUM('Grants Need-Based'!CL50,'Grants Non Need-Based '!CL50,Other!G50)</f>
        <v>0.59599999999999997</v>
      </c>
      <c r="H50" s="82">
        <f>SUM('Grants Need-Based'!CM50,'Grants Non Need-Based '!CM50,Other!H50)</f>
        <v>0.59399999999999997</v>
      </c>
      <c r="I50" s="82">
        <f>SUM('Grants Need-Based'!CN50,'Grants Non Need-Based '!CN50,Other!I50)</f>
        <v>0.55800000000000005</v>
      </c>
      <c r="J50" s="82">
        <f>SUM('Grants Need-Based'!CO50,'Grants Non Need-Based '!CO50,Other!J50)</f>
        <v>0.56999999999999995</v>
      </c>
      <c r="K50" s="82">
        <f>SUM('Grants Need-Based'!CP50,'Grants Non Need-Based '!CP50,Other!K50)</f>
        <v>0.67699999999999994</v>
      </c>
      <c r="L50" s="82">
        <f>SUM('Grants Need-Based'!CQ50,'Grants Non Need-Based '!CQ50,Other!L50)</f>
        <v>0.72499999999999987</v>
      </c>
      <c r="M50" s="82">
        <f>SUM('Grants Need-Based'!CR50,'Grants Non Need-Based '!CR50,Other!M50)</f>
        <v>0.80253299999999994</v>
      </c>
      <c r="N50" s="82">
        <f>SUM('Grants Need-Based'!CS50,'Grants Non Need-Based '!CS50,Other!N50)</f>
        <v>0.72400000000000009</v>
      </c>
      <c r="O50" s="82">
        <f>SUM('Grants Need-Based'!CT50,'Grants Non Need-Based '!CT50,Other!O50)</f>
        <v>0.43792199999999998</v>
      </c>
      <c r="P50" s="82">
        <f>SUM('Grants Need-Based'!CU50,'Grants Non Need-Based '!CU50,Other!P50)</f>
        <v>9.0999999999999998E-2</v>
      </c>
      <c r="Q50" s="82">
        <f>SUM('Grants Need-Based'!CV50,'Grants Non Need-Based '!CV50,Other!Q50)</f>
        <v>0.12</v>
      </c>
      <c r="R50" s="82">
        <f>SUM('Grants Need-Based'!CW50,'Grants Non Need-Based '!CW50,Other!R50)</f>
        <v>0.123</v>
      </c>
      <c r="S50" s="82">
        <f>SUM('Grants Need-Based'!CX50,'Grants Non Need-Based '!CX50,Other!S50)</f>
        <v>0.12</v>
      </c>
      <c r="T50" s="82">
        <f>SUM('Grants Need-Based'!CY50,'Grants Non Need-Based '!CY50,Other!T50)</f>
        <v>0.105</v>
      </c>
      <c r="U50" s="82">
        <f>SUM('Grants Need-Based'!CZ50,'Grants Non Need-Based '!CZ50,Other!U50)</f>
        <v>0</v>
      </c>
      <c r="V50" s="82">
        <f>SUM('Grants Need-Based'!DA50,'Grants Non Need-Based '!DA50,Other!V50)</f>
        <v>0</v>
      </c>
      <c r="W50" s="82">
        <f>SUM('Grants Need-Based'!DB50,'Grants Non Need-Based '!DB50,Other!W50)</f>
        <v>0</v>
      </c>
      <c r="X50" s="82">
        <f>SUM('Grants Need-Based'!DC50,'Grants Non Need-Based '!DC50,Other!X50)</f>
        <v>3.3673510000000002</v>
      </c>
      <c r="Y50" s="82">
        <f>SUM('Grants Need-Based'!DD50,'Grants Non Need-Based '!DD50,Other!Y50)</f>
        <v>2.6190000000000002</v>
      </c>
      <c r="Z50" s="82">
        <f>SUM('Grants Need-Based'!DE50,'Grants Non Need-Based '!DE50,Other!Z50)</f>
        <v>2.8529999999999998</v>
      </c>
      <c r="AA50" s="82">
        <f>SUM('Grants Need-Based'!DF50,'Grants Non Need-Based '!DF50,Other!AA50)</f>
        <v>4.0979999999999999</v>
      </c>
      <c r="AB50" s="82">
        <f>SUM('Grants Need-Based'!DG50,'Grants Non Need-Based '!DG50,Other!AB50)</f>
        <v>4.3199999999999994</v>
      </c>
      <c r="AC50" s="82">
        <f>SUM('Grants Need-Based'!DH50,'Grants Non Need-Based '!DH50,Other!AC50)</f>
        <v>4.8680000000000003</v>
      </c>
      <c r="AD50" s="82">
        <f>SUM('Grants Need-Based'!DI50,'Grants Non Need-Based '!DI50,Other!AD50)</f>
        <v>4.569</v>
      </c>
      <c r="AE50" s="82">
        <f>SUM('Grants Need-Based'!DJ50,'Grants Non Need-Based '!DJ50,Other!AE50)</f>
        <v>4.8840000000000003</v>
      </c>
      <c r="AF50" s="82">
        <f>SUM('Grants Need-Based'!DK50,'Grants Non Need-Based '!DK50,Other!AF50)</f>
        <v>5.2729999999999997</v>
      </c>
      <c r="AG50" s="82">
        <f>SUM('Grants Need-Based'!DL50,'Grants Non Need-Based '!DL50,Other!AG50)</f>
        <v>5.4430000000000005</v>
      </c>
      <c r="AH50" s="82">
        <f>SUM('Grants Need-Based'!DM50,'Grants Non Need-Based '!DM50,Other!AH50)</f>
        <v>5.5203369999999996</v>
      </c>
      <c r="AI50" s="82">
        <f>SUM('Grants Need-Based'!DN50,'Grants Non Need-Based '!DN50,Other!AI50)</f>
        <v>6.1339679999999994</v>
      </c>
    </row>
    <row r="51" spans="1:35">
      <c r="A51" s="32" t="s">
        <v>80</v>
      </c>
      <c r="B51" s="81">
        <f>SUM('Grants Need-Based'!CG51,'Grants Non Need-Based '!CG51,Other!B51)</f>
        <v>23.532</v>
      </c>
      <c r="C51" s="81">
        <f>SUM('Grants Need-Based'!CH51,'Grants Non Need-Based '!CH51,Other!C51)</f>
        <v>25.239000000000001</v>
      </c>
      <c r="D51" s="81">
        <f>SUM('Grants Need-Based'!CI51,'Grants Non Need-Based '!CI51,Other!D51)</f>
        <v>28.24</v>
      </c>
      <c r="E51" s="81">
        <f>SUM('Grants Need-Based'!CJ51,'Grants Non Need-Based '!CJ51,Other!E51)</f>
        <v>32.408000000000001</v>
      </c>
      <c r="F51" s="81">
        <f>SUM('Grants Need-Based'!CK51,'Grants Non Need-Based '!CK51,Other!F51)</f>
        <v>36.411999999999999</v>
      </c>
      <c r="G51" s="81">
        <f>SUM('Grants Need-Based'!CL51,'Grants Non Need-Based '!CL51,Other!G51)</f>
        <v>38.061</v>
      </c>
      <c r="H51" s="81">
        <f>SUM('Grants Need-Based'!CM51,'Grants Non Need-Based '!CM51,Other!H51)</f>
        <v>41.059999999999995</v>
      </c>
      <c r="I51" s="81">
        <f>SUM('Grants Need-Based'!CN51,'Grants Non Need-Based '!CN51,Other!I51)</f>
        <v>44.756999999999998</v>
      </c>
      <c r="J51" s="81">
        <f>SUM('Grants Need-Based'!CO51,'Grants Non Need-Based '!CO51,Other!J51)</f>
        <v>45.722000000000001</v>
      </c>
      <c r="K51" s="81">
        <f>SUM('Grants Need-Based'!CP51,'Grants Non Need-Based '!CP51,Other!K51)</f>
        <v>47.94400000000001</v>
      </c>
      <c r="L51" s="81">
        <f>SUM('Grants Need-Based'!CQ51,'Grants Non Need-Based '!CQ51,Other!L51)</f>
        <v>51.063000000000002</v>
      </c>
      <c r="M51" s="81">
        <f>SUM('Grants Need-Based'!CR51,'Grants Non Need-Based '!CR51,Other!M51)</f>
        <v>61.603766</v>
      </c>
      <c r="N51" s="81">
        <f>SUM('Grants Need-Based'!CS51,'Grants Non Need-Based '!CS51,Other!N51)</f>
        <v>58.478000000000002</v>
      </c>
      <c r="O51" s="81">
        <f>SUM('Grants Need-Based'!CT51,'Grants Non Need-Based '!CT51,Other!O51)</f>
        <v>60.806722999999998</v>
      </c>
      <c r="P51" s="81">
        <f>SUM('Grants Need-Based'!CU51,'Grants Non Need-Based '!CU51,Other!P51)</f>
        <v>62.432499999999997</v>
      </c>
      <c r="Q51" s="81">
        <f>SUM('Grants Need-Based'!CV51,'Grants Non Need-Based '!CV51,Other!Q51)</f>
        <v>65.842500000000001</v>
      </c>
      <c r="R51" s="81">
        <f>SUM('Grants Need-Based'!CW51,'Grants Non Need-Based '!CW51,Other!R51)</f>
        <v>63.922400000000003</v>
      </c>
      <c r="S51" s="81">
        <f>SUM('Grants Need-Based'!CX51,'Grants Non Need-Based '!CX51,Other!S51)</f>
        <v>80.156999999999996</v>
      </c>
      <c r="T51" s="81">
        <f>SUM('Grants Need-Based'!CY51,'Grants Non Need-Based '!CY51,Other!T51)</f>
        <v>77.281000000000006</v>
      </c>
      <c r="U51" s="81">
        <f>SUM('Grants Need-Based'!CZ51,'Grants Non Need-Based '!CZ51,Other!U51)</f>
        <v>79.787999999999982</v>
      </c>
      <c r="V51" s="81">
        <f>SUM('Grants Need-Based'!DA51,'Grants Non Need-Based '!DA51,Other!V51)</f>
        <v>86.042000000000002</v>
      </c>
      <c r="W51" s="81">
        <f>SUM('Grants Need-Based'!DB51,'Grants Non Need-Based '!DB51,Other!W51)</f>
        <v>89.899000000000001</v>
      </c>
      <c r="X51" s="81">
        <f>SUM('Grants Need-Based'!DC51,'Grants Non Need-Based '!DC51,Other!X51)</f>
        <v>101.40653099999999</v>
      </c>
      <c r="Y51" s="81">
        <f>SUM('Grants Need-Based'!DD51,'Grants Non Need-Based '!DD51,Other!Y51)</f>
        <v>101.51100000000001</v>
      </c>
      <c r="Z51" s="81">
        <f>SUM('Grants Need-Based'!DE51,'Grants Non Need-Based '!DE51,Other!Z51)</f>
        <v>110.26</v>
      </c>
      <c r="AA51" s="81">
        <f>SUM('Grants Need-Based'!DF51,'Grants Non Need-Based '!DF51,Other!AA51)</f>
        <v>118.57</v>
      </c>
      <c r="AB51" s="81">
        <f>SUM('Grants Need-Based'!DG51,'Grants Non Need-Based '!DG51,Other!AB51)</f>
        <v>114.40600000000001</v>
      </c>
      <c r="AC51" s="81">
        <f>SUM('Grants Need-Based'!DH51,'Grants Non Need-Based '!DH51,Other!AC51)</f>
        <v>126.87799999999999</v>
      </c>
      <c r="AD51" s="81">
        <f>SUM('Grants Need-Based'!DI51,'Grants Non Need-Based '!DI51,Other!AD51)</f>
        <v>122.37400000000001</v>
      </c>
      <c r="AE51" s="81">
        <f>SUM('Grants Need-Based'!DJ51,'Grants Non Need-Based '!DJ51,Other!AE51)</f>
        <v>130.863</v>
      </c>
      <c r="AF51" s="81">
        <f>SUM('Grants Need-Based'!DK51,'Grants Non Need-Based '!DK51,Other!AF51)</f>
        <v>135.76</v>
      </c>
      <c r="AG51" s="81">
        <f>SUM('Grants Need-Based'!DL51,'Grants Non Need-Based '!DL51,Other!AG51)</f>
        <v>137.755</v>
      </c>
      <c r="AH51" s="81">
        <f>SUM('Grants Need-Based'!DM51,'Grants Non Need-Based '!DM51,Other!AH51)</f>
        <v>134.443285</v>
      </c>
      <c r="AI51" s="81">
        <f>SUM('Grants Need-Based'!DN51,'Grants Non Need-Based '!DN51,Other!AI51)</f>
        <v>135.49751599999999</v>
      </c>
    </row>
    <row r="52" spans="1:35">
      <c r="A52" s="7" t="s">
        <v>81</v>
      </c>
      <c r="B52" s="82">
        <f>SUM('Grants Need-Based'!CG52,'Grants Non Need-Based '!CG52,Other!B52)</f>
        <v>562.39600000000007</v>
      </c>
      <c r="C52" s="82">
        <f>SUM('Grants Need-Based'!CH52,'Grants Non Need-Based '!CH52,Other!C52)</f>
        <v>646.02099999999996</v>
      </c>
      <c r="D52" s="82">
        <f>SUM('Grants Need-Based'!CI52,'Grants Non Need-Based '!CI52,Other!D52)</f>
        <v>686.13199999999983</v>
      </c>
      <c r="E52" s="82">
        <f>SUM('Grants Need-Based'!CJ52,'Grants Non Need-Based '!CJ52,Other!E52)</f>
        <v>754.86099999999999</v>
      </c>
      <c r="F52" s="82">
        <f>SUM('Grants Need-Based'!CK52,'Grants Non Need-Based '!CK52,Other!F52)</f>
        <v>751.22899999999993</v>
      </c>
      <c r="G52" s="82">
        <f>SUM('Grants Need-Based'!CL52,'Grants Non Need-Based '!CL52,Other!G52)</f>
        <v>776.35199999999998</v>
      </c>
      <c r="H52" s="82">
        <f>SUM('Grants Need-Based'!CM52,'Grants Non Need-Based '!CM52,Other!H52)</f>
        <v>796.29600000000016</v>
      </c>
      <c r="I52" s="82">
        <f>SUM('Grants Need-Based'!CN52,'Grants Non Need-Based '!CN52,Other!I52)</f>
        <v>823.28500000000008</v>
      </c>
      <c r="J52" s="82">
        <f>SUM('Grants Need-Based'!CO52,'Grants Non Need-Based '!CO52,Other!J52)</f>
        <v>845.51100000000008</v>
      </c>
      <c r="K52" s="82">
        <f>SUM('Grants Need-Based'!CP52,'Grants Non Need-Based '!CP52,Other!K52)</f>
        <v>1003.1779999999999</v>
      </c>
      <c r="L52" s="82">
        <f>SUM('Grants Need-Based'!CQ52,'Grants Non Need-Based '!CQ52,Other!L52)</f>
        <v>1105.9280000000001</v>
      </c>
      <c r="M52" s="82">
        <f>SUM('Grants Need-Based'!CR52,'Grants Non Need-Based '!CR52,Other!M52)</f>
        <v>1220.4308389999997</v>
      </c>
      <c r="N52" s="82">
        <f>SUM('Grants Need-Based'!CS52,'Grants Non Need-Based '!CS52,Other!N52)</f>
        <v>1259.5481090000001</v>
      </c>
      <c r="O52" s="82">
        <f>SUM('Grants Need-Based'!CT52,'Grants Non Need-Based '!CT52,Other!O52)</f>
        <v>1401.793584</v>
      </c>
      <c r="P52" s="82">
        <f>SUM('Grants Need-Based'!CU52,'Grants Non Need-Based '!CU52,Other!P52)</f>
        <v>1494.5885879999996</v>
      </c>
      <c r="Q52" s="82">
        <f>SUM('Grants Need-Based'!CV52,'Grants Non Need-Based '!CV52,Other!Q52)</f>
        <v>1457.9220000000003</v>
      </c>
      <c r="R52" s="82">
        <f>SUM('Grants Need-Based'!CW52,'Grants Non Need-Based '!CW52,Other!R52)</f>
        <v>1510.3850499999996</v>
      </c>
      <c r="S52" s="82">
        <f>SUM('Grants Need-Based'!CX52,'Grants Non Need-Based '!CX52,Other!S52)</f>
        <v>1659.3440000000001</v>
      </c>
      <c r="T52" s="82">
        <f>SUM('Grants Need-Based'!CY52,'Grants Non Need-Based '!CY52,Other!T52)</f>
        <v>1008.6642499999999</v>
      </c>
      <c r="U52" s="82">
        <f>SUM('Grants Need-Based'!CZ52,'Grants Non Need-Based '!CZ52,Other!U52)</f>
        <v>1804.8418333333332</v>
      </c>
      <c r="V52" s="82">
        <f>SUM('Grants Need-Based'!DA52,'Grants Non Need-Based '!DA52,Other!V52)</f>
        <v>1928.7906666666668</v>
      </c>
      <c r="W52" s="82">
        <f>SUM('Grants Need-Based'!DB52,'Grants Non Need-Based '!DB52,Other!W52)</f>
        <v>1947.8363999999997</v>
      </c>
      <c r="X52" s="82">
        <f>SUM('Grants Need-Based'!DC52,'Grants Non Need-Based '!DC52,Other!X52)</f>
        <v>2038.5951230000001</v>
      </c>
      <c r="Y52" s="82">
        <f>SUM('Grants Need-Based'!DD52,'Grants Non Need-Based '!DD52,Other!Y52)</f>
        <v>2244.4663196666665</v>
      </c>
      <c r="Z52" s="82">
        <f>SUM('Grants Need-Based'!DE52,'Grants Non Need-Based '!DE52,Other!Z52)</f>
        <v>2355.0026613333334</v>
      </c>
      <c r="AA52" s="82">
        <f>SUM('Grants Need-Based'!DF52,'Grants Non Need-Based '!DF52,Other!AA52)</f>
        <v>2335.71</v>
      </c>
      <c r="AB52" s="82">
        <f>SUM('Grants Need-Based'!DG52,'Grants Non Need-Based '!DG52,Other!AB52)</f>
        <v>2518.4019999999996</v>
      </c>
      <c r="AC52" s="82">
        <f>SUM('Grants Need-Based'!DH52,'Grants Non Need-Based '!DH52,Other!AC52)</f>
        <v>2360.3540000000003</v>
      </c>
      <c r="AD52" s="82">
        <f>SUM('Grants Need-Based'!DI52,'Grants Non Need-Based '!DI52,Other!AD52)</f>
        <v>2450.71</v>
      </c>
      <c r="AE52" s="82">
        <f>SUM('Grants Need-Based'!DJ52,'Grants Non Need-Based '!DJ52,Other!AE52)</f>
        <v>2405.1799999999998</v>
      </c>
      <c r="AF52" s="82">
        <f>SUM('Grants Need-Based'!DK52,'Grants Non Need-Based '!DK52,Other!AF52)</f>
        <v>2456.9770000000003</v>
      </c>
      <c r="AG52" s="82">
        <f>SUM('Grants Need-Based'!DL52,'Grants Non Need-Based '!DL52,Other!AG52)</f>
        <v>2485.5859999999998</v>
      </c>
      <c r="AH52" s="82">
        <f>SUM('Grants Need-Based'!DM52,'Grants Non Need-Based '!DM52,Other!AH52)</f>
        <v>2500.402877</v>
      </c>
      <c r="AI52" s="82">
        <f>SUM('Grants Need-Based'!DN52,'Grants Non Need-Based '!DN52,Other!AI52)</f>
        <v>2471.0946309999999</v>
      </c>
    </row>
    <row r="53" spans="1:35">
      <c r="A53" s="7" t="s">
        <v>35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</row>
    <row r="54" spans="1:35">
      <c r="A54" s="23" t="s">
        <v>82</v>
      </c>
      <c r="B54" s="82">
        <f>SUM('Grants Need-Based'!CG54,'Grants Non Need-Based '!CG54,Other!B54)</f>
        <v>11.46</v>
      </c>
      <c r="C54" s="82">
        <f>SUM('Grants Need-Based'!CH54,'Grants Non Need-Based '!CH54,Other!C54)</f>
        <v>12.675999999999998</v>
      </c>
      <c r="D54" s="82">
        <f>SUM('Grants Need-Based'!CI54,'Grants Non Need-Based '!CI54,Other!D54)</f>
        <v>18.198</v>
      </c>
      <c r="E54" s="82">
        <f>SUM('Grants Need-Based'!CJ54,'Grants Non Need-Based '!CJ54,Other!E54)</f>
        <v>19.128</v>
      </c>
      <c r="F54" s="82">
        <f>SUM('Grants Need-Based'!CK54,'Grants Non Need-Based '!CK54,Other!F54)</f>
        <v>26.814999999999998</v>
      </c>
      <c r="G54" s="82">
        <f>SUM('Grants Need-Based'!CL54,'Grants Non Need-Based '!CL54,Other!G54)</f>
        <v>30.682000000000002</v>
      </c>
      <c r="H54" s="82">
        <f>SUM('Grants Need-Based'!CM54,'Grants Non Need-Based '!CM54,Other!H54)</f>
        <v>32.805999999999997</v>
      </c>
      <c r="I54" s="82">
        <f>SUM('Grants Need-Based'!CN54,'Grants Non Need-Based '!CN54,Other!I54)</f>
        <v>36.167000000000002</v>
      </c>
      <c r="J54" s="82">
        <f>SUM('Grants Need-Based'!CO54,'Grants Non Need-Based '!CO54,Other!J54)</f>
        <v>35.841999999999999</v>
      </c>
      <c r="K54" s="82">
        <f>SUM('Grants Need-Based'!CP54,'Grants Non Need-Based '!CP54,Other!K54)</f>
        <v>36.104999999999997</v>
      </c>
      <c r="L54" s="82">
        <f>SUM('Grants Need-Based'!CQ54,'Grants Non Need-Based '!CQ54,Other!L54)</f>
        <v>20.840999999999998</v>
      </c>
      <c r="M54" s="82">
        <f>SUM('Grants Need-Based'!CR54,'Grants Non Need-Based '!CR54,Other!M54)</f>
        <v>20.986909000000001</v>
      </c>
      <c r="N54" s="82">
        <f>SUM('Grants Need-Based'!CS54,'Grants Non Need-Based '!CS54,Other!N54)</f>
        <v>20.720000000000002</v>
      </c>
      <c r="O54" s="82">
        <f>SUM('Grants Need-Based'!CT54,'Grants Non Need-Based '!CT54,Other!O54)</f>
        <v>46.849077999999999</v>
      </c>
      <c r="P54" s="82">
        <f>SUM('Grants Need-Based'!CU54,'Grants Non Need-Based '!CU54,Other!P54)</f>
        <v>54.611000000000004</v>
      </c>
      <c r="Q54" s="82">
        <f>SUM('Grants Need-Based'!CV54,'Grants Non Need-Based '!CV54,Other!Q54)</f>
        <v>56.539999999999992</v>
      </c>
      <c r="R54" s="82">
        <f>SUM('Grants Need-Based'!CW54,'Grants Non Need-Based '!CW54,Other!R54)</f>
        <v>64.231999999999999</v>
      </c>
      <c r="S54" s="82">
        <f>SUM('Grants Need-Based'!CX54,'Grants Non Need-Based '!CX54,Other!S54)</f>
        <v>73.465999999999994</v>
      </c>
      <c r="T54" s="82">
        <f>SUM('Grants Need-Based'!CY54,'Grants Non Need-Based '!CY54,Other!T54)</f>
        <v>74.521999999999991</v>
      </c>
      <c r="U54" s="82">
        <f>SUM('Grants Need-Based'!CZ54,'Grants Non Need-Based '!CZ54,Other!U54)</f>
        <v>67.211500000000001</v>
      </c>
      <c r="V54" s="82">
        <f>SUM('Grants Need-Based'!DA54,'Grants Non Need-Based '!DA54,Other!V54)</f>
        <v>65.774000000000001</v>
      </c>
      <c r="W54" s="82">
        <f>SUM('Grants Need-Based'!DB54,'Grants Non Need-Based '!DB54,Other!W54)</f>
        <v>65.775399999999991</v>
      </c>
      <c r="X54" s="82">
        <f>SUM('Grants Need-Based'!DC54,'Grants Non Need-Based '!DC54,Other!X54)</f>
        <v>93.206541999999999</v>
      </c>
      <c r="Y54" s="82">
        <f>SUM('Grants Need-Based'!DD54,'Grants Non Need-Based '!DD54,Other!Y54)</f>
        <v>101.20132266666667</v>
      </c>
      <c r="Z54" s="82">
        <f>SUM('Grants Need-Based'!DE54,'Grants Non Need-Based '!DE54,Other!Z54)</f>
        <v>126.90666133333332</v>
      </c>
      <c r="AA54" s="82">
        <f>SUM('Grants Need-Based'!DF54,'Grants Non Need-Based '!DF54,Other!AA54)</f>
        <v>127.381</v>
      </c>
      <c r="AB54" s="82">
        <f>SUM('Grants Need-Based'!DG54,'Grants Non Need-Based '!DG54,Other!AB54)</f>
        <v>135.983</v>
      </c>
      <c r="AC54" s="82">
        <f>SUM('Grants Need-Based'!DH54,'Grants Non Need-Based '!DH54,Other!AC54)</f>
        <v>143.851</v>
      </c>
      <c r="AD54" s="82">
        <f>SUM('Grants Need-Based'!DI54,'Grants Non Need-Based '!DI54,Other!AD54)</f>
        <v>140.53300000000002</v>
      </c>
      <c r="AE54" s="82">
        <f>SUM('Grants Need-Based'!DJ54,'Grants Non Need-Based '!DJ54,Other!AE54)</f>
        <v>138.626</v>
      </c>
      <c r="AF54" s="82">
        <f>SUM('Grants Need-Based'!DK54,'Grants Non Need-Based '!DK54,Other!AF54)</f>
        <v>146.97500000000002</v>
      </c>
      <c r="AG54" s="82">
        <f>SUM('Grants Need-Based'!DL54,'Grants Non Need-Based '!DL54,Other!AG54)</f>
        <v>146.32799999999997</v>
      </c>
      <c r="AH54" s="82">
        <f>SUM('Grants Need-Based'!DM54,'Grants Non Need-Based '!DM54,Other!AH54)</f>
        <v>146.17160899999999</v>
      </c>
      <c r="AI54" s="82">
        <f>SUM('Grants Need-Based'!DN54,'Grants Non Need-Based '!DN54,Other!AI54)</f>
        <v>146.05279899999999</v>
      </c>
    </row>
    <row r="55" spans="1:35">
      <c r="A55" s="23" t="s">
        <v>83</v>
      </c>
      <c r="B55" s="82">
        <f>SUM('Grants Need-Based'!CG55,'Grants Non Need-Based '!CG55,Other!B55)</f>
        <v>0.49</v>
      </c>
      <c r="C55" s="82">
        <f>SUM('Grants Need-Based'!CH55,'Grants Non Need-Based '!CH55,Other!C55)</f>
        <v>0.54700000000000004</v>
      </c>
      <c r="D55" s="82">
        <f>SUM('Grants Need-Based'!CI55,'Grants Non Need-Based '!CI55,Other!D55)</f>
        <v>1.3090000000000002</v>
      </c>
      <c r="E55" s="82">
        <f>SUM('Grants Need-Based'!CJ55,'Grants Non Need-Based '!CJ55,Other!E55)</f>
        <v>2.1320000000000001</v>
      </c>
      <c r="F55" s="82">
        <f>SUM('Grants Need-Based'!CK55,'Grants Non Need-Based '!CK55,Other!F55)</f>
        <v>1.4219999999999999</v>
      </c>
      <c r="G55" s="82">
        <f>SUM('Grants Need-Based'!CL55,'Grants Non Need-Based '!CL55,Other!G55)</f>
        <v>1.411</v>
      </c>
      <c r="H55" s="82">
        <f>SUM('Grants Need-Based'!CM55,'Grants Non Need-Based '!CM55,Other!H55)</f>
        <v>2.008</v>
      </c>
      <c r="I55" s="82">
        <f>SUM('Grants Need-Based'!CN55,'Grants Non Need-Based '!CN55,Other!I55)</f>
        <v>5.0999999999999996</v>
      </c>
      <c r="J55" s="82">
        <f>SUM('Grants Need-Based'!CO55,'Grants Non Need-Based '!CO55,Other!J55)</f>
        <v>5.0439999999999996</v>
      </c>
      <c r="K55" s="82">
        <f>SUM('Grants Need-Based'!CP55,'Grants Non Need-Based '!CP55,Other!K55)</f>
        <v>5.2</v>
      </c>
      <c r="L55" s="82">
        <f>SUM('Grants Need-Based'!CQ55,'Grants Non Need-Based '!CQ55,Other!L55)</f>
        <v>5.17</v>
      </c>
      <c r="M55" s="82">
        <f>SUM('Grants Need-Based'!CR55,'Grants Non Need-Based '!CR55,Other!M55)</f>
        <v>7.09</v>
      </c>
      <c r="N55" s="82">
        <f>SUM('Grants Need-Based'!CS55,'Grants Non Need-Based '!CS55,Other!N55)</f>
        <v>10.051999999999992</v>
      </c>
      <c r="O55" s="82">
        <f>SUM('Grants Need-Based'!CT55,'Grants Non Need-Based '!CT55,Other!O55)</f>
        <v>8.3105000000000011</v>
      </c>
      <c r="P55" s="82">
        <f>SUM('Grants Need-Based'!CU55,'Grants Non Need-Based '!CU55,Other!P55)</f>
        <v>9.384000000000011</v>
      </c>
      <c r="Q55" s="82">
        <f>SUM('Grants Need-Based'!CV55,'Grants Non Need-Based '!CV55,Other!Q55)</f>
        <v>9.3849999999999998</v>
      </c>
      <c r="R55" s="82">
        <f>SUM('Grants Need-Based'!CW55,'Grants Non Need-Based '!CW55,Other!R55)</f>
        <v>13.1754</v>
      </c>
      <c r="S55" s="82">
        <f>SUM('Grants Need-Based'!CX55,'Grants Non Need-Based '!CX55,Other!S55)</f>
        <v>14.492000000000001</v>
      </c>
      <c r="T55" s="82">
        <f>SUM('Grants Need-Based'!CY55,'Grants Non Need-Based '!CY55,Other!T55)</f>
        <v>15.077</v>
      </c>
      <c r="U55" s="82">
        <f>SUM('Grants Need-Based'!CZ55,'Grants Non Need-Based '!CZ55,Other!U55)</f>
        <v>15.897333333333334</v>
      </c>
      <c r="V55" s="82">
        <f>SUM('Grants Need-Based'!DA55,'Grants Non Need-Based '!DA55,Other!V55)</f>
        <v>15.387666666666666</v>
      </c>
      <c r="W55" s="82">
        <f>SUM('Grants Need-Based'!DB55,'Grants Non Need-Based '!DB55,Other!W55)</f>
        <v>15.798999999999999</v>
      </c>
      <c r="X55" s="82">
        <f>SUM('Grants Need-Based'!DC55,'Grants Non Need-Based '!DC55,Other!X55)</f>
        <v>16.804521000000001</v>
      </c>
      <c r="Y55" s="82">
        <f>SUM('Grants Need-Based'!DD55,'Grants Non Need-Based '!DD55,Other!Y55)</f>
        <v>18.881</v>
      </c>
      <c r="Z55" s="82">
        <f>SUM('Grants Need-Based'!DE55,'Grants Non Need-Based '!DE55,Other!Z55)</f>
        <v>21.161000000000001</v>
      </c>
      <c r="AA55" s="82">
        <f>SUM('Grants Need-Based'!DF55,'Grants Non Need-Based '!DF55,Other!AA55)</f>
        <v>19.361999999999998</v>
      </c>
      <c r="AB55" s="82">
        <f>SUM('Grants Need-Based'!DG55,'Grants Non Need-Based '!DG55,Other!AB55)</f>
        <v>16.131</v>
      </c>
      <c r="AC55" s="82">
        <f>SUM('Grants Need-Based'!DH55,'Grants Non Need-Based '!DH55,Other!AC55)</f>
        <v>17.268000000000001</v>
      </c>
      <c r="AD55" s="82">
        <f>SUM('Grants Need-Based'!DI55,'Grants Non Need-Based '!DI55,Other!AD55)</f>
        <v>17.128999999999998</v>
      </c>
      <c r="AE55" s="82">
        <f>SUM('Grants Need-Based'!DJ55,'Grants Non Need-Based '!DJ55,Other!AE55)</f>
        <v>18.279</v>
      </c>
      <c r="AF55" s="82">
        <f>SUM('Grants Need-Based'!DK55,'Grants Non Need-Based '!DK55,Other!AF55)</f>
        <v>14.102</v>
      </c>
      <c r="AG55" s="82">
        <f>SUM('Grants Need-Based'!DL55,'Grants Non Need-Based '!DL55,Other!AG55)</f>
        <v>16.192</v>
      </c>
      <c r="AH55" s="82">
        <f>SUM('Grants Need-Based'!DM55,'Grants Non Need-Based '!DM55,Other!AH55)</f>
        <v>20.643711</v>
      </c>
      <c r="AI55" s="82">
        <f>SUM('Grants Need-Based'!DN55,'Grants Non Need-Based '!DN55,Other!AI55)</f>
        <v>20.659934</v>
      </c>
    </row>
    <row r="56" spans="1:35">
      <c r="A56" s="23" t="s">
        <v>84</v>
      </c>
      <c r="B56" s="82">
        <f>SUM('Grants Need-Based'!CG56,'Grants Non Need-Based '!CG56,Other!B56)</f>
        <v>43.243000000000002</v>
      </c>
      <c r="C56" s="82">
        <f>SUM('Grants Need-Based'!CH56,'Grants Non Need-Based '!CH56,Other!C56)</f>
        <v>56.730999999999995</v>
      </c>
      <c r="D56" s="82">
        <f>SUM('Grants Need-Based'!CI56,'Grants Non Need-Based '!CI56,Other!D56)</f>
        <v>66.974000000000004</v>
      </c>
      <c r="E56" s="82">
        <f>SUM('Grants Need-Based'!CJ56,'Grants Non Need-Based '!CJ56,Other!E56)</f>
        <v>83.919000000000011</v>
      </c>
      <c r="F56" s="82">
        <f>SUM('Grants Need-Based'!CK56,'Grants Non Need-Based '!CK56,Other!F56)</f>
        <v>90.481000000000009</v>
      </c>
      <c r="G56" s="82">
        <f>SUM('Grants Need-Based'!CL56,'Grants Non Need-Based '!CL56,Other!G56)</f>
        <v>92.819000000000003</v>
      </c>
      <c r="H56" s="82">
        <f>SUM('Grants Need-Based'!CM56,'Grants Non Need-Based '!CM56,Other!H56)</f>
        <v>88.314000000000007</v>
      </c>
      <c r="I56" s="82">
        <f>SUM('Grants Need-Based'!CN56,'Grants Non Need-Based '!CN56,Other!I56)</f>
        <v>71.966999999999999</v>
      </c>
      <c r="J56" s="82">
        <f>SUM('Grants Need-Based'!CO56,'Grants Non Need-Based '!CO56,Other!J56)</f>
        <v>39.989000000000004</v>
      </c>
      <c r="K56" s="82">
        <f>SUM('Grants Need-Based'!CP56,'Grants Non Need-Based '!CP56,Other!K56)</f>
        <v>59.114999999999995</v>
      </c>
      <c r="L56" s="82">
        <f>SUM('Grants Need-Based'!CQ56,'Grants Non Need-Based '!CQ56,Other!L56)</f>
        <v>59.58</v>
      </c>
      <c r="M56" s="82">
        <f>SUM('Grants Need-Based'!CR56,'Grants Non Need-Based '!CR56,Other!M56)</f>
        <v>71.944999999999993</v>
      </c>
      <c r="N56" s="82">
        <f>SUM('Grants Need-Based'!CS56,'Grants Non Need-Based '!CS56,Other!N56)</f>
        <v>74.988</v>
      </c>
      <c r="O56" s="82">
        <f>SUM('Grants Need-Based'!CT56,'Grants Non Need-Based '!CT56,Other!O56)</f>
        <v>77.804158000000001</v>
      </c>
      <c r="P56" s="82">
        <f>SUM('Grants Need-Based'!CU56,'Grants Non Need-Based '!CU56,Other!P56)</f>
        <v>85.405000000000001</v>
      </c>
      <c r="Q56" s="82">
        <f>SUM('Grants Need-Based'!CV56,'Grants Non Need-Based '!CV56,Other!Q56)</f>
        <v>102.23099999999999</v>
      </c>
      <c r="R56" s="82">
        <f>SUM('Grants Need-Based'!CW56,'Grants Non Need-Based '!CW56,Other!R56)</f>
        <v>121.152</v>
      </c>
      <c r="S56" s="82">
        <f>SUM('Grants Need-Based'!CX56,'Grants Non Need-Based '!CX56,Other!S56)</f>
        <v>130.95600000000002</v>
      </c>
      <c r="T56" s="82">
        <f>SUM('Grants Need-Based'!CY56,'Grants Non Need-Based '!CY56,Other!T56)</f>
        <v>122.90199999999999</v>
      </c>
      <c r="U56" s="82">
        <f>SUM('Grants Need-Based'!CZ56,'Grants Non Need-Based '!CZ56,Other!U56)</f>
        <v>118.51599999999999</v>
      </c>
      <c r="V56" s="82">
        <f>SUM('Grants Need-Based'!DA56,'Grants Non Need-Based '!DA56,Other!V56)</f>
        <v>102.078</v>
      </c>
      <c r="W56" s="82">
        <f>SUM('Grants Need-Based'!DB56,'Grants Non Need-Based '!DB56,Other!W56)</f>
        <v>104.29599999999999</v>
      </c>
      <c r="X56" s="82">
        <f>SUM('Grants Need-Based'!DC56,'Grants Non Need-Based '!DC56,Other!X56)</f>
        <v>109.653761</v>
      </c>
      <c r="Y56" s="82">
        <f>SUM('Grants Need-Based'!DD56,'Grants Non Need-Based '!DD56,Other!Y56)</f>
        <v>117.193997</v>
      </c>
      <c r="Z56" s="82">
        <f>SUM('Grants Need-Based'!DE56,'Grants Non Need-Based '!DE56,Other!Z56)</f>
        <v>123.941</v>
      </c>
      <c r="AA56" s="82">
        <f>SUM('Grants Need-Based'!DF56,'Grants Non Need-Based '!DF56,Other!AA56)</f>
        <v>131.62299999999999</v>
      </c>
      <c r="AB56" s="82">
        <f>SUM('Grants Need-Based'!DG56,'Grants Non Need-Based '!DG56,Other!AB56)</f>
        <v>127.11099999999999</v>
      </c>
      <c r="AC56" s="82">
        <f>SUM('Grants Need-Based'!DH56,'Grants Non Need-Based '!DH56,Other!AC56)</f>
        <v>128.18199999999999</v>
      </c>
      <c r="AD56" s="82">
        <f>SUM('Grants Need-Based'!DI56,'Grants Non Need-Based '!DI56,Other!AD56)</f>
        <v>131.48500000000001</v>
      </c>
      <c r="AE56" s="82">
        <f>SUM('Grants Need-Based'!DJ56,'Grants Non Need-Based '!DJ56,Other!AE56)</f>
        <v>137.35500000000002</v>
      </c>
      <c r="AF56" s="82">
        <f>SUM('Grants Need-Based'!DK56,'Grants Non Need-Based '!DK56,Other!AF56)</f>
        <v>136.45099999999999</v>
      </c>
      <c r="AG56" s="82">
        <f>SUM('Grants Need-Based'!DL56,'Grants Non Need-Based '!DL56,Other!AG56)</f>
        <v>137.661</v>
      </c>
      <c r="AH56" s="82">
        <f>SUM('Grants Need-Based'!DM56,'Grants Non Need-Based '!DM56,Other!AH56)</f>
        <v>99.026682999999991</v>
      </c>
      <c r="AI56" s="82">
        <f>SUM('Grants Need-Based'!DN56,'Grants Non Need-Based '!DN56,Other!AI56)</f>
        <v>139.511167</v>
      </c>
    </row>
    <row r="57" spans="1:35">
      <c r="A57" s="23" t="s">
        <v>85</v>
      </c>
      <c r="B57" s="82">
        <f>SUM('Grants Need-Based'!CG57,'Grants Non Need-Based '!CG57,Other!B57)</f>
        <v>0.96300000000000008</v>
      </c>
      <c r="C57" s="82">
        <f>SUM('Grants Need-Based'!CH57,'Grants Non Need-Based '!CH57,Other!C57)</f>
        <v>1.038</v>
      </c>
      <c r="D57" s="82">
        <f>SUM('Grants Need-Based'!CI57,'Grants Non Need-Based '!CI57,Other!D57)</f>
        <v>1.292</v>
      </c>
      <c r="E57" s="82">
        <f>SUM('Grants Need-Based'!CJ57,'Grants Non Need-Based '!CJ57,Other!E57)</f>
        <v>1.423</v>
      </c>
      <c r="F57" s="82">
        <f>SUM('Grants Need-Based'!CK57,'Grants Non Need-Based '!CK57,Other!F57)</f>
        <v>1.6419999999999999</v>
      </c>
      <c r="G57" s="82">
        <f>SUM('Grants Need-Based'!CL57,'Grants Non Need-Based '!CL57,Other!G57)</f>
        <v>0.97199999999999998</v>
      </c>
      <c r="H57" s="82">
        <f>SUM('Grants Need-Based'!CM57,'Grants Non Need-Based '!CM57,Other!H57)</f>
        <v>1.7350000000000001</v>
      </c>
      <c r="I57" s="82">
        <f>SUM('Grants Need-Based'!CN57,'Grants Non Need-Based '!CN57,Other!I57)</f>
        <v>1.4790000000000001</v>
      </c>
      <c r="J57" s="82">
        <f>SUM('Grants Need-Based'!CO57,'Grants Non Need-Based '!CO57,Other!J57)</f>
        <v>1.544</v>
      </c>
      <c r="K57" s="82">
        <f>SUM('Grants Need-Based'!CP57,'Grants Non Need-Based '!CP57,Other!K57)</f>
        <v>1.6099999999999999</v>
      </c>
      <c r="L57" s="82">
        <f>SUM('Grants Need-Based'!CQ57,'Grants Non Need-Based '!CQ57,Other!L57)</f>
        <v>1.5979999999999999</v>
      </c>
      <c r="M57" s="82">
        <f>SUM('Grants Need-Based'!CR57,'Grants Non Need-Based '!CR57,Other!M57)</f>
        <v>1.6105</v>
      </c>
      <c r="N57" s="82">
        <f>SUM('Grants Need-Based'!CS57,'Grants Non Need-Based '!CS57,Other!N57)</f>
        <v>1.542</v>
      </c>
      <c r="O57" s="82">
        <f>SUM('Grants Need-Based'!CT57,'Grants Non Need-Based '!CT57,Other!O57)</f>
        <v>1.368125</v>
      </c>
      <c r="P57" s="82">
        <f>SUM('Grants Need-Based'!CU57,'Grants Non Need-Based '!CU57,Other!P57)</f>
        <v>1.865</v>
      </c>
      <c r="Q57" s="82">
        <f>SUM('Grants Need-Based'!CV57,'Grants Non Need-Based '!CV57,Other!Q57)</f>
        <v>2.2869999999999999</v>
      </c>
      <c r="R57" s="82">
        <f>SUM('Grants Need-Based'!CW57,'Grants Non Need-Based '!CW57,Other!R57)</f>
        <v>2.0140000000000002</v>
      </c>
      <c r="S57" s="82">
        <f>SUM('Grants Need-Based'!CX57,'Grants Non Need-Based '!CX57,Other!S57)</f>
        <v>1.9442999999999999</v>
      </c>
      <c r="T57" s="82">
        <f>SUM('Grants Need-Based'!CY57,'Grants Non Need-Based '!CY57,Other!T57)</f>
        <v>302.17899999999997</v>
      </c>
      <c r="U57" s="82">
        <f>SUM('Grants Need-Based'!CZ57,'Grants Non Need-Based '!CZ57,Other!U57)</f>
        <v>16.380500000000001</v>
      </c>
      <c r="V57" s="82">
        <f>SUM('Grants Need-Based'!DA57,'Grants Non Need-Based '!DA57,Other!V57)</f>
        <v>3.9849999999999994</v>
      </c>
      <c r="W57" s="82">
        <f>SUM('Grants Need-Based'!DB57,'Grants Non Need-Based '!DB57,Other!W57)</f>
        <v>4.0549999999999997</v>
      </c>
      <c r="X57" s="82">
        <f>SUM('Grants Need-Based'!DC57,'Grants Non Need-Based '!DC57,Other!X57)</f>
        <v>4.2031409999999996</v>
      </c>
      <c r="Y57" s="82">
        <f>SUM('Grants Need-Based'!DD57,'Grants Non Need-Based '!DD57,Other!Y57)</f>
        <v>4.0659999999999998</v>
      </c>
      <c r="Z57" s="82">
        <f>SUM('Grants Need-Based'!DE57,'Grants Non Need-Based '!DE57,Other!Z57)</f>
        <v>4.0910000000000002</v>
      </c>
      <c r="AA57" s="82">
        <f>SUM('Grants Need-Based'!DF57,'Grants Non Need-Based '!DF57,Other!AA57)</f>
        <v>3.9889999999999999</v>
      </c>
      <c r="AB57" s="82">
        <f>SUM('Grants Need-Based'!DG57,'Grants Non Need-Based '!DG57,Other!AB57)</f>
        <v>4.1340000000000003</v>
      </c>
      <c r="AC57" s="82">
        <f>SUM('Grants Need-Based'!DH57,'Grants Non Need-Based '!DH57,Other!AC57)</f>
        <v>3.3130000000000002</v>
      </c>
      <c r="AD57" s="82" t="str">
        <f>IF(SUM('Grants Need-Based'!DI57,'Grants Non Need-Based '!DI57,Other!AD57)&gt;0,('Grants Need-Based'!DI57,'Grants Non Need-Based '!DI57,Other!AD57),"—")</f>
        <v>—</v>
      </c>
      <c r="AE57" s="82" t="str">
        <f>IF(SUM('Grants Need-Based'!DJ57,'Grants Non Need-Based '!DJ57,Other!AE57)&gt;0,('Grants Need-Based'!DJ57,'Grants Non Need-Based '!DJ57,Other!AE57),"—")</f>
        <v>—</v>
      </c>
      <c r="AF57" s="82" t="str">
        <f>IF(SUM('Grants Need-Based'!DK57,'Grants Non Need-Based '!DK57,Other!AF57)&gt;0,('Grants Need-Based'!DK57,'Grants Non Need-Based '!DK57,Other!AF57),"—")</f>
        <v>—</v>
      </c>
      <c r="AG57" s="82">
        <f>SUM('Grants Need-Based'!DL57,'Grants Non Need-Based '!DL57,Other!AG57)</f>
        <v>0.01</v>
      </c>
      <c r="AH57" s="82">
        <f>SUM('Grants Need-Based'!DM57,'Grants Non Need-Based '!DM57,Other!AH57)</f>
        <v>0.01</v>
      </c>
      <c r="AI57" s="82">
        <f>SUM('Grants Need-Based'!DN57,'Grants Non Need-Based '!DN57,Other!AI57)</f>
        <v>0.01</v>
      </c>
    </row>
    <row r="58" spans="1:35">
      <c r="A58" s="23" t="s">
        <v>86</v>
      </c>
      <c r="B58" s="82">
        <f>SUM('Grants Need-Based'!CG58,'Grants Non Need-Based '!CG58,Other!B58)</f>
        <v>51.246000000000002</v>
      </c>
      <c r="C58" s="82">
        <f>SUM('Grants Need-Based'!CH58,'Grants Non Need-Based '!CH58,Other!C58)</f>
        <v>57.856999999999999</v>
      </c>
      <c r="D58" s="82">
        <f>SUM('Grants Need-Based'!CI58,'Grants Non Need-Based '!CI58,Other!D58)</f>
        <v>71.12299999999999</v>
      </c>
      <c r="E58" s="82">
        <f>SUM('Grants Need-Based'!CJ58,'Grants Non Need-Based '!CJ58,Other!E58)</f>
        <v>69.711000000000013</v>
      </c>
      <c r="F58" s="82">
        <f>SUM('Grants Need-Based'!CK58,'Grants Non Need-Based '!CK58,Other!F58)</f>
        <v>76.641999999999996</v>
      </c>
      <c r="G58" s="82">
        <f>SUM('Grants Need-Based'!CL58,'Grants Non Need-Based '!CL58,Other!G58)</f>
        <v>85.945999999999998</v>
      </c>
      <c r="H58" s="82">
        <f>SUM('Grants Need-Based'!CM58,'Grants Non Need-Based '!CM58,Other!H58)</f>
        <v>91.688999999999993</v>
      </c>
      <c r="I58" s="82">
        <f>SUM('Grants Need-Based'!CN58,'Grants Non Need-Based '!CN58,Other!I58)</f>
        <v>102.08</v>
      </c>
      <c r="J58" s="82">
        <f>SUM('Grants Need-Based'!CO58,'Grants Non Need-Based '!CO58,Other!J58)</f>
        <v>119.505</v>
      </c>
      <c r="K58" s="82">
        <f>SUM('Grants Need-Based'!CP58,'Grants Non Need-Based '!CP58,Other!K58)</f>
        <v>129.07299999999998</v>
      </c>
      <c r="L58" s="82">
        <f>SUM('Grants Need-Based'!CQ58,'Grants Non Need-Based '!CQ58,Other!L58)</f>
        <v>144.78800000000001</v>
      </c>
      <c r="M58" s="82">
        <f>SUM('Grants Need-Based'!CR58,'Grants Non Need-Based '!CR58,Other!M58)</f>
        <v>170.227892</v>
      </c>
      <c r="N58" s="82">
        <f>SUM('Grants Need-Based'!CS58,'Grants Non Need-Based '!CS58,Other!N58)</f>
        <v>171.686409</v>
      </c>
      <c r="O58" s="82">
        <f>SUM('Grants Need-Based'!CT58,'Grants Non Need-Based '!CT58,Other!O58)</f>
        <v>177.52993799999999</v>
      </c>
      <c r="P58" s="82">
        <f>SUM('Grants Need-Based'!CU58,'Grants Non Need-Based '!CU58,Other!P58)</f>
        <v>197.23629499999998</v>
      </c>
      <c r="Q58" s="82">
        <f>SUM('Grants Need-Based'!CV58,'Grants Non Need-Based '!CV58,Other!Q58)</f>
        <v>222.88600000000002</v>
      </c>
      <c r="R58" s="82">
        <f>SUM('Grants Need-Based'!CW58,'Grants Non Need-Based '!CW58,Other!R58)</f>
        <v>245.85099999999997</v>
      </c>
      <c r="S58" s="82">
        <f>SUM('Grants Need-Based'!CX58,'Grants Non Need-Based '!CX58,Other!S58)</f>
        <v>272.017</v>
      </c>
      <c r="T58" s="82">
        <f>SUM('Grants Need-Based'!CY58,'Grants Non Need-Based '!CY58,Other!T58)</f>
        <v>63.585999999999999</v>
      </c>
      <c r="U58" s="82">
        <f>SUM('Grants Need-Based'!CZ58,'Grants Non Need-Based '!CZ58,Other!U58)</f>
        <v>326.77749999999997</v>
      </c>
      <c r="V58" s="82">
        <f>SUM('Grants Need-Based'!DA58,'Grants Non Need-Based '!DA58,Other!V58)</f>
        <v>349.02300000000002</v>
      </c>
      <c r="W58" s="82">
        <f>SUM('Grants Need-Based'!DB58,'Grants Non Need-Based '!DB58,Other!W58)</f>
        <v>371.76599999999996</v>
      </c>
      <c r="X58" s="82">
        <f>SUM('Grants Need-Based'!DC58,'Grants Non Need-Based '!DC58,Other!X58)</f>
        <v>400.86751900000002</v>
      </c>
      <c r="Y58" s="82">
        <f>SUM('Grants Need-Based'!DD58,'Grants Non Need-Based '!DD58,Other!Y58)</f>
        <v>519.01300000000003</v>
      </c>
      <c r="Z58" s="82">
        <f>SUM('Grants Need-Based'!DE58,'Grants Non Need-Based '!DE58,Other!Z58)</f>
        <v>611.48700000000008</v>
      </c>
      <c r="AA58" s="82">
        <f>SUM('Grants Need-Based'!DF58,'Grants Non Need-Based '!DF58,Other!AA58)</f>
        <v>664.11400000000003</v>
      </c>
      <c r="AB58" s="82">
        <f>SUM('Grants Need-Based'!DG58,'Grants Non Need-Based '!DG58,Other!AB58)</f>
        <v>719.75800000000004</v>
      </c>
      <c r="AC58" s="82">
        <f>SUM('Grants Need-Based'!DH58,'Grants Non Need-Based '!DH58,Other!AC58)</f>
        <v>674.65300000000002</v>
      </c>
      <c r="AD58" s="82">
        <f>SUM('Grants Need-Based'!DI58,'Grants Non Need-Based '!DI58,Other!AD58)</f>
        <v>610.87800000000004</v>
      </c>
      <c r="AE58" s="82">
        <f>SUM('Grants Need-Based'!DJ58,'Grants Non Need-Based '!DJ58,Other!AE58)</f>
        <v>561.61199999999997</v>
      </c>
      <c r="AF58" s="82">
        <f>SUM('Grants Need-Based'!DK58,'Grants Non Need-Based '!DK58,Other!AF58)</f>
        <v>586.07100000000003</v>
      </c>
      <c r="AG58" s="82">
        <f>SUM('Grants Need-Based'!DL58,'Grants Non Need-Based '!DL58,Other!AG58)</f>
        <v>577.91399999999999</v>
      </c>
      <c r="AH58" s="82">
        <f>SUM('Grants Need-Based'!DM58,'Grants Non Need-Based '!DM58,Other!AH58)</f>
        <v>632.80271800000003</v>
      </c>
      <c r="AI58" s="82">
        <f>SUM('Grants Need-Based'!DN58,'Grants Non Need-Based '!DN58,Other!AI58)</f>
        <v>588.04891100000009</v>
      </c>
    </row>
    <row r="59" spans="1:35">
      <c r="A59" s="23" t="s">
        <v>87</v>
      </c>
      <c r="B59" s="82">
        <f>SUM('Grants Need-Based'!CG59,'Grants Non Need-Based '!CG59,Other!B59)</f>
        <v>353.67200000000003</v>
      </c>
      <c r="C59" s="82">
        <f>SUM('Grants Need-Based'!CH59,'Grants Non Need-Based '!CH59,Other!C59)</f>
        <v>409.87299999999999</v>
      </c>
      <c r="D59" s="82">
        <f>SUM('Grants Need-Based'!CI59,'Grants Non Need-Based '!CI59,Other!D59)</f>
        <v>412.07</v>
      </c>
      <c r="E59" s="82">
        <f>SUM('Grants Need-Based'!CJ59,'Grants Non Need-Based '!CJ59,Other!E59)</f>
        <v>457.55099999999999</v>
      </c>
      <c r="F59" s="82">
        <f>SUM('Grants Need-Based'!CK59,'Grants Non Need-Based '!CK59,Other!F59)</f>
        <v>425.45400000000001</v>
      </c>
      <c r="G59" s="82">
        <f>SUM('Grants Need-Based'!CL59,'Grants Non Need-Based '!CL59,Other!G59)</f>
        <v>424.49</v>
      </c>
      <c r="H59" s="82">
        <f>SUM('Grants Need-Based'!CM59,'Grants Non Need-Based '!CM59,Other!H59)</f>
        <v>423.09199999999998</v>
      </c>
      <c r="I59" s="82">
        <f>SUM('Grants Need-Based'!CN59,'Grants Non Need-Based '!CN59,Other!I59)</f>
        <v>439.12399999999997</v>
      </c>
      <c r="J59" s="82">
        <f>SUM('Grants Need-Based'!CO59,'Grants Non Need-Based '!CO59,Other!J59)</f>
        <v>463.54300000000001</v>
      </c>
      <c r="K59" s="82">
        <f>SUM('Grants Need-Based'!CP59,'Grants Non Need-Based '!CP59,Other!K59)</f>
        <v>577.495</v>
      </c>
      <c r="L59" s="82">
        <f>SUM('Grants Need-Based'!CQ59,'Grants Non Need-Based '!CQ59,Other!L59)</f>
        <v>666.83300000000008</v>
      </c>
      <c r="M59" s="82">
        <f>SUM('Grants Need-Based'!CR59,'Grants Non Need-Based '!CR59,Other!M59)</f>
        <v>660.62</v>
      </c>
      <c r="N59" s="82">
        <f>SUM('Grants Need-Based'!CS59,'Grants Non Need-Based '!CS59,Other!N59)</f>
        <v>712.29900000000009</v>
      </c>
      <c r="O59" s="82">
        <f>SUM('Grants Need-Based'!CT59,'Grants Non Need-Based '!CT59,Other!O59)</f>
        <v>724.07957099999999</v>
      </c>
      <c r="P59" s="82">
        <f>SUM('Grants Need-Based'!CU59,'Grants Non Need-Based '!CU59,Other!P59)</f>
        <v>733.28499999999997</v>
      </c>
      <c r="Q59" s="82">
        <f>SUM('Grants Need-Based'!CV59,'Grants Non Need-Based '!CV59,Other!Q59)</f>
        <v>726.053</v>
      </c>
      <c r="R59" s="82">
        <f>SUM('Grants Need-Based'!CW59,'Grants Non Need-Based '!CW59,Other!R59)</f>
        <v>712.26939999999991</v>
      </c>
      <c r="S59" s="82">
        <f>SUM('Grants Need-Based'!CX59,'Grants Non Need-Based '!CX59,Other!S59)</f>
        <v>760.66800000000012</v>
      </c>
      <c r="T59" s="82">
        <f>SUM('Grants Need-Based'!CY59,'Grants Non Need-Based '!CY59,Other!T59)</f>
        <v>3.8864999999999994</v>
      </c>
      <c r="U59" s="82">
        <f>SUM('Grants Need-Based'!CZ59,'Grants Non Need-Based '!CZ59,Other!U59)</f>
        <v>853.98400000000004</v>
      </c>
      <c r="V59" s="82">
        <f>SUM('Grants Need-Based'!DA59,'Grants Non Need-Based '!DA59,Other!V59)</f>
        <v>959.34199999999998</v>
      </c>
      <c r="W59" s="82">
        <f>SUM('Grants Need-Based'!DB59,'Grants Non Need-Based '!DB59,Other!W59)</f>
        <v>951.78800000000001</v>
      </c>
      <c r="X59" s="82">
        <f>SUM('Grants Need-Based'!DC59,'Grants Non Need-Based '!DC59,Other!X59)</f>
        <v>937.07891900000004</v>
      </c>
      <c r="Y59" s="82">
        <f>SUM('Grants Need-Based'!DD59,'Grants Non Need-Based '!DD59,Other!Y59)</f>
        <v>947.55100000000004</v>
      </c>
      <c r="Z59" s="82">
        <f>SUM('Grants Need-Based'!DE59,'Grants Non Need-Based '!DE59,Other!Z59)</f>
        <v>923.52800000000002</v>
      </c>
      <c r="AA59" s="82">
        <f>SUM('Grants Need-Based'!DF59,'Grants Non Need-Based '!DF59,Other!AA59)</f>
        <v>952.86599999999999</v>
      </c>
      <c r="AB59" s="82">
        <f>SUM('Grants Need-Based'!DG59,'Grants Non Need-Based '!DG59,Other!AB59)</f>
        <v>1038.4730000000002</v>
      </c>
      <c r="AC59" s="82">
        <f>SUM('Grants Need-Based'!DH59,'Grants Non Need-Based '!DH59,Other!AC59)</f>
        <v>960.64599999999996</v>
      </c>
      <c r="AD59" s="82">
        <f>SUM('Grants Need-Based'!DI59,'Grants Non Need-Based '!DI59,Other!AD59)</f>
        <v>1029.4549999999999</v>
      </c>
      <c r="AE59" s="82">
        <f>SUM('Grants Need-Based'!DJ59,'Grants Non Need-Based '!DJ59,Other!AE59)</f>
        <v>1038.7080000000001</v>
      </c>
      <c r="AF59" s="82">
        <f>SUM('Grants Need-Based'!DK59,'Grants Non Need-Based '!DK59,Other!AF59)</f>
        <v>1057.8980000000001</v>
      </c>
      <c r="AG59" s="82">
        <f>SUM('Grants Need-Based'!DL59,'Grants Non Need-Based '!DL59,Other!AG59)</f>
        <v>1104.2670000000001</v>
      </c>
      <c r="AH59" s="82">
        <f>SUM('Grants Need-Based'!DM59,'Grants Non Need-Based '!DM59,Other!AH59)</f>
        <v>1098.460431</v>
      </c>
      <c r="AI59" s="82">
        <f>SUM('Grants Need-Based'!DN59,'Grants Non Need-Based '!DN59,Other!AI59)</f>
        <v>1084.1129999999998</v>
      </c>
    </row>
    <row r="60" spans="1:35">
      <c r="A60" s="23" t="s">
        <v>88</v>
      </c>
      <c r="B60" s="82">
        <f>SUM('Grants Need-Based'!CG60,'Grants Non Need-Based '!CG60,Other!B60)</f>
        <v>86.539000000000001</v>
      </c>
      <c r="C60" s="82">
        <f>SUM('Grants Need-Based'!CH60,'Grants Non Need-Based '!CH60,Other!C60)</f>
        <v>91.713999999999999</v>
      </c>
      <c r="D60" s="82">
        <f>SUM('Grants Need-Based'!CI60,'Grants Non Need-Based '!CI60,Other!D60)</f>
        <v>98.835000000000008</v>
      </c>
      <c r="E60" s="82">
        <f>SUM('Grants Need-Based'!CJ60,'Grants Non Need-Based '!CJ60,Other!E60)</f>
        <v>104.148</v>
      </c>
      <c r="F60" s="82">
        <f>SUM('Grants Need-Based'!CK60,'Grants Non Need-Based '!CK60,Other!F60)</f>
        <v>110.45899999999999</v>
      </c>
      <c r="G60" s="82">
        <f>SUM('Grants Need-Based'!CL60,'Grants Non Need-Based '!CL60,Other!G60)</f>
        <v>120.998</v>
      </c>
      <c r="H60" s="82">
        <f>SUM('Grants Need-Based'!CM60,'Grants Non Need-Based '!CM60,Other!H60)</f>
        <v>134.01400000000001</v>
      </c>
      <c r="I60" s="82">
        <f>SUM('Grants Need-Based'!CN60,'Grants Non Need-Based '!CN60,Other!I60)</f>
        <v>145.57599999999999</v>
      </c>
      <c r="J60" s="82">
        <f>SUM('Grants Need-Based'!CO60,'Grants Non Need-Based '!CO60,Other!J60)</f>
        <v>159.18100000000001</v>
      </c>
      <c r="K60" s="82">
        <f>SUM('Grants Need-Based'!CP60,'Grants Non Need-Based '!CP60,Other!K60)</f>
        <v>173.376</v>
      </c>
      <c r="L60" s="82">
        <f>SUM('Grants Need-Based'!CQ60,'Grants Non Need-Based '!CQ60,Other!L60)</f>
        <v>188.95500000000001</v>
      </c>
      <c r="M60" s="82">
        <f>SUM('Grants Need-Based'!CR60,'Grants Non Need-Based '!CR60,Other!M60)</f>
        <v>268.63</v>
      </c>
      <c r="N60" s="82">
        <f>SUM('Grants Need-Based'!CS60,'Grants Non Need-Based '!CS60,Other!N60)</f>
        <v>249.35621800000001</v>
      </c>
      <c r="O60" s="82">
        <f>SUM('Grants Need-Based'!CT60,'Grants Non Need-Based '!CT60,Other!O60)</f>
        <v>346.75656699999968</v>
      </c>
      <c r="P60" s="82">
        <f>SUM('Grants Need-Based'!CU60,'Grants Non Need-Based '!CU60,Other!P60)</f>
        <v>392.47286999999994</v>
      </c>
      <c r="Q60" s="82">
        <f>SUM('Grants Need-Based'!CV60,'Grants Non Need-Based '!CV60,Other!Q60)</f>
        <v>318.12400000000002</v>
      </c>
      <c r="R60" s="82">
        <f>SUM('Grants Need-Based'!CW60,'Grants Non Need-Based '!CW60,Other!R60)</f>
        <v>329.86624999999998</v>
      </c>
      <c r="S60" s="82">
        <f>SUM('Grants Need-Based'!CX60,'Grants Non Need-Based '!CX60,Other!S60)</f>
        <v>382.90649999999999</v>
      </c>
      <c r="T60" s="82">
        <f>SUM('Grants Need-Based'!CY60,'Grants Non Need-Based '!CY60,Other!T60)</f>
        <v>402.89474999999999</v>
      </c>
      <c r="U60" s="82">
        <f>SUM('Grants Need-Based'!CZ60,'Grants Non Need-Based '!CZ60,Other!U60)</f>
        <v>382.24399999999997</v>
      </c>
      <c r="V60" s="82">
        <f>SUM('Grants Need-Based'!DA60,'Grants Non Need-Based '!DA60,Other!V60)</f>
        <v>402.14700000000005</v>
      </c>
      <c r="W60" s="82">
        <f>SUM('Grants Need-Based'!DB60,'Grants Non Need-Based '!DB60,Other!W60)</f>
        <v>403.03</v>
      </c>
      <c r="X60" s="82">
        <f>SUM('Grants Need-Based'!DC60,'Grants Non Need-Based '!DC60,Other!X60)</f>
        <v>444.84618599999999</v>
      </c>
      <c r="Y60" s="82">
        <f>SUM('Grants Need-Based'!DD60,'Grants Non Need-Based '!DD60,Other!Y60)</f>
        <v>504.75899999999996</v>
      </c>
      <c r="Z60" s="82">
        <f>SUM('Grants Need-Based'!DE60,'Grants Non Need-Based '!DE60,Other!Z60)</f>
        <v>507.07900000000006</v>
      </c>
      <c r="AA60" s="82">
        <f>SUM('Grants Need-Based'!DF60,'Grants Non Need-Based '!DF60,Other!AA60)</f>
        <v>405.20299999999997</v>
      </c>
      <c r="AB60" s="82">
        <f>SUM('Grants Need-Based'!DG60,'Grants Non Need-Based '!DG60,Other!AB60)</f>
        <v>444.13400000000001</v>
      </c>
      <c r="AC60" s="82">
        <f>SUM('Grants Need-Based'!DH60,'Grants Non Need-Based '!DH60,Other!AC60)</f>
        <v>398.53700000000003</v>
      </c>
      <c r="AD60" s="82">
        <f>SUM('Grants Need-Based'!DI60,'Grants Non Need-Based '!DI60,Other!AD60)</f>
        <v>486.87099999999998</v>
      </c>
      <c r="AE60" s="82">
        <f>SUM('Grants Need-Based'!DJ60,'Grants Non Need-Based '!DJ60,Other!AE60)</f>
        <v>477.60300000000001</v>
      </c>
      <c r="AF60" s="82">
        <f>SUM('Grants Need-Based'!DK60,'Grants Non Need-Based '!DK60,Other!AF60)</f>
        <v>482.55899999999997</v>
      </c>
      <c r="AG60" s="82">
        <f>SUM('Grants Need-Based'!DL60,'Grants Non Need-Based '!DL60,Other!AG60)</f>
        <v>475.47400000000005</v>
      </c>
      <c r="AH60" s="82">
        <f>SUM('Grants Need-Based'!DM60,'Grants Non Need-Based '!DM60,Other!AH60)</f>
        <v>474.25999299999995</v>
      </c>
      <c r="AI60" s="82">
        <f>SUM('Grants Need-Based'!DN60,'Grants Non Need-Based '!DN60,Other!AI60)</f>
        <v>461.507431</v>
      </c>
    </row>
    <row r="61" spans="1:35">
      <c r="A61" s="23" t="s">
        <v>89</v>
      </c>
      <c r="B61" s="82">
        <f>SUM('Grants Need-Based'!CG61,'Grants Non Need-Based '!CG61,Other!B61)</f>
        <v>7.3929999999999998</v>
      </c>
      <c r="C61" s="82">
        <f>SUM('Grants Need-Based'!CH61,'Grants Non Need-Based '!CH61,Other!C61)</f>
        <v>7.7370000000000001</v>
      </c>
      <c r="D61" s="82">
        <f>SUM('Grants Need-Based'!CI61,'Grants Non Need-Based '!CI61,Other!D61)</f>
        <v>8.1489999999999991</v>
      </c>
      <c r="E61" s="82">
        <f>SUM('Grants Need-Based'!CJ61,'Grants Non Need-Based '!CJ61,Other!E61)</f>
        <v>8.4120000000000008</v>
      </c>
      <c r="F61" s="82">
        <f>SUM('Grants Need-Based'!CK61,'Grants Non Need-Based '!CK61,Other!F61)</f>
        <v>9.7460000000000004</v>
      </c>
      <c r="G61" s="82">
        <f>SUM('Grants Need-Based'!CL61,'Grants Non Need-Based '!CL61,Other!G61)</f>
        <v>9.25</v>
      </c>
      <c r="H61" s="82">
        <f>SUM('Grants Need-Based'!CM61,'Grants Non Need-Based '!CM61,Other!H61)</f>
        <v>11.254</v>
      </c>
      <c r="I61" s="82">
        <f>SUM('Grants Need-Based'!CN61,'Grants Non Need-Based '!CN61,Other!I61)</f>
        <v>10.615</v>
      </c>
      <c r="J61" s="82">
        <f>SUM('Grants Need-Based'!CO61,'Grants Non Need-Based '!CO61,Other!J61)</f>
        <v>9.5609999999999999</v>
      </c>
      <c r="K61" s="82">
        <f>SUM('Grants Need-Based'!CP61,'Grants Non Need-Based '!CP61,Other!K61)</f>
        <v>9.923</v>
      </c>
      <c r="L61" s="82">
        <f>SUM('Grants Need-Based'!CQ61,'Grants Non Need-Based '!CQ61,Other!L61)</f>
        <v>6.84</v>
      </c>
      <c r="M61" s="82">
        <f>SUM('Grants Need-Based'!CR61,'Grants Non Need-Based '!CR61,Other!M61)</f>
        <v>7.1815379999999998</v>
      </c>
      <c r="N61" s="82">
        <f>SUM('Grants Need-Based'!CS61,'Grants Non Need-Based '!CS61,Other!N61)</f>
        <v>6.7147720000000106</v>
      </c>
      <c r="O61" s="82">
        <f>SUM('Grants Need-Based'!CT61,'Grants Non Need-Based '!CT61,Other!O61)</f>
        <v>7.0835259999999938</v>
      </c>
      <c r="P61" s="82">
        <f>SUM('Grants Need-Based'!CU61,'Grants Non Need-Based '!CU61,Other!P61)</f>
        <v>7.4028370000000043</v>
      </c>
      <c r="Q61" s="82">
        <f>SUM('Grants Need-Based'!CV61,'Grants Non Need-Based '!CV61,Other!Q61)</f>
        <v>7.0819999999999999</v>
      </c>
      <c r="R61" s="82">
        <f>SUM('Grants Need-Based'!CW61,'Grants Non Need-Based '!CW61,Other!R61)</f>
        <v>7.4420000000000002</v>
      </c>
      <c r="S61" s="82">
        <f>SUM('Grants Need-Based'!CX61,'Grants Non Need-Based '!CX61,Other!S61)</f>
        <v>7.7851999999999997</v>
      </c>
      <c r="T61" s="82">
        <f>SUM('Grants Need-Based'!CY61,'Grants Non Need-Based '!CY61,Other!T61)</f>
        <v>7.3629999999999995</v>
      </c>
      <c r="U61" s="82">
        <f>SUM('Grants Need-Based'!CZ61,'Grants Non Need-Based '!CZ61,Other!U61)</f>
        <v>6.7799999999999994</v>
      </c>
      <c r="V61" s="82">
        <f>SUM('Grants Need-Based'!DA61,'Grants Non Need-Based '!DA61,Other!V61)</f>
        <v>12.5945</v>
      </c>
      <c r="W61" s="82">
        <f>SUM('Grants Need-Based'!DB61,'Grants Non Need-Based '!DB61,Other!W61)</f>
        <v>13.946</v>
      </c>
      <c r="X61" s="82">
        <f>SUM('Grants Need-Based'!DC61,'Grants Non Need-Based '!DC61,Other!X61)</f>
        <v>12.883010000000001</v>
      </c>
      <c r="Y61" s="82">
        <f>SUM('Grants Need-Based'!DD61,'Grants Non Need-Based '!DD61,Other!Y61)</f>
        <v>13.021000000000001</v>
      </c>
      <c r="Z61" s="82">
        <f>SUM('Grants Need-Based'!DE61,'Grants Non Need-Based '!DE61,Other!Z61)</f>
        <v>15.336</v>
      </c>
      <c r="AA61" s="82">
        <f>SUM('Grants Need-Based'!DF61,'Grants Non Need-Based '!DF61,Other!AA61)</f>
        <v>10.651999999999999</v>
      </c>
      <c r="AB61" s="82">
        <f>SUM('Grants Need-Based'!DG61,'Grants Non Need-Based '!DG61,Other!AB61)</f>
        <v>11.002000000000001</v>
      </c>
      <c r="AC61" s="82">
        <f>SUM('Grants Need-Based'!DH61,'Grants Non Need-Based '!DH61,Other!AC61)</f>
        <v>13.17</v>
      </c>
      <c r="AD61" s="82">
        <f>SUM('Grants Need-Based'!DI61,'Grants Non Need-Based '!DI61,Other!AD61)</f>
        <v>12.609</v>
      </c>
      <c r="AE61" s="82">
        <f>SUM('Grants Need-Based'!DJ61,'Grants Non Need-Based '!DJ61,Other!AE61)</f>
        <v>12.406000000000001</v>
      </c>
      <c r="AF61" s="82">
        <f>SUM('Grants Need-Based'!DK61,'Grants Non Need-Based '!DK61,Other!AF61)</f>
        <v>11.920999999999999</v>
      </c>
      <c r="AG61" s="82">
        <f>SUM('Grants Need-Based'!DL61,'Grants Non Need-Based '!DL61,Other!AG61)</f>
        <v>7.3659999999999997</v>
      </c>
      <c r="AH61" s="82">
        <f>SUM('Grants Need-Based'!DM61,'Grants Non Need-Based '!DM61,Other!AH61)</f>
        <v>7.7864719999999998</v>
      </c>
      <c r="AI61" s="82">
        <f>SUM('Grants Need-Based'!DN61,'Grants Non Need-Based '!DN61,Other!AI61)</f>
        <v>9.4189039999999995</v>
      </c>
    </row>
    <row r="62" spans="1:35">
      <c r="A62" s="32" t="s">
        <v>90</v>
      </c>
      <c r="B62" s="81">
        <f>SUM('Grants Need-Based'!CG62,'Grants Non Need-Based '!CG62,Other!B62)</f>
        <v>7.39</v>
      </c>
      <c r="C62" s="81">
        <f>SUM('Grants Need-Based'!CH62,'Grants Non Need-Based '!CH62,Other!C62)</f>
        <v>7.8479999999999999</v>
      </c>
      <c r="D62" s="81">
        <f>SUM('Grants Need-Based'!CI62,'Grants Non Need-Based '!CI62,Other!D62)</f>
        <v>8.1820000000000004</v>
      </c>
      <c r="E62" s="81">
        <f>SUM('Grants Need-Based'!CJ62,'Grants Non Need-Based '!CJ62,Other!E62)</f>
        <v>8.4369999999999994</v>
      </c>
      <c r="F62" s="81">
        <f>SUM('Grants Need-Based'!CK62,'Grants Non Need-Based '!CK62,Other!F62)</f>
        <v>8.5679999999999996</v>
      </c>
      <c r="G62" s="81">
        <f>SUM('Grants Need-Based'!CL62,'Grants Non Need-Based '!CL62,Other!G62)</f>
        <v>9.7840000000000007</v>
      </c>
      <c r="H62" s="81">
        <f>SUM('Grants Need-Based'!CM62,'Grants Non Need-Based '!CM62,Other!H62)</f>
        <v>11.384</v>
      </c>
      <c r="I62" s="81">
        <f>SUM('Grants Need-Based'!CN62,'Grants Non Need-Based '!CN62,Other!I62)</f>
        <v>11.177</v>
      </c>
      <c r="J62" s="81">
        <f>SUM('Grants Need-Based'!CO62,'Grants Non Need-Based '!CO62,Other!J62)</f>
        <v>11.302</v>
      </c>
      <c r="K62" s="81">
        <f>SUM('Grants Need-Based'!CP62,'Grants Non Need-Based '!CP62,Other!K62)</f>
        <v>11.280999999999999</v>
      </c>
      <c r="L62" s="81">
        <f>SUM('Grants Need-Based'!CQ62,'Grants Non Need-Based '!CQ62,Other!L62)</f>
        <v>11.323</v>
      </c>
      <c r="M62" s="81">
        <f>SUM('Grants Need-Based'!CR62,'Grants Non Need-Based '!CR62,Other!M62)</f>
        <v>12.139000000000001</v>
      </c>
      <c r="N62" s="81">
        <f>SUM('Grants Need-Based'!CS62,'Grants Non Need-Based '!CS62,Other!N62)</f>
        <v>12.18971</v>
      </c>
      <c r="O62" s="81">
        <f>SUM('Grants Need-Based'!CT62,'Grants Non Need-Based '!CT62,Other!O62)</f>
        <v>12.012120999999999</v>
      </c>
      <c r="P62" s="81">
        <f>SUM('Grants Need-Based'!CU62,'Grants Non Need-Based '!CU62,Other!P62)</f>
        <v>12.926585999999986</v>
      </c>
      <c r="Q62" s="81">
        <f>SUM('Grants Need-Based'!CV62,'Grants Non Need-Based '!CV62,Other!Q62)</f>
        <v>13.334</v>
      </c>
      <c r="R62" s="81">
        <f>SUM('Grants Need-Based'!CW62,'Grants Non Need-Based '!CW62,Other!R62)</f>
        <v>14.383000000000001</v>
      </c>
      <c r="S62" s="81">
        <f>SUM('Grants Need-Based'!CX62,'Grants Non Need-Based '!CX62,Other!S62)</f>
        <v>15.109</v>
      </c>
      <c r="T62" s="81">
        <f>SUM('Grants Need-Based'!CY62,'Grants Non Need-Based '!CY62,Other!T62)</f>
        <v>16.254000000000001</v>
      </c>
      <c r="U62" s="81">
        <f>SUM('Grants Need-Based'!CZ62,'Grants Non Need-Based '!CZ62,Other!U62)</f>
        <v>17.051000000000002</v>
      </c>
      <c r="V62" s="81">
        <f>SUM('Grants Need-Based'!DA62,'Grants Non Need-Based '!DA62,Other!V62)</f>
        <v>18.459499999999998</v>
      </c>
      <c r="W62" s="81">
        <f>SUM('Grants Need-Based'!DB62,'Grants Non Need-Based '!DB62,Other!W62)</f>
        <v>17.381</v>
      </c>
      <c r="X62" s="81">
        <f>SUM('Grants Need-Based'!DC62,'Grants Non Need-Based '!DC62,Other!X62)</f>
        <v>19.051524000000001</v>
      </c>
      <c r="Y62" s="81">
        <f>SUM('Grants Need-Based'!DD62,'Grants Non Need-Based '!DD62,Other!Y62)</f>
        <v>18.78</v>
      </c>
      <c r="Z62" s="81">
        <f>SUM('Grants Need-Based'!DE62,'Grants Non Need-Based '!DE62,Other!Z62)</f>
        <v>21.472999999999999</v>
      </c>
      <c r="AA62" s="81">
        <f>SUM('Grants Need-Based'!DF62,'Grants Non Need-Based '!DF62,Other!AA62)</f>
        <v>20.52</v>
      </c>
      <c r="AB62" s="81">
        <f>SUM('Grants Need-Based'!DG62,'Grants Non Need-Based '!DG62,Other!AB62)</f>
        <v>21.676000000000002</v>
      </c>
      <c r="AC62" s="81">
        <f>SUM('Grants Need-Based'!DH62,'Grants Non Need-Based '!DH62,Other!AC62)</f>
        <v>20.734000000000002</v>
      </c>
      <c r="AD62" s="81">
        <f>SUM('Grants Need-Based'!DI62,'Grants Non Need-Based '!DI62,Other!AD62)</f>
        <v>21.75</v>
      </c>
      <c r="AE62" s="81">
        <f>SUM('Grants Need-Based'!DJ62,'Grants Non Need-Based '!DJ62,Other!AE62)</f>
        <v>20.590999999999998</v>
      </c>
      <c r="AF62" s="81">
        <f>SUM('Grants Need-Based'!DK62,'Grants Non Need-Based '!DK62,Other!AF62)</f>
        <v>21</v>
      </c>
      <c r="AG62" s="81">
        <f>SUM('Grants Need-Based'!DL62,'Grants Non Need-Based '!DL62,Other!AG62)</f>
        <v>20.373999999999999</v>
      </c>
      <c r="AH62" s="81">
        <f>SUM('Grants Need-Based'!DM62,'Grants Non Need-Based '!DM62,Other!AH62)</f>
        <v>21.241259999999997</v>
      </c>
      <c r="AI62" s="81">
        <f>SUM('Grants Need-Based'!DN62,'Grants Non Need-Based '!DN62,Other!AI62)</f>
        <v>21.772484999999996</v>
      </c>
    </row>
    <row r="63" spans="1:35">
      <c r="A63" s="47" t="s">
        <v>91</v>
      </c>
      <c r="B63" s="83">
        <f>SUM('Grants Need-Based'!CG63,'Grants Non Need-Based '!CG63,Other!B63)</f>
        <v>0.876</v>
      </c>
      <c r="C63" s="83">
        <f>SUM('Grants Need-Based'!CH63,'Grants Non Need-Based '!CH63,Other!C63)</f>
        <v>1.1059999999999999</v>
      </c>
      <c r="D63" s="83">
        <f>SUM('Grants Need-Based'!CI63,'Grants Non Need-Based '!CI63,Other!D63)</f>
        <v>1.1060000000000001</v>
      </c>
      <c r="E63" s="83">
        <f>SUM('Grants Need-Based'!CJ63,'Grants Non Need-Based '!CJ63,Other!E63)</f>
        <v>1.0589999999999999</v>
      </c>
      <c r="F63" s="83">
        <f>SUM('Grants Need-Based'!CK63,'Grants Non Need-Based '!CK63,Other!F63)</f>
        <v>1.1060000000000001</v>
      </c>
      <c r="G63" s="83">
        <f>SUM('Grants Need-Based'!CL63,'Grants Non Need-Based '!CL63,Other!G63)</f>
        <v>1.075</v>
      </c>
      <c r="H63" s="83">
        <f>SUM('Grants Need-Based'!CM63,'Grants Non Need-Based '!CM63,Other!H63)</f>
        <v>1.069</v>
      </c>
      <c r="I63" s="83">
        <f>SUM('Grants Need-Based'!CN63,'Grants Non Need-Based '!CN63,Other!I63)</f>
        <v>0.97399999999999998</v>
      </c>
      <c r="J63" s="83">
        <f>SUM('Grants Need-Based'!CO63,'Grants Non Need-Based '!CO63,Other!J63)</f>
        <v>1.01</v>
      </c>
      <c r="K63" s="83">
        <f>SUM('Grants Need-Based'!CP63,'Grants Non Need-Based '!CP63,Other!K63)</f>
        <v>1.0679999999999998</v>
      </c>
      <c r="L63" s="83">
        <f>SUM('Grants Need-Based'!CQ63,'Grants Non Need-Based '!CQ63,Other!L63)</f>
        <v>2.0540000000000003</v>
      </c>
      <c r="M63" s="83">
        <f>SUM('Grants Need-Based'!CR63,'Grants Non Need-Based '!CR63,Other!M63)</f>
        <v>1.3005000000000002</v>
      </c>
      <c r="N63" s="83">
        <f>SUM('Grants Need-Based'!CS63,'Grants Non Need-Based '!CS63,Other!N63)</f>
        <v>1.0069999999999999</v>
      </c>
      <c r="O63" s="83">
        <f>SUM('Grants Need-Based'!CT63,'Grants Non Need-Based '!CT63,Other!O63)</f>
        <v>1.0069999999999999</v>
      </c>
      <c r="P63" s="83">
        <f>SUM('Grants Need-Based'!CU63,'Grants Non Need-Based '!CU63,Other!P63)</f>
        <v>1.0069999999999999</v>
      </c>
      <c r="Q63" s="83">
        <f>SUM('Grants Need-Based'!CV63,'Grants Non Need-Based '!CV63,Other!Q63)</f>
        <v>0.74299999999999999</v>
      </c>
      <c r="R63" s="83">
        <f>SUM('Grants Need-Based'!CW63,'Grants Non Need-Based '!CW63,Other!R63)</f>
        <v>1.105</v>
      </c>
      <c r="S63" s="83">
        <f>SUM('Grants Need-Based'!CX63,'Grants Non Need-Based '!CX63,Other!S63)</f>
        <v>9.76</v>
      </c>
      <c r="T63" s="83">
        <f>SUM('Grants Need-Based'!CY63,'Grants Non Need-Based '!CY63,Other!T63)</f>
        <v>15.69</v>
      </c>
      <c r="U63" s="83">
        <f>SUM('Grants Need-Based'!CZ63,'Grants Non Need-Based '!CZ63,Other!U63)</f>
        <v>3.4066666666666667</v>
      </c>
      <c r="V63" s="83">
        <f>SUM('Grants Need-Based'!DA63,'Grants Non Need-Based '!DA63,Other!V63)</f>
        <v>29.883187777777778</v>
      </c>
      <c r="W63" s="83">
        <f>SUM('Grants Need-Based'!DB63,'Grants Non Need-Based '!DB63,Other!W63)</f>
        <v>31.356999999999999</v>
      </c>
      <c r="X63" s="83">
        <f>SUM('Grants Need-Based'!DC63,'Grants Non Need-Based '!DC63,Other!X63)</f>
        <v>33.856447000000003</v>
      </c>
      <c r="Y63" s="83">
        <f>SUM('Grants Need-Based'!DD63,'Grants Non Need-Based '!DD63,Other!Y63)</f>
        <v>33.665999999999997</v>
      </c>
      <c r="Z63" s="83">
        <f>SUM('Grants Need-Based'!DE63,'Grants Non Need-Based '!DE63,Other!Z63)</f>
        <v>33.495999999999995</v>
      </c>
      <c r="AA63" s="83">
        <f>SUM('Grants Need-Based'!DF63,'Grants Non Need-Based '!DF63,Other!AA63)</f>
        <v>65.718000000000004</v>
      </c>
      <c r="AB63" s="83">
        <f>SUM('Grants Need-Based'!DG63,'Grants Non Need-Based '!DG63,Other!AB63)</f>
        <v>34.379999999999995</v>
      </c>
      <c r="AC63" s="83">
        <f>SUM('Grants Need-Based'!DH63,'Grants Non Need-Based '!DH63,Other!AC63)</f>
        <v>34.714000000000006</v>
      </c>
      <c r="AD63" s="83">
        <f>SUM('Grants Need-Based'!DI63,'Grants Non Need-Based '!DI63,Other!AD63)</f>
        <v>35.186</v>
      </c>
      <c r="AE63" s="83">
        <f>SUM('Grants Need-Based'!DJ63,'Grants Non Need-Based '!DJ63,Other!AE63)</f>
        <v>34.136000000000003</v>
      </c>
      <c r="AF63" s="83">
        <f>SUM('Grants Need-Based'!DK63,'Grants Non Need-Based '!DK63,Other!AF63)</f>
        <v>31.794</v>
      </c>
      <c r="AG63" s="83">
        <f>SUM('Grants Need-Based'!DL63,'Grants Non Need-Based '!DL63,Other!AG63)</f>
        <v>31.08</v>
      </c>
      <c r="AH63" s="83">
        <f>SUM('Grants Need-Based'!DM63,'Grants Non Need-Based '!DM63,Other!AH63)</f>
        <v>31.755845000000001</v>
      </c>
      <c r="AI63" s="83">
        <f>SUM('Grants Need-Based'!DN63,'Grants Non Need-Based '!DN63,Other!AI63)</f>
        <v>31.013749000000001</v>
      </c>
    </row>
    <row r="64" spans="1:35">
      <c r="B64" s="72"/>
      <c r="C64" s="59"/>
      <c r="D64" s="59"/>
      <c r="E64" s="59"/>
      <c r="F64" s="59"/>
      <c r="G64" s="59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</row>
    <row r="65" spans="2:35" ht="177" customHeight="1">
      <c r="B65" s="72"/>
      <c r="C65" s="59"/>
      <c r="D65" s="59"/>
      <c r="E65" s="59"/>
      <c r="F65" s="59"/>
      <c r="G65" s="59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AG65" s="50" t="s">
        <v>212</v>
      </c>
      <c r="AH65" s="50" t="s">
        <v>216</v>
      </c>
      <c r="AI65" s="50" t="s">
        <v>222</v>
      </c>
    </row>
    <row r="66" spans="2:35">
      <c r="B66" s="72"/>
      <c r="C66" s="72"/>
      <c r="D66" s="72"/>
      <c r="E66" s="72"/>
      <c r="F66" s="72"/>
      <c r="G66" s="59"/>
      <c r="H66" s="72"/>
      <c r="I66" s="72"/>
      <c r="J66" s="72"/>
      <c r="K66" s="72"/>
      <c r="L66" s="72"/>
      <c r="M66" s="72"/>
      <c r="N66" s="72"/>
      <c r="O66" s="84"/>
      <c r="P66" s="84"/>
      <c r="Q66" s="84"/>
      <c r="R66" s="84"/>
      <c r="S66" s="84"/>
      <c r="T66" s="84"/>
      <c r="U66" s="84"/>
      <c r="V66" s="84"/>
    </row>
    <row r="67" spans="2:35">
      <c r="B67" s="72"/>
      <c r="C67" s="72"/>
      <c r="D67" s="72"/>
      <c r="E67" s="72"/>
      <c r="F67" s="72"/>
      <c r="G67" s="59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</row>
    <row r="68" spans="2:35">
      <c r="B68" s="72"/>
      <c r="C68" s="59"/>
      <c r="D68" s="59"/>
      <c r="E68" s="59"/>
      <c r="F68" s="59"/>
      <c r="G68" s="59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</row>
    <row r="69" spans="2:35">
      <c r="B69" s="72"/>
      <c r="C69" s="59"/>
      <c r="D69" s="59"/>
      <c r="E69" s="59"/>
      <c r="F69" s="59"/>
      <c r="G69" s="59"/>
      <c r="H69" s="72"/>
      <c r="I69" s="72"/>
      <c r="J69" s="72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</row>
    <row r="70" spans="2:35">
      <c r="B70" s="72"/>
      <c r="C70" s="59"/>
      <c r="D70" s="59"/>
      <c r="E70" s="59"/>
      <c r="F70" s="59"/>
      <c r="G70" s="59"/>
      <c r="H70" s="72"/>
      <c r="I70" s="72"/>
      <c r="J70" s="72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2:35">
      <c r="B71" s="72"/>
      <c r="C71" s="59"/>
      <c r="D71" s="59"/>
      <c r="E71" s="59"/>
      <c r="F71" s="59"/>
      <c r="G71" s="59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</row>
    <row r="72" spans="2:35">
      <c r="B72" s="72"/>
      <c r="C72" s="59"/>
      <c r="D72" s="59"/>
      <c r="E72" s="59"/>
      <c r="F72" s="59"/>
      <c r="G72" s="59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</row>
    <row r="73" spans="2:35">
      <c r="B73" s="72"/>
      <c r="C73" s="59"/>
      <c r="D73" s="59"/>
      <c r="E73" s="59"/>
      <c r="F73" s="59"/>
      <c r="G73" s="59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</row>
    <row r="74" spans="2:35">
      <c r="B74" s="72"/>
      <c r="C74" s="59"/>
      <c r="D74" s="59"/>
      <c r="E74" s="59"/>
      <c r="F74" s="59"/>
      <c r="G74" s="59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</row>
    <row r="75" spans="2:35">
      <c r="B75" s="72"/>
      <c r="C75" s="59"/>
      <c r="D75" s="59"/>
      <c r="E75" s="59"/>
      <c r="F75" s="59"/>
      <c r="G75" s="59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</row>
    <row r="76" spans="2:35">
      <c r="B76" s="72"/>
      <c r="C76" s="72"/>
      <c r="D76" s="72"/>
      <c r="E76" s="72"/>
      <c r="F76" s="72"/>
      <c r="G76" s="59"/>
      <c r="H76" s="72"/>
      <c r="I76" s="72"/>
      <c r="J76" s="72"/>
      <c r="K76" s="72"/>
      <c r="L76" s="84"/>
      <c r="M76" s="84"/>
      <c r="N76" s="72"/>
      <c r="O76" s="84"/>
      <c r="P76" s="84"/>
      <c r="Q76" s="84"/>
      <c r="R76" s="84"/>
      <c r="S76" s="84"/>
      <c r="T76" s="84"/>
      <c r="U76" s="84"/>
      <c r="V76" s="84"/>
    </row>
    <row r="77" spans="2:35">
      <c r="B77" s="84"/>
      <c r="C77" s="59"/>
      <c r="D77" s="59"/>
      <c r="E77" s="59"/>
      <c r="F77" s="59"/>
      <c r="G77" s="59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</row>
    <row r="78" spans="2:35">
      <c r="B78" s="72"/>
      <c r="C78" s="72"/>
      <c r="D78" s="72"/>
      <c r="E78" s="72"/>
      <c r="F78" s="72"/>
      <c r="G78" s="59"/>
      <c r="H78" s="23"/>
      <c r="I78" s="23"/>
      <c r="J78" s="23"/>
      <c r="K78" s="59"/>
      <c r="L78" s="59"/>
      <c r="M78" s="59"/>
      <c r="N78" s="59"/>
      <c r="O78" s="59"/>
      <c r="P78" s="59"/>
      <c r="Q78" s="23"/>
      <c r="R78" s="23"/>
      <c r="S78" s="23"/>
      <c r="T78" s="23"/>
      <c r="U78" s="23"/>
      <c r="V78" s="23"/>
    </row>
    <row r="79" spans="2:35">
      <c r="B79" s="23"/>
      <c r="C79" s="23"/>
      <c r="D79" s="23"/>
      <c r="E79" s="23"/>
      <c r="F79" s="23"/>
      <c r="G79" s="59"/>
      <c r="H79" s="59"/>
      <c r="I79" s="59"/>
      <c r="J79" s="59"/>
      <c r="K79" s="59"/>
      <c r="L79" s="23"/>
      <c r="M79" s="59"/>
      <c r="N79" s="59"/>
      <c r="O79" s="59"/>
      <c r="P79" s="59"/>
      <c r="Q79" s="23"/>
      <c r="R79" s="23"/>
      <c r="S79" s="23"/>
      <c r="T79" s="23"/>
      <c r="U79" s="23"/>
      <c r="V79" s="23"/>
    </row>
    <row r="80" spans="2:35">
      <c r="B80" s="23"/>
      <c r="C80" s="23"/>
      <c r="D80" s="23"/>
      <c r="E80" s="23"/>
      <c r="F80" s="23"/>
      <c r="G80" s="59"/>
      <c r="H80" s="59"/>
      <c r="I80" s="59"/>
      <c r="J80" s="59"/>
      <c r="K80" s="59"/>
      <c r="L80" s="23"/>
      <c r="M80" s="59"/>
      <c r="N80" s="59"/>
      <c r="O80" s="59"/>
      <c r="P80" s="59"/>
      <c r="Q80" s="23"/>
      <c r="R80" s="23"/>
      <c r="S80" s="23"/>
      <c r="T80" s="23"/>
      <c r="U80" s="23"/>
      <c r="V80" s="23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CC"/>
  </sheetPr>
  <dimension ref="A1:ES67"/>
  <sheetViews>
    <sheetView zoomScale="80" zoomScaleNormal="80" workbookViewId="0">
      <pane xSplit="1" ySplit="3" topLeftCell="BA19" activePane="bottomRight" state="frozen"/>
      <selection pane="topRight" activeCell="B1" sqref="B1"/>
      <selection pane="bottomLeft" activeCell="A4" sqref="A4"/>
      <selection pane="bottomRight" activeCell="BP31" sqref="BP31"/>
    </sheetView>
  </sheetViews>
  <sheetFormatPr defaultColWidth="9.140625" defaultRowHeight="12.75"/>
  <cols>
    <col min="1" max="1" width="23.42578125" customWidth="1"/>
    <col min="2" max="11" width="9.7109375" style="8" customWidth="1"/>
    <col min="12" max="21" width="11" style="8" customWidth="1"/>
    <col min="22" max="35" width="10.5703125" style="8" customWidth="1"/>
    <col min="36" max="68" width="9.7109375" style="8" customWidth="1"/>
    <col min="69" max="69" width="10.5703125" style="8" customWidth="1"/>
    <col min="70" max="83" width="9.7109375" style="8" customWidth="1"/>
    <col min="84" max="84" width="10.5703125" style="8" customWidth="1"/>
    <col min="85" max="94" width="9.7109375" style="213" customWidth="1"/>
    <col min="95" max="97" width="10.5703125" style="213" customWidth="1"/>
    <col min="98" max="103" width="10.85546875" style="213" customWidth="1"/>
    <col min="104" max="106" width="11" style="213" customWidth="1"/>
    <col min="107" max="111" width="11.28515625" style="213" customWidth="1"/>
    <col min="112" max="113" width="10.5703125" style="5" bestFit="1" customWidth="1"/>
    <col min="114" max="114" width="10.5703125" style="5" customWidth="1"/>
    <col min="115" max="115" width="10.5703125" style="5" bestFit="1" customWidth="1"/>
    <col min="116" max="118" width="10.5703125" style="5" customWidth="1"/>
    <col min="119" max="144" width="9.140625" style="5"/>
    <col min="145" max="149" width="9.7109375" style="12" customWidth="1"/>
    <col min="150" max="16384" width="9.140625" style="5"/>
  </cols>
  <sheetData>
    <row r="1" spans="1:149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>
        <f>BO4-BJ4</f>
        <v>52.679999999999978</v>
      </c>
      <c r="BN1" s="2">
        <f>BP4-BK4</f>
        <v>80.103662000000014</v>
      </c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3" t="s">
        <v>1</v>
      </c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EO1" s="6"/>
      <c r="EP1" s="6"/>
      <c r="EQ1" s="6"/>
      <c r="ER1" s="6"/>
      <c r="ES1" s="6"/>
    </row>
    <row r="2" spans="1:149">
      <c r="B2" s="7" t="s">
        <v>2</v>
      </c>
      <c r="AJ2" s="9" t="s">
        <v>3</v>
      </c>
      <c r="BR2" s="9" t="s">
        <v>4</v>
      </c>
      <c r="CG2" s="10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4"/>
      <c r="DK2" s="11"/>
      <c r="DL2" s="265"/>
      <c r="DM2" s="265"/>
      <c r="DN2" s="265"/>
    </row>
    <row r="3" spans="1:149"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3" t="s">
        <v>17</v>
      </c>
      <c r="O3" s="13" t="s">
        <v>18</v>
      </c>
      <c r="P3" s="13" t="s">
        <v>19</v>
      </c>
      <c r="Q3" s="13" t="s">
        <v>20</v>
      </c>
      <c r="R3" s="13" t="s">
        <v>21</v>
      </c>
      <c r="S3" s="13" t="s">
        <v>22</v>
      </c>
      <c r="T3" s="13" t="s">
        <v>23</v>
      </c>
      <c r="U3" s="13" t="s">
        <v>24</v>
      </c>
      <c r="V3" s="13" t="s">
        <v>25</v>
      </c>
      <c r="W3" s="13" t="s">
        <v>26</v>
      </c>
      <c r="X3" s="13" t="s">
        <v>27</v>
      </c>
      <c r="Y3" s="13" t="s">
        <v>28</v>
      </c>
      <c r="Z3" s="13" t="s">
        <v>29</v>
      </c>
      <c r="AA3" s="13" t="s">
        <v>30</v>
      </c>
      <c r="AB3" s="13" t="s">
        <v>31</v>
      </c>
      <c r="AC3" s="13" t="s">
        <v>193</v>
      </c>
      <c r="AD3" s="13" t="s">
        <v>198</v>
      </c>
      <c r="AE3" s="13" t="s">
        <v>202</v>
      </c>
      <c r="AF3" s="13" t="s">
        <v>207</v>
      </c>
      <c r="AG3" s="13" t="s">
        <v>210</v>
      </c>
      <c r="AH3" s="233" t="s">
        <v>217</v>
      </c>
      <c r="AI3" s="295" t="s">
        <v>221</v>
      </c>
      <c r="AJ3" s="14" t="s">
        <v>5</v>
      </c>
      <c r="AK3" s="13" t="s">
        <v>6</v>
      </c>
      <c r="AL3" s="13" t="s">
        <v>7</v>
      </c>
      <c r="AM3" s="13" t="s">
        <v>8</v>
      </c>
      <c r="AN3" s="13" t="s">
        <v>9</v>
      </c>
      <c r="AO3" s="13" t="s">
        <v>10</v>
      </c>
      <c r="AP3" s="13" t="s">
        <v>11</v>
      </c>
      <c r="AQ3" s="13" t="s">
        <v>12</v>
      </c>
      <c r="AR3" s="13" t="s">
        <v>13</v>
      </c>
      <c r="AS3" s="13" t="s">
        <v>14</v>
      </c>
      <c r="AT3" s="13" t="s">
        <v>15</v>
      </c>
      <c r="AU3" s="13" t="s">
        <v>16</v>
      </c>
      <c r="AV3" s="13" t="s">
        <v>17</v>
      </c>
      <c r="AW3" s="13" t="s">
        <v>18</v>
      </c>
      <c r="AX3" s="13" t="s">
        <v>19</v>
      </c>
      <c r="AY3" s="13" t="s">
        <v>20</v>
      </c>
      <c r="AZ3" s="13" t="s">
        <v>21</v>
      </c>
      <c r="BA3" s="13" t="s">
        <v>22</v>
      </c>
      <c r="BB3" s="13" t="s">
        <v>23</v>
      </c>
      <c r="BC3" s="13" t="s">
        <v>24</v>
      </c>
      <c r="BD3" s="13" t="s">
        <v>25</v>
      </c>
      <c r="BE3" s="13" t="s">
        <v>26</v>
      </c>
      <c r="BF3" s="13" t="s">
        <v>27</v>
      </c>
      <c r="BG3" s="13" t="s">
        <v>28</v>
      </c>
      <c r="BH3" s="13" t="s">
        <v>32</v>
      </c>
      <c r="BI3" s="13" t="s">
        <v>30</v>
      </c>
      <c r="BJ3" s="13" t="s">
        <v>31</v>
      </c>
      <c r="BK3" s="13" t="s">
        <v>193</v>
      </c>
      <c r="BL3" s="13" t="s">
        <v>198</v>
      </c>
      <c r="BM3" s="13" t="s">
        <v>202</v>
      </c>
      <c r="BN3" s="13" t="s">
        <v>207</v>
      </c>
      <c r="BO3" s="13" t="s">
        <v>210</v>
      </c>
      <c r="BP3" s="233" t="s">
        <v>217</v>
      </c>
      <c r="BQ3" s="295" t="s">
        <v>221</v>
      </c>
      <c r="BR3" s="14" t="s">
        <v>24</v>
      </c>
      <c r="BS3" s="13" t="s">
        <v>25</v>
      </c>
      <c r="BT3" s="13" t="s">
        <v>26</v>
      </c>
      <c r="BU3" s="13" t="s">
        <v>27</v>
      </c>
      <c r="BV3" s="13" t="s">
        <v>28</v>
      </c>
      <c r="BW3" s="13" t="s">
        <v>32</v>
      </c>
      <c r="BX3" s="13" t="s">
        <v>30</v>
      </c>
      <c r="BY3" s="13" t="s">
        <v>31</v>
      </c>
      <c r="BZ3" s="13" t="s">
        <v>193</v>
      </c>
      <c r="CA3" s="13" t="s">
        <v>198</v>
      </c>
      <c r="CB3" s="13" t="s">
        <v>202</v>
      </c>
      <c r="CC3" s="13" t="s">
        <v>207</v>
      </c>
      <c r="CD3" s="13" t="s">
        <v>210</v>
      </c>
      <c r="CE3" s="233" t="s">
        <v>217</v>
      </c>
      <c r="CF3" s="295" t="s">
        <v>221</v>
      </c>
      <c r="CG3" s="15" t="s">
        <v>5</v>
      </c>
      <c r="CH3" s="16" t="s">
        <v>6</v>
      </c>
      <c r="CI3" s="16" t="s">
        <v>7</v>
      </c>
      <c r="CJ3" s="16" t="s">
        <v>8</v>
      </c>
      <c r="CK3" s="16" t="s">
        <v>9</v>
      </c>
      <c r="CL3" s="16" t="s">
        <v>10</v>
      </c>
      <c r="CM3" s="16" t="s">
        <v>11</v>
      </c>
      <c r="CN3" s="16" t="s">
        <v>12</v>
      </c>
      <c r="CO3" s="16" t="s">
        <v>13</v>
      </c>
      <c r="CP3" s="16" t="s">
        <v>14</v>
      </c>
      <c r="CQ3" s="16" t="s">
        <v>15</v>
      </c>
      <c r="CR3" s="16" t="s">
        <v>16</v>
      </c>
      <c r="CS3" s="16" t="s">
        <v>17</v>
      </c>
      <c r="CT3" s="16" t="s">
        <v>18</v>
      </c>
      <c r="CU3" s="16" t="s">
        <v>19</v>
      </c>
      <c r="CV3" s="16" t="s">
        <v>20</v>
      </c>
      <c r="CW3" s="16" t="s">
        <v>21</v>
      </c>
      <c r="CX3" s="16" t="s">
        <v>22</v>
      </c>
      <c r="CY3" s="16" t="s">
        <v>23</v>
      </c>
      <c r="CZ3" s="16" t="s">
        <v>24</v>
      </c>
      <c r="DA3" s="16" t="s">
        <v>25</v>
      </c>
      <c r="DB3" s="16" t="s">
        <v>26</v>
      </c>
      <c r="DC3" s="16" t="s">
        <v>27</v>
      </c>
      <c r="DD3" s="16" t="s">
        <v>28</v>
      </c>
      <c r="DE3" s="16" t="s">
        <v>29</v>
      </c>
      <c r="DF3" s="16" t="s">
        <v>30</v>
      </c>
      <c r="DG3" s="16" t="s">
        <v>31</v>
      </c>
      <c r="DH3" s="16" t="s">
        <v>193</v>
      </c>
      <c r="DI3" s="16" t="s">
        <v>198</v>
      </c>
      <c r="DJ3" s="11" t="s">
        <v>202</v>
      </c>
      <c r="DK3" s="16" t="s">
        <v>207</v>
      </c>
      <c r="DL3" s="16" t="s">
        <v>210</v>
      </c>
      <c r="DM3" s="234" t="s">
        <v>217</v>
      </c>
      <c r="DN3" s="296" t="s">
        <v>221</v>
      </c>
    </row>
    <row r="4" spans="1:149">
      <c r="A4" s="17" t="s">
        <v>33</v>
      </c>
      <c r="B4" s="18">
        <f>SUM(B5,B23,B38,B52,B63)</f>
        <v>1038.9099999999999</v>
      </c>
      <c r="C4" s="18">
        <f t="shared" ref="C4:CI4" si="0">SUM(C5,C23,C38,C52,C63)</f>
        <v>1183.8489999999999</v>
      </c>
      <c r="D4" s="18">
        <f t="shared" si="0"/>
        <v>1280.4260000000002</v>
      </c>
      <c r="E4" s="18">
        <f t="shared" si="0"/>
        <v>1386.5710000000001</v>
      </c>
      <c r="F4" s="18">
        <f t="shared" si="0"/>
        <v>1408.279</v>
      </c>
      <c r="G4" s="18">
        <f t="shared" si="0"/>
        <v>1485.4590000000001</v>
      </c>
      <c r="H4" s="18">
        <f t="shared" si="0"/>
        <v>1589.4369999999999</v>
      </c>
      <c r="I4" s="18">
        <f t="shared" si="0"/>
        <v>1647.4350000000002</v>
      </c>
      <c r="J4" s="18">
        <f t="shared" si="0"/>
        <v>1727.1160000000002</v>
      </c>
      <c r="K4" s="18">
        <f t="shared" si="0"/>
        <v>1923.72</v>
      </c>
      <c r="L4" s="18">
        <f t="shared" si="0"/>
        <v>2195.9929999999999</v>
      </c>
      <c r="M4" s="18">
        <f t="shared" si="0"/>
        <v>2421.9520000000002</v>
      </c>
      <c r="N4" s="18">
        <f t="shared" si="0"/>
        <v>2435.6870000000004</v>
      </c>
      <c r="O4" s="18">
        <f t="shared" si="0"/>
        <v>2555.6669999999999</v>
      </c>
      <c r="P4" s="18">
        <f t="shared" si="0"/>
        <v>2735.6370000000002</v>
      </c>
      <c r="Q4" s="18">
        <f t="shared" si="0"/>
        <v>2927.2070000000003</v>
      </c>
      <c r="R4" s="18">
        <f t="shared" si="0"/>
        <v>3162.9580000000001</v>
      </c>
      <c r="S4" s="18">
        <f t="shared" si="0"/>
        <v>3475.6589999999997</v>
      </c>
      <c r="T4" s="18">
        <f t="shared" si="0"/>
        <v>3790.4349999999999</v>
      </c>
      <c r="U4" s="18">
        <f t="shared" si="0"/>
        <v>3937.9311666666667</v>
      </c>
      <c r="V4" s="18">
        <f t="shared" si="0"/>
        <v>4201.1171877777779</v>
      </c>
      <c r="W4" s="18">
        <f t="shared" si="0"/>
        <v>4672.1530000000002</v>
      </c>
      <c r="X4" s="18">
        <f t="shared" si="0"/>
        <v>4892.7629160000006</v>
      </c>
      <c r="Y4" s="18">
        <f t="shared" si="0"/>
        <v>5259.6710000000003</v>
      </c>
      <c r="Z4" s="18">
        <f t="shared" si="0"/>
        <v>5697.68</v>
      </c>
      <c r="AA4" s="18">
        <f t="shared" si="0"/>
        <v>5980.8219999999992</v>
      </c>
      <c r="AB4" s="18">
        <f t="shared" si="0"/>
        <v>6307.8069999999998</v>
      </c>
      <c r="AC4" s="18">
        <f>SUM(AC5,AC23,AC38,AC52,AC63)</f>
        <v>6414.2849999999999</v>
      </c>
      <c r="AD4" s="18">
        <f>SUM(AD5,AD23,AD38,AD52,AD63)</f>
        <v>6804.954999999999</v>
      </c>
      <c r="AE4" s="18">
        <f>SUM(AE5,AE23,AE38,AE52,AE63)</f>
        <v>7024.2920000000004</v>
      </c>
      <c r="AF4" s="18">
        <f>SUM(AF5,AF23,AF38,AF52,AF63)</f>
        <v>7374.59</v>
      </c>
      <c r="AG4" s="18">
        <f>AG5+AG23+AG38+AG52+AG63</f>
        <v>7833.1890000000012</v>
      </c>
      <c r="AH4" s="18">
        <f>AH5+AH23+AH38+AH52+AH63</f>
        <v>7977.5281329999998</v>
      </c>
      <c r="AI4" s="18">
        <f>AI5+AI23+AI38+AI52+AI63</f>
        <v>8210.0657339999998</v>
      </c>
      <c r="AJ4" s="19">
        <f t="shared" si="0"/>
        <v>18.292000000000002</v>
      </c>
      <c r="AK4" s="18">
        <f t="shared" si="0"/>
        <v>21.203999999999997</v>
      </c>
      <c r="AL4" s="18">
        <f t="shared" si="0"/>
        <v>19.026666666666667</v>
      </c>
      <c r="AM4" s="18">
        <f t="shared" si="0"/>
        <v>27.534333333333329</v>
      </c>
      <c r="AN4" s="18">
        <f t="shared" si="0"/>
        <v>29.676000000000002</v>
      </c>
      <c r="AO4" s="18">
        <f t="shared" si="0"/>
        <v>30.652999999999999</v>
      </c>
      <c r="AP4" s="18">
        <f t="shared" si="0"/>
        <v>31.788999999999994</v>
      </c>
      <c r="AQ4" s="18">
        <f t="shared" si="0"/>
        <v>30.054000000000002</v>
      </c>
      <c r="AR4" s="18">
        <f t="shared" si="0"/>
        <v>28.975999999999999</v>
      </c>
      <c r="AS4" s="18">
        <f t="shared" si="0"/>
        <v>25.109000000000002</v>
      </c>
      <c r="AT4" s="18">
        <f t="shared" si="0"/>
        <v>26.995999999999999</v>
      </c>
      <c r="AU4" s="18">
        <f t="shared" si="0"/>
        <v>28.131</v>
      </c>
      <c r="AV4" s="18">
        <f t="shared" si="0"/>
        <v>19.963133333333335</v>
      </c>
      <c r="AW4" s="18">
        <f t="shared" si="0"/>
        <v>24.683</v>
      </c>
      <c r="AX4" s="18">
        <f t="shared" si="0"/>
        <v>26.483666666666668</v>
      </c>
      <c r="AY4" s="18">
        <f t="shared" si="0"/>
        <v>23.401500000000002</v>
      </c>
      <c r="AZ4" s="18">
        <f t="shared" si="0"/>
        <v>23.393933333333333</v>
      </c>
      <c r="BA4" s="18">
        <f t="shared" si="0"/>
        <v>25.140166666666666</v>
      </c>
      <c r="BB4" s="18">
        <f t="shared" si="0"/>
        <v>36.390750000000004</v>
      </c>
      <c r="BC4" s="18">
        <f t="shared" si="0"/>
        <v>44.62383333333333</v>
      </c>
      <c r="BD4" s="18">
        <f t="shared" si="0"/>
        <v>46.095016666666666</v>
      </c>
      <c r="BE4" s="18">
        <f t="shared" si="0"/>
        <v>41.612200000000001</v>
      </c>
      <c r="BF4" s="18">
        <f t="shared" si="0"/>
        <v>47.182039999999994</v>
      </c>
      <c r="BG4" s="18">
        <f t="shared" si="0"/>
        <v>54.119322666666662</v>
      </c>
      <c r="BH4" s="18">
        <f t="shared" si="0"/>
        <v>74.274661333333327</v>
      </c>
      <c r="BI4" s="18">
        <f t="shared" si="0"/>
        <v>61.536000000000001</v>
      </c>
      <c r="BJ4" s="18">
        <f t="shared" si="0"/>
        <v>80.619</v>
      </c>
      <c r="BK4" s="18">
        <f t="shared" ref="BK4:BP4" si="1">SUM(BK5,BK23,BK38,BK52,BK63)</f>
        <v>69.165999999999997</v>
      </c>
      <c r="BL4" s="18">
        <f t="shared" si="1"/>
        <v>66.423999999999992</v>
      </c>
      <c r="BM4" s="18">
        <f t="shared" si="1"/>
        <v>78.152000000000001</v>
      </c>
      <c r="BN4" s="18">
        <f t="shared" si="1"/>
        <v>73.393000000000001</v>
      </c>
      <c r="BO4" s="18">
        <f t="shared" si="1"/>
        <v>133.29899999999998</v>
      </c>
      <c r="BP4" s="18">
        <f t="shared" si="1"/>
        <v>149.26966200000001</v>
      </c>
      <c r="BQ4" s="18">
        <f t="shared" ref="BQ4" si="2">SUM(BQ5,BQ23,BQ38,BQ52,BQ63)</f>
        <v>148.67101</v>
      </c>
      <c r="BR4" s="19">
        <f t="shared" si="0"/>
        <v>214.93899999999999</v>
      </c>
      <c r="BS4" s="18">
        <f t="shared" si="0"/>
        <v>380.28550000000001</v>
      </c>
      <c r="BT4" s="18">
        <f t="shared" si="0"/>
        <v>156.24900000000002</v>
      </c>
      <c r="BU4" s="18">
        <f t="shared" si="0"/>
        <v>133.13537500000001</v>
      </c>
      <c r="BV4" s="18">
        <f t="shared" si="0"/>
        <v>161.73400000000001</v>
      </c>
      <c r="BW4" s="18">
        <f t="shared" si="0"/>
        <v>27.917000000000002</v>
      </c>
      <c r="BX4" s="18">
        <f t="shared" si="0"/>
        <v>17.099999999999998</v>
      </c>
      <c r="BY4" s="18">
        <f t="shared" si="0"/>
        <v>20.480999999999998</v>
      </c>
      <c r="BZ4" s="18">
        <f t="shared" ref="BZ4:CE4" si="3">SUM(BZ5,BZ23,BZ38,BZ52,BZ63)</f>
        <v>24.376999999999999</v>
      </c>
      <c r="CA4" s="18">
        <f t="shared" si="3"/>
        <v>23.674000000000003</v>
      </c>
      <c r="CB4" s="18">
        <f t="shared" si="3"/>
        <v>48.888000000000005</v>
      </c>
      <c r="CC4" s="18">
        <f t="shared" si="3"/>
        <v>9.6329999999999991</v>
      </c>
      <c r="CD4" s="18">
        <f t="shared" si="3"/>
        <v>12.573</v>
      </c>
      <c r="CE4" s="18">
        <f t="shared" si="3"/>
        <v>26.577784999999999</v>
      </c>
      <c r="CF4" s="18">
        <f t="shared" ref="CF4" si="4">SUM(CF5,CF23,CF38,CF52,CF63)</f>
        <v>29.161085</v>
      </c>
      <c r="CG4" s="20">
        <f t="shared" si="0"/>
        <v>1057.202</v>
      </c>
      <c r="CH4" s="21">
        <f t="shared" si="0"/>
        <v>1205.0529999999999</v>
      </c>
      <c r="CI4" s="21">
        <f t="shared" si="0"/>
        <v>1299.4526666666668</v>
      </c>
      <c r="CJ4" s="21">
        <f t="shared" ref="CJ4:DG4" si="5">SUM(CJ5,CJ23,CJ38,CJ52,CJ63)</f>
        <v>1414.1053333333332</v>
      </c>
      <c r="CK4" s="21">
        <f t="shared" si="5"/>
        <v>1437.9549999999999</v>
      </c>
      <c r="CL4" s="21">
        <f t="shared" si="5"/>
        <v>1516.1119999999999</v>
      </c>
      <c r="CM4" s="21">
        <f t="shared" si="5"/>
        <v>1621.2260000000001</v>
      </c>
      <c r="CN4" s="21">
        <f t="shared" si="5"/>
        <v>1677.4890000000003</v>
      </c>
      <c r="CO4" s="21">
        <f t="shared" si="5"/>
        <v>1756.0920000000003</v>
      </c>
      <c r="CP4" s="21">
        <f t="shared" si="5"/>
        <v>1948.829</v>
      </c>
      <c r="CQ4" s="21">
        <f t="shared" si="5"/>
        <v>2222.989</v>
      </c>
      <c r="CR4" s="21">
        <f t="shared" si="5"/>
        <v>2450.0830000000001</v>
      </c>
      <c r="CS4" s="21">
        <f t="shared" si="5"/>
        <v>2455.6501333333335</v>
      </c>
      <c r="CT4" s="21">
        <f t="shared" si="5"/>
        <v>2580.3500000000004</v>
      </c>
      <c r="CU4" s="21">
        <f t="shared" si="5"/>
        <v>2762.1206666666667</v>
      </c>
      <c r="CV4" s="21">
        <f t="shared" si="5"/>
        <v>2950.6084999999998</v>
      </c>
      <c r="CW4" s="21">
        <f t="shared" si="5"/>
        <v>3186.3519333333329</v>
      </c>
      <c r="CX4" s="21">
        <f t="shared" si="5"/>
        <v>3500.7991666666667</v>
      </c>
      <c r="CY4" s="21">
        <f t="shared" si="5"/>
        <v>3826.82575</v>
      </c>
      <c r="CZ4" s="21">
        <f t="shared" si="5"/>
        <v>4197.4939999999997</v>
      </c>
      <c r="DA4" s="21">
        <f t="shared" si="5"/>
        <v>4614.3132044444446</v>
      </c>
      <c r="DB4" s="21">
        <f t="shared" si="5"/>
        <v>4870.0141999999996</v>
      </c>
      <c r="DC4" s="21">
        <f t="shared" si="5"/>
        <v>5073.0803310000001</v>
      </c>
      <c r="DD4" s="21">
        <f t="shared" si="5"/>
        <v>5475.5243226666671</v>
      </c>
      <c r="DE4" s="21">
        <f t="shared" si="5"/>
        <v>5799.8716613333336</v>
      </c>
      <c r="DF4" s="21">
        <f t="shared" si="5"/>
        <v>6059.4579999999996</v>
      </c>
      <c r="DG4" s="21">
        <f t="shared" si="5"/>
        <v>6408.9070000000002</v>
      </c>
      <c r="DH4" s="21">
        <f>SUM(DH5,DH23,DH38,DH52,DH63)</f>
        <v>6507.8280000000004</v>
      </c>
      <c r="DI4" s="21">
        <f>SUM(DI5,DI23,DI38,DI52,DI63)</f>
        <v>6895.0529999999999</v>
      </c>
      <c r="DJ4" s="21">
        <f t="shared" ref="DJ4:DK4" si="6">SUM(DJ5,DJ23,DJ38,DJ52,DJ63)</f>
        <v>7151.3319999999994</v>
      </c>
      <c r="DK4" s="21">
        <f t="shared" si="6"/>
        <v>7457.616</v>
      </c>
      <c r="DL4" s="21">
        <f>SUM(DL5,DL23,DL38,DL52,DL63)</f>
        <v>7979.0609999999997</v>
      </c>
      <c r="DM4" s="21">
        <f>SUM(DM5,DM23,DM38,DM52,DM63)</f>
        <v>8153.3755799999999</v>
      </c>
      <c r="DN4" s="21">
        <f>SUM(DN5,DN23,DN38,DN52,DN63)</f>
        <v>8387.8978290000014</v>
      </c>
      <c r="EO4" s="22"/>
      <c r="EP4" s="22"/>
      <c r="EQ4" s="22"/>
      <c r="ER4" s="22"/>
      <c r="ES4" s="22"/>
    </row>
    <row r="5" spans="1:149">
      <c r="A5" s="23" t="s">
        <v>34</v>
      </c>
      <c r="B5" s="24">
        <f t="shared" ref="B5:AN5" si="7">SUM(B7:B22)</f>
        <v>103.74799999999999</v>
      </c>
      <c r="C5" s="24">
        <f t="shared" si="7"/>
        <v>112.714</v>
      </c>
      <c r="D5" s="24">
        <f t="shared" si="7"/>
        <v>116.88200000000002</v>
      </c>
      <c r="E5" s="24">
        <f t="shared" si="7"/>
        <v>123.43499999999997</v>
      </c>
      <c r="F5" s="24">
        <f t="shared" si="7"/>
        <v>133.28399999999999</v>
      </c>
      <c r="G5" s="24">
        <f t="shared" si="7"/>
        <v>139.584</v>
      </c>
      <c r="H5" s="24">
        <f t="shared" si="7"/>
        <v>156.15999999999997</v>
      </c>
      <c r="I5" s="24">
        <f t="shared" si="7"/>
        <v>166.12900000000002</v>
      </c>
      <c r="J5" s="24">
        <f t="shared" si="7"/>
        <v>172.01500000000001</v>
      </c>
      <c r="K5" s="24">
        <f t="shared" si="7"/>
        <v>179.27300000000002</v>
      </c>
      <c r="L5" s="24">
        <f t="shared" si="7"/>
        <v>224.04799999999997</v>
      </c>
      <c r="M5" s="24">
        <f t="shared" si="7"/>
        <v>264.41400000000004</v>
      </c>
      <c r="N5" s="24">
        <f t="shared" si="7"/>
        <v>294.19599999999997</v>
      </c>
      <c r="O5" s="24">
        <f t="shared" si="7"/>
        <v>308.87299999999999</v>
      </c>
      <c r="P5" s="24">
        <f t="shared" si="7"/>
        <v>355.53599999999994</v>
      </c>
      <c r="Q5" s="24">
        <f t="shared" si="7"/>
        <v>375.98600000000005</v>
      </c>
      <c r="R5" s="24">
        <f t="shared" si="7"/>
        <v>515.29300000000001</v>
      </c>
      <c r="S5" s="24">
        <f t="shared" si="7"/>
        <v>533.61299999999994</v>
      </c>
      <c r="T5" s="24">
        <f t="shared" si="7"/>
        <v>660.92600000000004</v>
      </c>
      <c r="U5" s="24">
        <f t="shared" si="7"/>
        <v>786.26400000000001</v>
      </c>
      <c r="V5" s="24">
        <f t="shared" si="7"/>
        <v>733.30400000000009</v>
      </c>
      <c r="W5" s="24">
        <f t="shared" si="7"/>
        <v>1008.0839999999999</v>
      </c>
      <c r="X5" s="24">
        <f t="shared" si="7"/>
        <v>1062.3810880000001</v>
      </c>
      <c r="Y5" s="24">
        <f t="shared" si="7"/>
        <v>1195.58</v>
      </c>
      <c r="Z5" s="24">
        <f t="shared" si="7"/>
        <v>1469.5170000000001</v>
      </c>
      <c r="AA5" s="24">
        <f t="shared" si="7"/>
        <v>1554.6570000000002</v>
      </c>
      <c r="AB5" s="24">
        <f t="shared" si="7"/>
        <v>1739.7629999999999</v>
      </c>
      <c r="AC5" s="24">
        <f t="shared" ref="AC5:AH5" si="8">SUM(AC7:AC22)</f>
        <v>1793.0409999999999</v>
      </c>
      <c r="AD5" s="24">
        <f t="shared" si="8"/>
        <v>1676.904</v>
      </c>
      <c r="AE5" s="24">
        <f t="shared" si="8"/>
        <v>1791.8030000000001</v>
      </c>
      <c r="AF5" s="24">
        <f t="shared" si="8"/>
        <v>1885.0129999999999</v>
      </c>
      <c r="AG5" s="24">
        <f t="shared" si="8"/>
        <v>2036.596</v>
      </c>
      <c r="AH5" s="24">
        <f t="shared" si="8"/>
        <v>2183.4415680000002</v>
      </c>
      <c r="AI5" s="24">
        <f>SUM(AI7:AI22)</f>
        <v>2303.9009449999999</v>
      </c>
      <c r="AJ5" s="25">
        <f t="shared" si="7"/>
        <v>2.258</v>
      </c>
      <c r="AK5" s="24">
        <f t="shared" si="7"/>
        <v>4.702</v>
      </c>
      <c r="AL5" s="24">
        <f t="shared" si="7"/>
        <v>4.95</v>
      </c>
      <c r="AM5" s="24">
        <f t="shared" si="7"/>
        <v>4.9009999999999998</v>
      </c>
      <c r="AN5" s="24">
        <f t="shared" si="7"/>
        <v>4.758</v>
      </c>
      <c r="AO5" s="24">
        <f t="shared" ref="AO5:CI5" si="9">SUM(AO7:AO22)</f>
        <v>4.9790000000000001</v>
      </c>
      <c r="AP5" s="24">
        <f t="shared" si="9"/>
        <v>5.9849999999999994</v>
      </c>
      <c r="AQ5" s="24">
        <f t="shared" si="9"/>
        <v>5.92</v>
      </c>
      <c r="AR5" s="24">
        <f t="shared" si="9"/>
        <v>5.9529999999999994</v>
      </c>
      <c r="AS5" s="24">
        <f t="shared" si="9"/>
        <v>6.152000000000001</v>
      </c>
      <c r="AT5" s="24">
        <f t="shared" si="9"/>
        <v>5.7219999999999995</v>
      </c>
      <c r="AU5" s="24">
        <f t="shared" si="9"/>
        <v>9.0069999999999997</v>
      </c>
      <c r="AV5" s="24">
        <f t="shared" si="9"/>
        <v>8.2449999999999992</v>
      </c>
      <c r="AW5" s="24">
        <f t="shared" si="9"/>
        <v>10.390833333333333</v>
      </c>
      <c r="AX5" s="24">
        <f t="shared" si="9"/>
        <v>11.896666666666667</v>
      </c>
      <c r="AY5" s="24">
        <f t="shared" si="9"/>
        <v>11.265500000000001</v>
      </c>
      <c r="AZ5" s="24">
        <f t="shared" si="9"/>
        <v>13.342333333333332</v>
      </c>
      <c r="BA5" s="24">
        <f t="shared" si="9"/>
        <v>14.210166666666666</v>
      </c>
      <c r="BB5" s="24">
        <f t="shared" si="9"/>
        <v>19.751000000000001</v>
      </c>
      <c r="BC5" s="24">
        <f t="shared" si="9"/>
        <v>25.447000000000003</v>
      </c>
      <c r="BD5" s="24">
        <f t="shared" si="9"/>
        <v>29.299500000000002</v>
      </c>
      <c r="BE5" s="24">
        <f t="shared" si="9"/>
        <v>28.796000000000003</v>
      </c>
      <c r="BF5" s="24">
        <f t="shared" si="9"/>
        <v>32.484558999999997</v>
      </c>
      <c r="BG5" s="24">
        <f t="shared" si="9"/>
        <v>38.162999999999997</v>
      </c>
      <c r="BH5" s="24">
        <f t="shared" si="9"/>
        <v>55.326999999999998</v>
      </c>
      <c r="BI5" s="24">
        <f t="shared" si="9"/>
        <v>40.396999999999998</v>
      </c>
      <c r="BJ5" s="24">
        <f t="shared" si="9"/>
        <v>63.185000000000002</v>
      </c>
      <c r="BK5" s="24">
        <f t="shared" ref="BK5:BP5" si="10">SUM(BK7:BK22)</f>
        <v>54.671999999999997</v>
      </c>
      <c r="BL5" s="24">
        <f t="shared" si="10"/>
        <v>51.890999999999991</v>
      </c>
      <c r="BM5" s="24">
        <f t="shared" si="10"/>
        <v>64.319000000000003</v>
      </c>
      <c r="BN5" s="24">
        <f t="shared" si="10"/>
        <v>65.111999999999995</v>
      </c>
      <c r="BO5" s="24">
        <f t="shared" si="10"/>
        <v>122.559</v>
      </c>
      <c r="BP5" s="24">
        <f t="shared" si="10"/>
        <v>137.31721300000001</v>
      </c>
      <c r="BQ5" s="24">
        <f t="shared" ref="BQ5" si="11">SUM(BQ7:BQ22)</f>
        <v>136.75862799999999</v>
      </c>
      <c r="BR5" s="25">
        <f t="shared" si="9"/>
        <v>63.686999999999998</v>
      </c>
      <c r="BS5" s="24">
        <f t="shared" si="9"/>
        <v>268.67849999999999</v>
      </c>
      <c r="BT5" s="24">
        <f t="shared" si="9"/>
        <v>49.716999999999999</v>
      </c>
      <c r="BU5" s="24">
        <f t="shared" si="9"/>
        <v>18.101293000000002</v>
      </c>
      <c r="BV5" s="24">
        <f t="shared" si="9"/>
        <v>16.585000000000001</v>
      </c>
      <c r="BW5" s="24">
        <f t="shared" si="9"/>
        <v>14.003</v>
      </c>
      <c r="BX5" s="24">
        <f t="shared" si="9"/>
        <v>14.263</v>
      </c>
      <c r="BY5" s="24">
        <f t="shared" si="9"/>
        <v>5.0589999999999993</v>
      </c>
      <c r="BZ5" s="24">
        <f t="shared" ref="BZ5:CE5" si="12">SUM(BZ7:BZ22)</f>
        <v>7.0549999999999997</v>
      </c>
      <c r="CA5" s="24">
        <f t="shared" si="12"/>
        <v>4.6189999999999998</v>
      </c>
      <c r="CB5" s="24">
        <f t="shared" si="12"/>
        <v>6.843</v>
      </c>
      <c r="CC5" s="24">
        <f t="shared" si="12"/>
        <v>7.08</v>
      </c>
      <c r="CD5" s="24">
        <f t="shared" si="12"/>
        <v>9.6229999999999993</v>
      </c>
      <c r="CE5" s="24">
        <f t="shared" si="12"/>
        <v>7.0587939999999998</v>
      </c>
      <c r="CF5" s="24">
        <f t="shared" ref="CF5" si="13">SUM(CF7:CF22)</f>
        <v>9.1554919999999989</v>
      </c>
      <c r="CG5" s="26">
        <f t="shared" si="9"/>
        <v>106.00599999999999</v>
      </c>
      <c r="CH5" s="27">
        <f t="shared" si="9"/>
        <v>117.41599999999998</v>
      </c>
      <c r="CI5" s="27">
        <f t="shared" si="9"/>
        <v>121.83200000000002</v>
      </c>
      <c r="CJ5" s="27">
        <f t="shared" ref="CJ5:DG5" si="14">SUM(CJ7:CJ22)</f>
        <v>128.33599999999998</v>
      </c>
      <c r="CK5" s="27">
        <f t="shared" si="14"/>
        <v>138.04199999999997</v>
      </c>
      <c r="CL5" s="27">
        <f t="shared" si="14"/>
        <v>144.56299999999999</v>
      </c>
      <c r="CM5" s="27">
        <f t="shared" si="14"/>
        <v>162.14500000000001</v>
      </c>
      <c r="CN5" s="27">
        <f t="shared" si="14"/>
        <v>172.04900000000001</v>
      </c>
      <c r="CO5" s="27">
        <f t="shared" si="14"/>
        <v>177.96799999999999</v>
      </c>
      <c r="CP5" s="27">
        <f t="shared" si="14"/>
        <v>185.42500000000001</v>
      </c>
      <c r="CQ5" s="27">
        <f t="shared" si="14"/>
        <v>229.76999999999998</v>
      </c>
      <c r="CR5" s="27">
        <f t="shared" si="14"/>
        <v>273.42100000000005</v>
      </c>
      <c r="CS5" s="27">
        <f t="shared" si="14"/>
        <v>302.44100000000003</v>
      </c>
      <c r="CT5" s="27">
        <f t="shared" si="14"/>
        <v>319.26383333333337</v>
      </c>
      <c r="CU5" s="27">
        <f t="shared" si="14"/>
        <v>367.43266666666665</v>
      </c>
      <c r="CV5" s="27">
        <f t="shared" si="14"/>
        <v>387.25150000000002</v>
      </c>
      <c r="CW5" s="27">
        <f t="shared" si="14"/>
        <v>528.63533333333328</v>
      </c>
      <c r="CX5" s="27">
        <f t="shared" si="14"/>
        <v>547.82316666666668</v>
      </c>
      <c r="CY5" s="27">
        <f t="shared" si="14"/>
        <v>680.67700000000002</v>
      </c>
      <c r="CZ5" s="27">
        <f t="shared" si="14"/>
        <v>875.39799999999991</v>
      </c>
      <c r="DA5" s="27">
        <f t="shared" si="14"/>
        <v>1018.0975000000001</v>
      </c>
      <c r="DB5" s="27">
        <f t="shared" si="14"/>
        <v>1086.597</v>
      </c>
      <c r="DC5" s="27">
        <f t="shared" si="14"/>
        <v>1112.9669399999998</v>
      </c>
      <c r="DD5" s="27">
        <f t="shared" si="14"/>
        <v>1250.3280000000002</v>
      </c>
      <c r="DE5" s="27">
        <f t="shared" si="14"/>
        <v>1538.847</v>
      </c>
      <c r="DF5" s="27">
        <f t="shared" si="14"/>
        <v>1609.3169999999998</v>
      </c>
      <c r="DG5" s="27">
        <f t="shared" si="14"/>
        <v>1808.0070000000001</v>
      </c>
      <c r="DH5" s="27">
        <f>SUM(DH7:DH22)</f>
        <v>1854.768</v>
      </c>
      <c r="DI5" s="27">
        <f>SUM(DI7:DI22)</f>
        <v>1733.4140000000002</v>
      </c>
      <c r="DJ5" s="27">
        <f t="shared" ref="DJ5:DK5" si="15">SUM(DJ7:DJ22)</f>
        <v>1862.9650000000001</v>
      </c>
      <c r="DK5" s="27">
        <f t="shared" si="15"/>
        <v>1957.2049999999999</v>
      </c>
      <c r="DL5" s="27">
        <f>SUM(DL7:DL22)</f>
        <v>2168.7780000000002</v>
      </c>
      <c r="DM5" s="27">
        <f>SUM(DM7:DM22)</f>
        <v>2327.817575</v>
      </c>
      <c r="DN5" s="27">
        <f>SUM(DN7:DN22)</f>
        <v>2449.8150650000002</v>
      </c>
      <c r="EO5" s="22"/>
      <c r="EP5" s="22"/>
      <c r="EQ5" s="22"/>
      <c r="ER5" s="22"/>
      <c r="ES5" s="22"/>
    </row>
    <row r="6" spans="1:149">
      <c r="A6" s="7" t="s">
        <v>35</v>
      </c>
      <c r="AJ6" s="28"/>
      <c r="BR6" s="28"/>
      <c r="CG6" s="29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</row>
    <row r="7" spans="1:149">
      <c r="A7" s="23" t="s">
        <v>36</v>
      </c>
      <c r="B7" s="30">
        <v>1.7509999999999999</v>
      </c>
      <c r="C7" s="30">
        <v>2.1920000000000002</v>
      </c>
      <c r="D7" s="30">
        <f>ROUND(2.242,3)</f>
        <v>2.242</v>
      </c>
      <c r="E7" s="30">
        <v>2.1629999999999998</v>
      </c>
      <c r="F7" s="30">
        <f>ROUND(2.26,3)</f>
        <v>2.2599999999999998</v>
      </c>
      <c r="G7" s="30">
        <v>2.2599999999999998</v>
      </c>
      <c r="H7" s="30">
        <v>2.1960000000000002</v>
      </c>
      <c r="I7" s="30">
        <v>4.3079999999999998</v>
      </c>
      <c r="J7" s="30">
        <v>2.8450000000000002</v>
      </c>
      <c r="K7" s="30">
        <v>2.2709999999999999</v>
      </c>
      <c r="L7" s="30">
        <f>ROUND(2.283,3)</f>
        <v>2.2829999999999999</v>
      </c>
      <c r="M7" s="30">
        <f>ROUND(2.281,3)</f>
        <v>2.2810000000000001</v>
      </c>
      <c r="N7" s="30">
        <f>ROUND(2.142,3)</f>
        <v>2.1419999999999999</v>
      </c>
      <c r="O7" s="30">
        <v>1.95</v>
      </c>
      <c r="P7" s="30">
        <v>2.2719999999999998</v>
      </c>
      <c r="Q7" s="30">
        <v>2.0459999999999998</v>
      </c>
      <c r="R7" s="30">
        <v>1.831</v>
      </c>
      <c r="S7" s="30">
        <v>1.82</v>
      </c>
      <c r="T7" s="30">
        <v>1.841</v>
      </c>
      <c r="U7" s="30">
        <v>1.6459999999999999</v>
      </c>
      <c r="V7" s="30">
        <v>3.26</v>
      </c>
      <c r="W7" s="30">
        <v>1.167</v>
      </c>
      <c r="X7" s="30">
        <v>5.2788300000000001</v>
      </c>
      <c r="Y7" s="30">
        <v>5.86</v>
      </c>
      <c r="Z7" s="30">
        <v>16.247</v>
      </c>
      <c r="AA7" s="30">
        <v>19.663</v>
      </c>
      <c r="AB7" s="30">
        <v>24.231999999999999</v>
      </c>
      <c r="AC7" s="30">
        <v>16.82</v>
      </c>
      <c r="AD7" s="30">
        <v>16.850999999999999</v>
      </c>
      <c r="AE7" s="30">
        <v>6.9320000000000004</v>
      </c>
      <c r="AF7" s="30">
        <v>6.5460000000000003</v>
      </c>
      <c r="AG7" s="30">
        <v>3.0580000000000003</v>
      </c>
      <c r="AH7" s="30">
        <v>3.272227</v>
      </c>
      <c r="AI7" s="30">
        <v>75.30386</v>
      </c>
      <c r="AJ7" s="31">
        <v>3.4000000000000002E-2</v>
      </c>
      <c r="AK7" s="30">
        <v>6.8000000000000005E-2</v>
      </c>
      <c r="AL7" s="30">
        <f>ROUND(66/1000,3)</f>
        <v>6.6000000000000003E-2</v>
      </c>
      <c r="AM7" s="30">
        <v>4.8000000000000001E-2</v>
      </c>
      <c r="AN7" s="30">
        <v>4.8000000000000001E-2</v>
      </c>
      <c r="AO7" s="30">
        <v>0.04</v>
      </c>
      <c r="AP7" s="30">
        <v>4.9000000000000002E-2</v>
      </c>
      <c r="AQ7" s="30">
        <v>4.4999999999999998E-2</v>
      </c>
      <c r="AR7" s="30">
        <v>4.2000000000000003E-2</v>
      </c>
      <c r="AS7" s="30">
        <f>ROUND(42/1000,3)</f>
        <v>4.2000000000000003E-2</v>
      </c>
      <c r="AT7" s="30">
        <f>ROUND(42/1000,3)</f>
        <v>4.2000000000000003E-2</v>
      </c>
      <c r="AU7" s="30">
        <f>ROUND(42/1000,3)</f>
        <v>4.2000000000000003E-2</v>
      </c>
      <c r="AV7" s="30">
        <v>3.6000000000000004E-2</v>
      </c>
      <c r="AW7" s="30">
        <v>3.4000000000000002E-2</v>
      </c>
      <c r="AX7" s="30">
        <v>4.1000000000000002E-2</v>
      </c>
      <c r="AY7" s="30">
        <v>4.1000000000000002E-2</v>
      </c>
      <c r="AZ7" s="30">
        <v>3.7999999999999999E-2</v>
      </c>
      <c r="BA7" s="30">
        <v>3.5000000000000003E-2</v>
      </c>
      <c r="BB7" s="30">
        <v>3.3000000000000002E-2</v>
      </c>
      <c r="BC7" s="30">
        <v>3.1E-2</v>
      </c>
      <c r="BD7" s="30">
        <v>0.13600000000000001</v>
      </c>
      <c r="BE7" s="30">
        <v>1.4999999999999999E-2</v>
      </c>
      <c r="BF7" s="30">
        <v>1.719E-3</v>
      </c>
      <c r="BG7" s="30">
        <v>4.4999999999999998E-2</v>
      </c>
      <c r="BH7" s="30">
        <v>4.5999999999999999E-2</v>
      </c>
      <c r="BI7" s="30">
        <v>3.9E-2</v>
      </c>
      <c r="BJ7" s="30">
        <v>3.6999999999999998E-2</v>
      </c>
      <c r="BK7" s="30">
        <v>3.2000000000000001E-2</v>
      </c>
      <c r="BL7" s="30">
        <v>2.1000000000000001E-2</v>
      </c>
      <c r="BM7" s="30">
        <v>5.0000000000000001E-3</v>
      </c>
      <c r="BN7" s="30">
        <v>8.0000000000000002E-3</v>
      </c>
      <c r="BO7" s="30">
        <v>6.0000000000000001E-3</v>
      </c>
      <c r="BP7" s="30" t="s">
        <v>45</v>
      </c>
      <c r="BQ7" s="30" t="s">
        <v>45</v>
      </c>
      <c r="BR7" s="31" t="s">
        <v>37</v>
      </c>
      <c r="BS7" s="30">
        <v>0.42199999999999999</v>
      </c>
      <c r="BT7" s="30">
        <v>2.1739999999999999</v>
      </c>
      <c r="BU7" s="30" t="s">
        <v>37</v>
      </c>
      <c r="BV7" s="30" t="s">
        <v>37</v>
      </c>
      <c r="BW7" s="30" t="s">
        <v>37</v>
      </c>
      <c r="BX7" s="30" t="s">
        <v>37</v>
      </c>
      <c r="BY7" s="30" t="s">
        <v>45</v>
      </c>
      <c r="BZ7" s="30" t="s">
        <v>45</v>
      </c>
      <c r="CA7" s="30" t="s">
        <v>45</v>
      </c>
      <c r="CB7" s="30" t="s">
        <v>45</v>
      </c>
      <c r="CC7" s="30" t="s">
        <v>45</v>
      </c>
      <c r="CD7" s="30" t="s">
        <v>45</v>
      </c>
      <c r="CE7" s="30" t="s">
        <v>45</v>
      </c>
      <c r="CF7" s="30" t="s">
        <v>45</v>
      </c>
      <c r="CG7" s="26">
        <f t="shared" ref="CG7:CG22" si="16">SUM(B7,AJ7)</f>
        <v>1.7849999999999999</v>
      </c>
      <c r="CH7" s="27">
        <f t="shared" ref="CH7:CH22" si="17">SUM(C7,AK7)</f>
        <v>2.2600000000000002</v>
      </c>
      <c r="CI7" s="27">
        <f t="shared" ref="CI7:CI22" si="18">SUM(D7,AL7)</f>
        <v>2.3079999999999998</v>
      </c>
      <c r="CJ7" s="27">
        <f t="shared" ref="CJ7:CJ22" si="19">SUM(E7,AM7)</f>
        <v>2.2109999999999999</v>
      </c>
      <c r="CK7" s="27">
        <f t="shared" ref="CK7:CK22" si="20">SUM(F7,AN7)</f>
        <v>2.3079999999999998</v>
      </c>
      <c r="CL7" s="27">
        <f t="shared" ref="CL7:CL22" si="21">SUM(G7,AO7)</f>
        <v>2.2999999999999998</v>
      </c>
      <c r="CM7" s="27">
        <f t="shared" ref="CM7:CM22" si="22">SUM(H7,AP7)</f>
        <v>2.2450000000000001</v>
      </c>
      <c r="CN7" s="27">
        <f t="shared" ref="CN7:CN22" si="23">SUM(I7,AQ7)</f>
        <v>4.3529999999999998</v>
      </c>
      <c r="CO7" s="27">
        <f t="shared" ref="CO7:CO22" si="24">SUM(J7,AR7)</f>
        <v>2.887</v>
      </c>
      <c r="CP7" s="27">
        <f t="shared" ref="CP7:CP22" si="25">SUM(K7,AS7)</f>
        <v>2.3129999999999997</v>
      </c>
      <c r="CQ7" s="27">
        <f t="shared" ref="CQ7:CQ22" si="26">SUM(L7,AT7)</f>
        <v>2.3249999999999997</v>
      </c>
      <c r="CR7" s="27">
        <f t="shared" ref="CR7:CR22" si="27">SUM(M7,AU7)</f>
        <v>2.323</v>
      </c>
      <c r="CS7" s="27">
        <f t="shared" ref="CS7:CS22" si="28">SUM(N7,AV7)</f>
        <v>2.1779999999999999</v>
      </c>
      <c r="CT7" s="27">
        <f t="shared" ref="CT7:CT22" si="29">SUM(O7,AW7)</f>
        <v>1.984</v>
      </c>
      <c r="CU7" s="27">
        <f t="shared" ref="CU7:CU22" si="30">SUM(P7,AX7)</f>
        <v>2.3129999999999997</v>
      </c>
      <c r="CV7" s="27">
        <f t="shared" ref="CV7:CV22" si="31">SUM(Q7,AY7)</f>
        <v>2.0869999999999997</v>
      </c>
      <c r="CW7" s="27">
        <f t="shared" ref="CW7:CW22" si="32">SUM(R7,AZ7)</f>
        <v>1.869</v>
      </c>
      <c r="CX7" s="27">
        <f t="shared" ref="CX7:CX22" si="33">SUM(S7,BA7)</f>
        <v>1.855</v>
      </c>
      <c r="CY7" s="27">
        <f t="shared" ref="CY7:CY22" si="34">SUM(T7,BB7)</f>
        <v>1.8739999999999999</v>
      </c>
      <c r="CZ7" s="27">
        <f t="shared" ref="CZ7:CZ15" si="35">SUM(U7,BC7,BR7)</f>
        <v>1.6769999999999998</v>
      </c>
      <c r="DA7" s="27">
        <f t="shared" ref="DA7:DA15" si="36">SUM(V7,BD7,BS7)</f>
        <v>3.8180000000000001</v>
      </c>
      <c r="DB7" s="27">
        <f t="shared" ref="DB7:DB15" si="37">SUM(W7,BE7,BT7)</f>
        <v>3.3559999999999999</v>
      </c>
      <c r="DC7" s="27">
        <f t="shared" ref="DC7:DC15" si="38">SUM(X7,BF7,BU7)</f>
        <v>5.2805489999999997</v>
      </c>
      <c r="DD7" s="27">
        <f t="shared" ref="DD7:DD15" si="39">SUM(Y7,BG7,BV7)</f>
        <v>5.9050000000000002</v>
      </c>
      <c r="DE7" s="27">
        <f t="shared" ref="DE7:DE15" si="40">SUM(Z7,BH7,BW7)</f>
        <v>16.292999999999999</v>
      </c>
      <c r="DF7" s="27">
        <f t="shared" ref="DF7:DF15" si="41">SUM(AA7,BI7,BX7)</f>
        <v>19.702000000000002</v>
      </c>
      <c r="DG7" s="27">
        <f t="shared" ref="DG7:DG15" si="42">SUM(AB7,BJ7,BY7)</f>
        <v>24.268999999999998</v>
      </c>
      <c r="DH7" s="27">
        <f t="shared" ref="DH7:DH15" si="43">SUM(AC7,BK7,BZ7)</f>
        <v>16.852</v>
      </c>
      <c r="DI7" s="27">
        <f t="shared" ref="DI7:DI15" si="44">SUM(AD7,BL7,CA7)</f>
        <v>16.872</v>
      </c>
      <c r="DJ7" s="27">
        <f t="shared" ref="DJ7:DJ15" si="45">SUM(AE7,BM7,CB7)</f>
        <v>6.9370000000000003</v>
      </c>
      <c r="DK7" s="27">
        <f t="shared" ref="DK7:DK15" si="46">SUM(AF7,BN7,CC7)</f>
        <v>6.5540000000000003</v>
      </c>
      <c r="DL7" s="27">
        <f t="shared" ref="DL7:DL15" si="47">SUM(AG7,BO7,CD7)</f>
        <v>3.0640000000000001</v>
      </c>
      <c r="DM7" s="27">
        <f t="shared" ref="DM7:DN15" si="48">SUM(AH7,BP7,CE7)</f>
        <v>3.272227</v>
      </c>
      <c r="DN7" s="27">
        <f t="shared" si="48"/>
        <v>75.30386</v>
      </c>
      <c r="EO7" s="22"/>
      <c r="EP7" s="22"/>
      <c r="EQ7" s="22"/>
      <c r="ER7" s="22"/>
      <c r="ES7" s="22"/>
    </row>
    <row r="8" spans="1:149">
      <c r="A8" s="23" t="s">
        <v>38</v>
      </c>
      <c r="B8" s="30">
        <v>2.1829999999999998</v>
      </c>
      <c r="C8" s="30">
        <v>4.2210000000000001</v>
      </c>
      <c r="D8" s="30">
        <v>4.4119999999999999</v>
      </c>
      <c r="E8" s="30">
        <v>5.1449999999999996</v>
      </c>
      <c r="F8" s="30">
        <v>3.8959999999999999</v>
      </c>
      <c r="G8" s="30">
        <v>3.91</v>
      </c>
      <c r="H8" s="30">
        <v>3.9049999999999998</v>
      </c>
      <c r="I8" s="30">
        <v>4.1369999999999996</v>
      </c>
      <c r="J8" s="30">
        <v>7.0830000000000002</v>
      </c>
      <c r="K8" s="30">
        <v>6.319</v>
      </c>
      <c r="L8" s="30">
        <f>ROUND(7.701,3)</f>
        <v>7.7009999999999996</v>
      </c>
      <c r="M8" s="30">
        <v>8.907</v>
      </c>
      <c r="N8" s="30">
        <f>ROUND(10.765,3)</f>
        <v>10.765000000000001</v>
      </c>
      <c r="O8" s="30">
        <v>12.569000000000001</v>
      </c>
      <c r="P8" s="30">
        <v>13.162000000000001</v>
      </c>
      <c r="Q8" s="30">
        <v>15.922000000000001</v>
      </c>
      <c r="R8" s="30">
        <v>25.01</v>
      </c>
      <c r="S8" s="30">
        <v>30.887</v>
      </c>
      <c r="T8" s="30">
        <v>29.006</v>
      </c>
      <c r="U8" s="30">
        <v>20.980999999999998</v>
      </c>
      <c r="V8" s="30">
        <v>19.931000000000001</v>
      </c>
      <c r="W8" s="30">
        <v>17.420000000000002</v>
      </c>
      <c r="X8" s="30">
        <v>20.867732999999998</v>
      </c>
      <c r="Y8" s="30">
        <v>22.004000000000001</v>
      </c>
      <c r="Z8" s="30">
        <v>23.673000000000002</v>
      </c>
      <c r="AA8" s="30">
        <v>26.074999999999999</v>
      </c>
      <c r="AB8" s="30">
        <v>31.541</v>
      </c>
      <c r="AC8" s="30">
        <v>12.371</v>
      </c>
      <c r="AD8" s="30">
        <v>8.8059999999999992</v>
      </c>
      <c r="AE8" s="30">
        <v>9.3949999999999996</v>
      </c>
      <c r="AF8" s="30">
        <v>8.2829999999999995</v>
      </c>
      <c r="AG8" s="30">
        <v>5.2949999999999999</v>
      </c>
      <c r="AH8" s="30">
        <v>8.6821319999999993</v>
      </c>
      <c r="AI8" s="30">
        <v>9.1626700000000003</v>
      </c>
      <c r="AJ8" s="31" t="s">
        <v>37</v>
      </c>
      <c r="AK8" s="30" t="s">
        <v>37</v>
      </c>
      <c r="AL8" s="30" t="s">
        <v>37</v>
      </c>
      <c r="AM8" s="30" t="s">
        <v>37</v>
      </c>
      <c r="AN8" s="30" t="s">
        <v>37</v>
      </c>
      <c r="AO8" s="30" t="s">
        <v>37</v>
      </c>
      <c r="AP8" s="30" t="s">
        <v>37</v>
      </c>
      <c r="AQ8" s="30" t="s">
        <v>37</v>
      </c>
      <c r="AR8" s="30" t="s">
        <v>37</v>
      </c>
      <c r="AS8" s="30" t="s">
        <v>37</v>
      </c>
      <c r="AT8" s="30" t="s">
        <v>37</v>
      </c>
      <c r="AU8" s="30" t="s">
        <v>37</v>
      </c>
      <c r="AV8" s="30" t="s">
        <v>37</v>
      </c>
      <c r="AW8" s="30" t="s">
        <v>37</v>
      </c>
      <c r="AX8" s="30" t="s">
        <v>37</v>
      </c>
      <c r="AY8" s="30" t="s">
        <v>37</v>
      </c>
      <c r="AZ8" s="30" t="s">
        <v>37</v>
      </c>
      <c r="BA8" s="30" t="s">
        <v>37</v>
      </c>
      <c r="BB8" s="30" t="s">
        <v>37</v>
      </c>
      <c r="BC8" s="30" t="s">
        <v>37</v>
      </c>
      <c r="BD8" s="30" t="s">
        <v>37</v>
      </c>
      <c r="BE8" s="30" t="s">
        <v>37</v>
      </c>
      <c r="BF8" s="30" t="s">
        <v>37</v>
      </c>
      <c r="BG8" s="30" t="s">
        <v>37</v>
      </c>
      <c r="BH8" s="30" t="s">
        <v>37</v>
      </c>
      <c r="BI8" s="30" t="s">
        <v>37</v>
      </c>
      <c r="BJ8" s="30" t="s">
        <v>45</v>
      </c>
      <c r="BK8" s="30" t="s">
        <v>45</v>
      </c>
      <c r="BL8" s="30" t="s">
        <v>45</v>
      </c>
      <c r="BM8" s="30" t="s">
        <v>45</v>
      </c>
      <c r="BN8" s="30" t="s">
        <v>45</v>
      </c>
      <c r="BO8" s="30" t="s">
        <v>45</v>
      </c>
      <c r="BP8" s="30" t="s">
        <v>45</v>
      </c>
      <c r="BQ8" s="30" t="s">
        <v>45</v>
      </c>
      <c r="BR8" s="31" t="s">
        <v>37</v>
      </c>
      <c r="BS8" s="30" t="s">
        <v>37</v>
      </c>
      <c r="BT8" s="30" t="s">
        <v>37</v>
      </c>
      <c r="BU8" s="30" t="s">
        <v>37</v>
      </c>
      <c r="BV8" s="30" t="s">
        <v>37</v>
      </c>
      <c r="BW8" s="30" t="s">
        <v>37</v>
      </c>
      <c r="BX8" s="30" t="s">
        <v>37</v>
      </c>
      <c r="BY8" s="30" t="s">
        <v>45</v>
      </c>
      <c r="BZ8" s="30" t="s">
        <v>45</v>
      </c>
      <c r="CA8" s="30" t="s">
        <v>45</v>
      </c>
      <c r="CB8" s="30" t="s">
        <v>45</v>
      </c>
      <c r="CC8" s="30" t="s">
        <v>45</v>
      </c>
      <c r="CD8" s="30">
        <v>2.5550000000000002</v>
      </c>
      <c r="CE8" s="30" t="s">
        <v>45</v>
      </c>
      <c r="CF8" s="30" t="s">
        <v>45</v>
      </c>
      <c r="CG8" s="26">
        <f t="shared" si="16"/>
        <v>2.1829999999999998</v>
      </c>
      <c r="CH8" s="27">
        <f t="shared" si="17"/>
        <v>4.2210000000000001</v>
      </c>
      <c r="CI8" s="27">
        <f t="shared" si="18"/>
        <v>4.4119999999999999</v>
      </c>
      <c r="CJ8" s="27">
        <f t="shared" si="19"/>
        <v>5.1449999999999996</v>
      </c>
      <c r="CK8" s="27">
        <f t="shared" si="20"/>
        <v>3.8959999999999999</v>
      </c>
      <c r="CL8" s="27">
        <f t="shared" si="21"/>
        <v>3.91</v>
      </c>
      <c r="CM8" s="27">
        <f t="shared" si="22"/>
        <v>3.9049999999999998</v>
      </c>
      <c r="CN8" s="27">
        <f t="shared" si="23"/>
        <v>4.1369999999999996</v>
      </c>
      <c r="CO8" s="27">
        <f t="shared" si="24"/>
        <v>7.0830000000000002</v>
      </c>
      <c r="CP8" s="27">
        <f t="shared" si="25"/>
        <v>6.319</v>
      </c>
      <c r="CQ8" s="27">
        <f t="shared" si="26"/>
        <v>7.7009999999999996</v>
      </c>
      <c r="CR8" s="27">
        <f t="shared" si="27"/>
        <v>8.907</v>
      </c>
      <c r="CS8" s="27">
        <f t="shared" si="28"/>
        <v>10.765000000000001</v>
      </c>
      <c r="CT8" s="27">
        <f t="shared" si="29"/>
        <v>12.569000000000001</v>
      </c>
      <c r="CU8" s="27">
        <f t="shared" si="30"/>
        <v>13.162000000000001</v>
      </c>
      <c r="CV8" s="27">
        <f t="shared" si="31"/>
        <v>15.922000000000001</v>
      </c>
      <c r="CW8" s="27">
        <f t="shared" si="32"/>
        <v>25.01</v>
      </c>
      <c r="CX8" s="27">
        <f t="shared" si="33"/>
        <v>30.887</v>
      </c>
      <c r="CY8" s="27">
        <f t="shared" si="34"/>
        <v>29.006</v>
      </c>
      <c r="CZ8" s="27">
        <f t="shared" si="35"/>
        <v>20.980999999999998</v>
      </c>
      <c r="DA8" s="27">
        <f t="shared" si="36"/>
        <v>19.931000000000001</v>
      </c>
      <c r="DB8" s="27">
        <f t="shared" si="37"/>
        <v>17.420000000000002</v>
      </c>
      <c r="DC8" s="27">
        <f t="shared" si="38"/>
        <v>20.867732999999998</v>
      </c>
      <c r="DD8" s="27">
        <f t="shared" si="39"/>
        <v>22.004000000000001</v>
      </c>
      <c r="DE8" s="27">
        <f t="shared" si="40"/>
        <v>23.673000000000002</v>
      </c>
      <c r="DF8" s="27">
        <f t="shared" si="41"/>
        <v>26.074999999999999</v>
      </c>
      <c r="DG8" s="27">
        <f t="shared" si="42"/>
        <v>31.541</v>
      </c>
      <c r="DH8" s="27">
        <f t="shared" si="43"/>
        <v>12.371</v>
      </c>
      <c r="DI8" s="27">
        <f t="shared" si="44"/>
        <v>8.8059999999999992</v>
      </c>
      <c r="DJ8" s="27">
        <f t="shared" si="45"/>
        <v>9.3949999999999996</v>
      </c>
      <c r="DK8" s="27">
        <f t="shared" si="46"/>
        <v>8.2829999999999995</v>
      </c>
      <c r="DL8" s="27">
        <f t="shared" si="47"/>
        <v>7.85</v>
      </c>
      <c r="DM8" s="27">
        <f t="shared" si="48"/>
        <v>8.6821319999999993</v>
      </c>
      <c r="DN8" s="27">
        <f t="shared" si="48"/>
        <v>9.1626700000000003</v>
      </c>
      <c r="EO8" s="22"/>
      <c r="EP8" s="22"/>
      <c r="EQ8" s="22"/>
      <c r="ER8" s="22"/>
      <c r="ES8" s="22"/>
    </row>
    <row r="9" spans="1:149">
      <c r="A9" s="23" t="s">
        <v>39</v>
      </c>
      <c r="B9" s="30">
        <v>0.57299999999999995</v>
      </c>
      <c r="C9" s="30">
        <v>0.63300000000000001</v>
      </c>
      <c r="D9" s="30">
        <v>0.71399999999999997</v>
      </c>
      <c r="E9" s="30">
        <v>0.76500000000000001</v>
      </c>
      <c r="F9" s="30">
        <v>0.85199999999999998</v>
      </c>
      <c r="G9" s="30">
        <v>0.98299999999999998</v>
      </c>
      <c r="H9" s="30">
        <v>1.0289999999999999</v>
      </c>
      <c r="I9" s="30">
        <v>1.2430000000000001</v>
      </c>
      <c r="J9" s="30">
        <v>1.0900000000000001</v>
      </c>
      <c r="K9" s="30">
        <v>1.121</v>
      </c>
      <c r="L9" s="30">
        <v>1.27</v>
      </c>
      <c r="M9" s="30">
        <v>1.0329999999999999</v>
      </c>
      <c r="N9" s="30">
        <v>1.1879999999999999</v>
      </c>
      <c r="O9" s="30">
        <v>0.95899999999999996</v>
      </c>
      <c r="P9" s="30">
        <v>1.288</v>
      </c>
      <c r="Q9" s="30">
        <v>1.409</v>
      </c>
      <c r="R9" s="30">
        <v>0.96699999999999997</v>
      </c>
      <c r="S9" s="30">
        <v>1.0569999999999999</v>
      </c>
      <c r="T9" s="30">
        <v>1.2110000000000001</v>
      </c>
      <c r="U9" s="30">
        <v>1.7129999999999999</v>
      </c>
      <c r="V9" s="30">
        <v>11.552999999999999</v>
      </c>
      <c r="W9" s="30">
        <v>8.5129999999999999</v>
      </c>
      <c r="X9" s="30">
        <v>9.778846999999999</v>
      </c>
      <c r="Y9" s="30">
        <v>10.173</v>
      </c>
      <c r="Z9" s="30">
        <v>13.439</v>
      </c>
      <c r="AA9" s="30">
        <v>13.314</v>
      </c>
      <c r="AB9" s="30">
        <v>13.596</v>
      </c>
      <c r="AC9" s="30">
        <v>13.793000000000001</v>
      </c>
      <c r="AD9" s="30">
        <v>13.715</v>
      </c>
      <c r="AE9" s="30">
        <v>13.718</v>
      </c>
      <c r="AF9" s="30">
        <v>13.821999999999999</v>
      </c>
      <c r="AG9" s="30">
        <v>14.588000000000001</v>
      </c>
      <c r="AH9" s="30">
        <v>14.329891</v>
      </c>
      <c r="AI9" s="30">
        <v>11.629299999999999</v>
      </c>
      <c r="AJ9" s="31">
        <v>7.0999999999999994E-2</v>
      </c>
      <c r="AK9" s="30">
        <v>0.112</v>
      </c>
      <c r="AL9" s="30">
        <v>0.126</v>
      </c>
      <c r="AM9" s="30">
        <v>8.5000000000000006E-2</v>
      </c>
      <c r="AN9" s="30">
        <v>0.15</v>
      </c>
      <c r="AO9" s="30">
        <v>0.109</v>
      </c>
      <c r="AP9" s="30">
        <v>0.16700000000000001</v>
      </c>
      <c r="AQ9" s="30">
        <v>0.219</v>
      </c>
      <c r="AR9" s="30">
        <v>0.20799999999999999</v>
      </c>
      <c r="AS9" s="30">
        <v>0.20899999999999999</v>
      </c>
      <c r="AT9" s="30">
        <v>0.16700000000000001</v>
      </c>
      <c r="AU9" s="30">
        <f>ROUND(175/1000,3)</f>
        <v>0.17499999999999999</v>
      </c>
      <c r="AV9" s="30">
        <v>0.127</v>
      </c>
      <c r="AW9" s="30">
        <v>0.27500000000000002</v>
      </c>
      <c r="AX9" s="30">
        <v>0.25700000000000001</v>
      </c>
      <c r="AY9" s="30">
        <v>0.317</v>
      </c>
      <c r="AZ9" s="30">
        <v>0.32</v>
      </c>
      <c r="BA9" s="30">
        <v>0.316</v>
      </c>
      <c r="BB9" s="30">
        <v>0.26300000000000001</v>
      </c>
      <c r="BC9" s="30">
        <v>0.53600000000000003</v>
      </c>
      <c r="BD9" s="30">
        <v>0.59899999999999998</v>
      </c>
      <c r="BE9" s="30">
        <v>0.64600000000000002</v>
      </c>
      <c r="BF9" s="30">
        <v>0.38500000000000001</v>
      </c>
      <c r="BG9" s="30">
        <v>0.32300000000000001</v>
      </c>
      <c r="BH9" s="30">
        <v>0.92399999999999993</v>
      </c>
      <c r="BI9" s="30">
        <v>1.0489999999999999</v>
      </c>
      <c r="BJ9" s="30">
        <v>0.374</v>
      </c>
      <c r="BK9" s="30">
        <v>0.314</v>
      </c>
      <c r="BL9" s="30">
        <v>0.27500000000000002</v>
      </c>
      <c r="BM9" s="30">
        <v>0.23300000000000001</v>
      </c>
      <c r="BN9" s="30">
        <v>0.27300000000000002</v>
      </c>
      <c r="BO9" s="30">
        <v>0.23</v>
      </c>
      <c r="BP9" s="30">
        <v>0.15898300000000001</v>
      </c>
      <c r="BQ9" s="30">
        <v>6.3250000000000001E-2</v>
      </c>
      <c r="BR9" s="31" t="s">
        <v>37</v>
      </c>
      <c r="BS9" s="30" t="s">
        <v>37</v>
      </c>
      <c r="BT9" s="30">
        <v>0.02</v>
      </c>
      <c r="BU9" s="30" t="s">
        <v>37</v>
      </c>
      <c r="BV9" s="30" t="s">
        <v>37</v>
      </c>
      <c r="BW9" s="30" t="s">
        <v>37</v>
      </c>
      <c r="BX9" s="30" t="s">
        <v>37</v>
      </c>
      <c r="BY9" s="30" t="s">
        <v>45</v>
      </c>
      <c r="BZ9" s="30" t="s">
        <v>45</v>
      </c>
      <c r="CA9" s="30" t="s">
        <v>45</v>
      </c>
      <c r="CB9" s="30" t="s">
        <v>45</v>
      </c>
      <c r="CC9" s="30" t="s">
        <v>45</v>
      </c>
      <c r="CD9" s="30" t="s">
        <v>45</v>
      </c>
      <c r="CE9" s="30" t="s">
        <v>45</v>
      </c>
      <c r="CF9" s="30">
        <v>2.0573999999999999</v>
      </c>
      <c r="CG9" s="26">
        <f t="shared" si="16"/>
        <v>0.64399999999999991</v>
      </c>
      <c r="CH9" s="27">
        <f t="shared" si="17"/>
        <v>0.745</v>
      </c>
      <c r="CI9" s="27">
        <f t="shared" si="18"/>
        <v>0.84</v>
      </c>
      <c r="CJ9" s="27">
        <f t="shared" si="19"/>
        <v>0.85</v>
      </c>
      <c r="CK9" s="27">
        <f t="shared" si="20"/>
        <v>1.002</v>
      </c>
      <c r="CL9" s="27">
        <f t="shared" si="21"/>
        <v>1.0920000000000001</v>
      </c>
      <c r="CM9" s="27">
        <f t="shared" si="22"/>
        <v>1.196</v>
      </c>
      <c r="CN9" s="27">
        <f t="shared" si="23"/>
        <v>1.4620000000000002</v>
      </c>
      <c r="CO9" s="27">
        <f t="shared" si="24"/>
        <v>1.298</v>
      </c>
      <c r="CP9" s="27">
        <f t="shared" si="25"/>
        <v>1.33</v>
      </c>
      <c r="CQ9" s="27">
        <f t="shared" si="26"/>
        <v>1.4370000000000001</v>
      </c>
      <c r="CR9" s="27">
        <f t="shared" si="27"/>
        <v>1.208</v>
      </c>
      <c r="CS9" s="27">
        <f t="shared" si="28"/>
        <v>1.3149999999999999</v>
      </c>
      <c r="CT9" s="27">
        <f t="shared" si="29"/>
        <v>1.234</v>
      </c>
      <c r="CU9" s="27">
        <f t="shared" si="30"/>
        <v>1.5449999999999999</v>
      </c>
      <c r="CV9" s="27">
        <f t="shared" si="31"/>
        <v>1.726</v>
      </c>
      <c r="CW9" s="27">
        <f t="shared" si="32"/>
        <v>1.2869999999999999</v>
      </c>
      <c r="CX9" s="27">
        <f t="shared" si="33"/>
        <v>1.373</v>
      </c>
      <c r="CY9" s="27">
        <f t="shared" si="34"/>
        <v>1.4740000000000002</v>
      </c>
      <c r="CZ9" s="27">
        <f t="shared" si="35"/>
        <v>2.2489999999999997</v>
      </c>
      <c r="DA9" s="27">
        <f t="shared" si="36"/>
        <v>12.151999999999999</v>
      </c>
      <c r="DB9" s="27">
        <f t="shared" si="37"/>
        <v>9.1790000000000003</v>
      </c>
      <c r="DC9" s="27">
        <f t="shared" si="38"/>
        <v>10.163846999999999</v>
      </c>
      <c r="DD9" s="27">
        <f t="shared" si="39"/>
        <v>10.496</v>
      </c>
      <c r="DE9" s="27">
        <f t="shared" si="40"/>
        <v>14.363</v>
      </c>
      <c r="DF9" s="27">
        <f t="shared" si="41"/>
        <v>14.363</v>
      </c>
      <c r="DG9" s="27">
        <f t="shared" si="42"/>
        <v>13.97</v>
      </c>
      <c r="DH9" s="27">
        <f t="shared" si="43"/>
        <v>14.107000000000001</v>
      </c>
      <c r="DI9" s="27">
        <f t="shared" si="44"/>
        <v>13.99</v>
      </c>
      <c r="DJ9" s="27">
        <f t="shared" si="45"/>
        <v>13.951000000000001</v>
      </c>
      <c r="DK9" s="27">
        <f t="shared" si="46"/>
        <v>14.094999999999999</v>
      </c>
      <c r="DL9" s="27">
        <f t="shared" si="47"/>
        <v>14.818000000000001</v>
      </c>
      <c r="DM9" s="27">
        <f t="shared" si="48"/>
        <v>14.488873999999999</v>
      </c>
      <c r="DN9" s="27">
        <f t="shared" si="48"/>
        <v>13.749949999999998</v>
      </c>
      <c r="EO9" s="22"/>
      <c r="EP9" s="22"/>
      <c r="EQ9" s="22"/>
      <c r="ER9" s="22"/>
      <c r="ES9" s="22"/>
    </row>
    <row r="10" spans="1:149">
      <c r="A10" s="23" t="s">
        <v>40</v>
      </c>
      <c r="B10" s="30">
        <v>14.028</v>
      </c>
      <c r="C10" s="30">
        <v>14.026</v>
      </c>
      <c r="D10" s="30">
        <v>14.798999999999999</v>
      </c>
      <c r="E10" s="30">
        <v>15.311</v>
      </c>
      <c r="F10" s="30">
        <v>17.186</v>
      </c>
      <c r="G10" s="30">
        <v>19.626000000000001</v>
      </c>
      <c r="H10" s="30">
        <v>21.7</v>
      </c>
      <c r="I10" s="30">
        <v>27.132000000000001</v>
      </c>
      <c r="J10" s="30">
        <v>27.158999999999999</v>
      </c>
      <c r="K10" s="30">
        <v>29.628</v>
      </c>
      <c r="L10" s="30">
        <f>ROUND(31277/1000,3)</f>
        <v>31.277000000000001</v>
      </c>
      <c r="M10" s="30">
        <f>ROUND(36.824,3)</f>
        <v>36.823999999999998</v>
      </c>
      <c r="N10" s="30">
        <f>ROUND(34.822,3)</f>
        <v>34.822000000000003</v>
      </c>
      <c r="O10" s="30">
        <v>33.853999999999999</v>
      </c>
      <c r="P10" s="30">
        <v>35.674999999999997</v>
      </c>
      <c r="Q10" s="30">
        <v>36.658999999999999</v>
      </c>
      <c r="R10" s="30">
        <v>44.892000000000003</v>
      </c>
      <c r="S10" s="30">
        <v>66.192999999999998</v>
      </c>
      <c r="T10" s="30">
        <v>75.656000000000006</v>
      </c>
      <c r="U10" s="30">
        <v>88.730999999999995</v>
      </c>
      <c r="V10" s="30">
        <v>88.495999999999995</v>
      </c>
      <c r="W10" s="30">
        <v>93.815999999999988</v>
      </c>
      <c r="X10" s="30">
        <v>101.87387100000001</v>
      </c>
      <c r="Y10" s="30">
        <v>134.32900000000001</v>
      </c>
      <c r="Z10" s="30">
        <v>149.518</v>
      </c>
      <c r="AA10" s="30">
        <v>148.67100000000002</v>
      </c>
      <c r="AB10" s="30">
        <v>146.27900000000002</v>
      </c>
      <c r="AC10" s="30">
        <v>150.35499999999999</v>
      </c>
      <c r="AD10" s="30">
        <v>146.62799999999999</v>
      </c>
      <c r="AE10" s="30">
        <v>146.66899999999998</v>
      </c>
      <c r="AF10" s="30">
        <v>145.30100000000002</v>
      </c>
      <c r="AG10" s="30">
        <v>159.26600000000002</v>
      </c>
      <c r="AH10" s="30">
        <v>159.08413200000001</v>
      </c>
      <c r="AI10" s="30">
        <v>159.991016</v>
      </c>
      <c r="AJ10" s="31">
        <v>7.0000000000000001E-3</v>
      </c>
      <c r="AK10" s="30">
        <v>7.0000000000000001E-3</v>
      </c>
      <c r="AL10" s="30">
        <v>2E-3</v>
      </c>
      <c r="AM10" s="30">
        <v>3.0000000000000001E-3</v>
      </c>
      <c r="AN10" s="30">
        <v>3.0000000000000001E-3</v>
      </c>
      <c r="AO10" s="24">
        <v>3.0000000000000001E-3</v>
      </c>
      <c r="AP10" s="24">
        <v>3.0000000000000001E-3</v>
      </c>
      <c r="AQ10" s="24">
        <v>3.0000000000000001E-3</v>
      </c>
      <c r="AR10" s="30">
        <v>3.0000000000000001E-3</v>
      </c>
      <c r="AS10" s="30">
        <f>ROUND(10/1000,3)</f>
        <v>0.01</v>
      </c>
      <c r="AT10" s="30">
        <f>ROUND(12/1000,3)</f>
        <v>1.2E-2</v>
      </c>
      <c r="AU10" s="24">
        <f>(($AW$10-$AT$10)/3)+AT10</f>
        <v>0.01</v>
      </c>
      <c r="AV10" s="24">
        <f>(($AW$10-$AT$10)/3)+AU10</f>
        <v>8.0000000000000002E-3</v>
      </c>
      <c r="AW10" s="30">
        <v>6.0000000000000001E-3</v>
      </c>
      <c r="AX10" s="30" t="s">
        <v>37</v>
      </c>
      <c r="AY10" s="30" t="s">
        <v>37</v>
      </c>
      <c r="AZ10" s="30" t="s">
        <v>37</v>
      </c>
      <c r="BA10" s="30" t="s">
        <v>37</v>
      </c>
      <c r="BB10" s="30" t="s">
        <v>37</v>
      </c>
      <c r="BC10" s="30" t="s">
        <v>37</v>
      </c>
      <c r="BD10" s="30" t="s">
        <v>37</v>
      </c>
      <c r="BE10" s="30" t="s">
        <v>37</v>
      </c>
      <c r="BF10" s="30" t="s">
        <v>37</v>
      </c>
      <c r="BG10" s="30" t="s">
        <v>37</v>
      </c>
      <c r="BH10" s="30" t="s">
        <v>37</v>
      </c>
      <c r="BI10" s="30" t="s">
        <v>37</v>
      </c>
      <c r="BJ10" s="30" t="s">
        <v>45</v>
      </c>
      <c r="BK10" s="30" t="s">
        <v>45</v>
      </c>
      <c r="BL10" s="30" t="s">
        <v>45</v>
      </c>
      <c r="BM10" s="30" t="s">
        <v>45</v>
      </c>
      <c r="BN10" s="30" t="s">
        <v>45</v>
      </c>
      <c r="BO10" s="30" t="s">
        <v>45</v>
      </c>
      <c r="BP10" s="30" t="s">
        <v>45</v>
      </c>
      <c r="BQ10" s="30" t="s">
        <v>45</v>
      </c>
      <c r="BR10" s="31" t="s">
        <v>37</v>
      </c>
      <c r="BS10" s="30">
        <v>3.6</v>
      </c>
      <c r="BT10" s="30">
        <v>5.9749999999999996</v>
      </c>
      <c r="BU10" s="30">
        <v>5.9749999999999996</v>
      </c>
      <c r="BV10" s="30">
        <v>7.9749999999999996</v>
      </c>
      <c r="BW10" s="30">
        <v>5.9749999999999996</v>
      </c>
      <c r="BX10" s="30">
        <v>5.617</v>
      </c>
      <c r="BY10" s="30">
        <v>4.1879999999999997</v>
      </c>
      <c r="BZ10" s="30">
        <v>4.0209999999999999</v>
      </c>
      <c r="CA10" s="30">
        <v>4.6189999999999998</v>
      </c>
      <c r="CB10" s="30">
        <v>6.702</v>
      </c>
      <c r="CC10" s="30">
        <v>7</v>
      </c>
      <c r="CD10" s="30">
        <v>7</v>
      </c>
      <c r="CE10" s="30">
        <v>7</v>
      </c>
      <c r="CF10" s="30">
        <v>7</v>
      </c>
      <c r="CG10" s="26">
        <f t="shared" si="16"/>
        <v>14.035</v>
      </c>
      <c r="CH10" s="27">
        <f t="shared" si="17"/>
        <v>14.032999999999999</v>
      </c>
      <c r="CI10" s="27">
        <f t="shared" si="18"/>
        <v>14.801</v>
      </c>
      <c r="CJ10" s="27">
        <f t="shared" si="19"/>
        <v>15.314</v>
      </c>
      <c r="CK10" s="27">
        <f t="shared" si="20"/>
        <v>17.189</v>
      </c>
      <c r="CL10" s="27">
        <f t="shared" si="21"/>
        <v>19.629000000000001</v>
      </c>
      <c r="CM10" s="27">
        <f t="shared" si="22"/>
        <v>21.702999999999999</v>
      </c>
      <c r="CN10" s="27">
        <f t="shared" si="23"/>
        <v>27.135000000000002</v>
      </c>
      <c r="CO10" s="27">
        <f t="shared" si="24"/>
        <v>27.161999999999999</v>
      </c>
      <c r="CP10" s="27">
        <f t="shared" si="25"/>
        <v>29.638000000000002</v>
      </c>
      <c r="CQ10" s="27">
        <f t="shared" si="26"/>
        <v>31.289000000000001</v>
      </c>
      <c r="CR10" s="27">
        <f t="shared" si="27"/>
        <v>36.833999999999996</v>
      </c>
      <c r="CS10" s="27">
        <f t="shared" si="28"/>
        <v>34.830000000000005</v>
      </c>
      <c r="CT10" s="27">
        <f t="shared" si="29"/>
        <v>33.86</v>
      </c>
      <c r="CU10" s="27">
        <f t="shared" si="30"/>
        <v>35.674999999999997</v>
      </c>
      <c r="CV10" s="27">
        <f t="shared" si="31"/>
        <v>36.658999999999999</v>
      </c>
      <c r="CW10" s="27">
        <f t="shared" si="32"/>
        <v>44.892000000000003</v>
      </c>
      <c r="CX10" s="27">
        <f t="shared" si="33"/>
        <v>66.192999999999998</v>
      </c>
      <c r="CY10" s="27">
        <f t="shared" si="34"/>
        <v>75.656000000000006</v>
      </c>
      <c r="CZ10" s="27">
        <f t="shared" si="35"/>
        <v>88.730999999999995</v>
      </c>
      <c r="DA10" s="27">
        <f t="shared" si="36"/>
        <v>92.095999999999989</v>
      </c>
      <c r="DB10" s="27">
        <f t="shared" si="37"/>
        <v>99.790999999999983</v>
      </c>
      <c r="DC10" s="27">
        <f t="shared" si="38"/>
        <v>107.848871</v>
      </c>
      <c r="DD10" s="27">
        <f t="shared" si="39"/>
        <v>142.304</v>
      </c>
      <c r="DE10" s="27">
        <f t="shared" si="40"/>
        <v>155.49299999999999</v>
      </c>
      <c r="DF10" s="27">
        <f t="shared" si="41"/>
        <v>154.28800000000001</v>
      </c>
      <c r="DG10" s="27">
        <f t="shared" si="42"/>
        <v>150.46700000000001</v>
      </c>
      <c r="DH10" s="27">
        <f t="shared" si="43"/>
        <v>154.37599999999998</v>
      </c>
      <c r="DI10" s="27">
        <f t="shared" si="44"/>
        <v>151.24699999999999</v>
      </c>
      <c r="DJ10" s="27">
        <f t="shared" si="45"/>
        <v>153.37099999999998</v>
      </c>
      <c r="DK10" s="27">
        <f t="shared" si="46"/>
        <v>152.30100000000002</v>
      </c>
      <c r="DL10" s="27">
        <f t="shared" si="47"/>
        <v>166.26600000000002</v>
      </c>
      <c r="DM10" s="27">
        <f t="shared" si="48"/>
        <v>166.08413200000001</v>
      </c>
      <c r="DN10" s="27">
        <f t="shared" si="48"/>
        <v>166.991016</v>
      </c>
      <c r="EO10" s="22"/>
      <c r="EP10" s="22"/>
      <c r="EQ10" s="22"/>
      <c r="ER10" s="22"/>
      <c r="ES10" s="22"/>
    </row>
    <row r="11" spans="1:149">
      <c r="A11" s="23" t="s">
        <v>41</v>
      </c>
      <c r="B11" s="30">
        <v>3.7410000000000001</v>
      </c>
      <c r="C11" s="30">
        <v>4.2160000000000002</v>
      </c>
      <c r="D11" s="30">
        <v>4.4429999999999996</v>
      </c>
      <c r="E11" s="30">
        <v>4.734</v>
      </c>
      <c r="F11" s="30">
        <v>4.9340000000000002</v>
      </c>
      <c r="G11" s="30">
        <v>5.0199999999999996</v>
      </c>
      <c r="H11" s="30">
        <v>5.0049999999999999</v>
      </c>
      <c r="I11" s="30">
        <v>5.1740000000000004</v>
      </c>
      <c r="J11" s="30">
        <v>4.8040000000000003</v>
      </c>
      <c r="K11" s="30">
        <v>4.9509999999999996</v>
      </c>
      <c r="L11" s="30">
        <f>ROUND(26853/1000,3)</f>
        <v>26.853000000000002</v>
      </c>
      <c r="M11" s="30">
        <f>ROUND(5.147,3)</f>
        <v>5.1470000000000002</v>
      </c>
      <c r="N11" s="30">
        <f>ROUND(4.757,3)</f>
        <v>4.7569999999999997</v>
      </c>
      <c r="O11" s="30">
        <v>2.165</v>
      </c>
      <c r="P11" s="30">
        <v>1.056</v>
      </c>
      <c r="Q11" s="30">
        <v>0.47199999999999998</v>
      </c>
      <c r="R11" s="30" t="s">
        <v>37</v>
      </c>
      <c r="S11" s="30" t="s">
        <v>37</v>
      </c>
      <c r="T11" s="30">
        <v>1.54</v>
      </c>
      <c r="U11" s="30">
        <v>1.5009999999999999</v>
      </c>
      <c r="V11" s="30">
        <v>1.46</v>
      </c>
      <c r="W11" s="30">
        <v>1.516</v>
      </c>
      <c r="X11" s="30">
        <v>1.4006940000000001</v>
      </c>
      <c r="Y11" s="30">
        <v>1.3129999999999999</v>
      </c>
      <c r="Z11" s="30">
        <v>1.4890000000000001</v>
      </c>
      <c r="AA11" s="30">
        <v>1.3660000000000001</v>
      </c>
      <c r="AB11" s="30">
        <v>1.2949999999999999</v>
      </c>
      <c r="AC11" s="30">
        <v>1.4650000000000001</v>
      </c>
      <c r="AD11" s="30" t="s">
        <v>45</v>
      </c>
      <c r="AE11" s="30" t="s">
        <v>45</v>
      </c>
      <c r="AF11" s="30">
        <v>0</v>
      </c>
      <c r="AG11" s="30">
        <v>0</v>
      </c>
      <c r="AH11" s="30">
        <v>0</v>
      </c>
      <c r="AI11" s="30">
        <v>0</v>
      </c>
      <c r="AJ11" s="31" t="s">
        <v>37</v>
      </c>
      <c r="AK11" s="30" t="s">
        <v>37</v>
      </c>
      <c r="AL11" s="30" t="s">
        <v>37</v>
      </c>
      <c r="AM11" s="30" t="s">
        <v>37</v>
      </c>
      <c r="AN11" s="30" t="s">
        <v>37</v>
      </c>
      <c r="AO11" s="30" t="s">
        <v>37</v>
      </c>
      <c r="AP11" s="30" t="s">
        <v>37</v>
      </c>
      <c r="AQ11" s="30" t="s">
        <v>37</v>
      </c>
      <c r="AR11" s="30" t="s">
        <v>37</v>
      </c>
      <c r="AS11" s="30" t="s">
        <v>37</v>
      </c>
      <c r="AT11" s="30" t="s">
        <v>37</v>
      </c>
      <c r="AU11" s="30" t="s">
        <v>37</v>
      </c>
      <c r="AV11" s="30" t="s">
        <v>37</v>
      </c>
      <c r="AW11" s="30" t="s">
        <v>37</v>
      </c>
      <c r="AX11" s="30" t="s">
        <v>37</v>
      </c>
      <c r="AY11" s="30" t="s">
        <v>37</v>
      </c>
      <c r="AZ11" s="30" t="s">
        <v>37</v>
      </c>
      <c r="BA11" s="30" t="s">
        <v>37</v>
      </c>
      <c r="BB11" s="30" t="s">
        <v>37</v>
      </c>
      <c r="BC11" s="30" t="s">
        <v>37</v>
      </c>
      <c r="BD11" s="30" t="s">
        <v>37</v>
      </c>
      <c r="BE11" s="30" t="s">
        <v>37</v>
      </c>
      <c r="BF11" s="30" t="s">
        <v>37</v>
      </c>
      <c r="BG11" s="30" t="s">
        <v>37</v>
      </c>
      <c r="BH11" s="30" t="s">
        <v>37</v>
      </c>
      <c r="BI11" s="30" t="s">
        <v>37</v>
      </c>
      <c r="BJ11" s="30" t="s">
        <v>45</v>
      </c>
      <c r="BK11" s="30" t="s">
        <v>45</v>
      </c>
      <c r="BL11" s="30" t="s">
        <v>45</v>
      </c>
      <c r="BM11" s="30" t="s">
        <v>45</v>
      </c>
      <c r="BN11" s="30" t="s">
        <v>45</v>
      </c>
      <c r="BO11" s="30" t="s">
        <v>45</v>
      </c>
      <c r="BP11" s="30" t="s">
        <v>45</v>
      </c>
      <c r="BQ11" s="30" t="s">
        <v>45</v>
      </c>
      <c r="BR11" s="31" t="s">
        <v>37</v>
      </c>
      <c r="BS11" s="30" t="s">
        <v>37</v>
      </c>
      <c r="BT11" s="30" t="s">
        <v>37</v>
      </c>
      <c r="BU11" s="30" t="s">
        <v>37</v>
      </c>
      <c r="BV11" s="30" t="s">
        <v>37</v>
      </c>
      <c r="BW11" s="30" t="s">
        <v>37</v>
      </c>
      <c r="BX11" s="30" t="s">
        <v>37</v>
      </c>
      <c r="BY11" s="30" t="s">
        <v>45</v>
      </c>
      <c r="BZ11" s="30" t="s">
        <v>45</v>
      </c>
      <c r="CA11" s="30" t="s">
        <v>45</v>
      </c>
      <c r="CB11" s="30" t="s">
        <v>45</v>
      </c>
      <c r="CC11" s="30" t="s">
        <v>45</v>
      </c>
      <c r="CD11" s="30" t="s">
        <v>45</v>
      </c>
      <c r="CE11" s="30" t="s">
        <v>45</v>
      </c>
      <c r="CF11" s="30" t="s">
        <v>45</v>
      </c>
      <c r="CG11" s="26">
        <f t="shared" si="16"/>
        <v>3.7410000000000001</v>
      </c>
      <c r="CH11" s="27">
        <f t="shared" si="17"/>
        <v>4.2160000000000002</v>
      </c>
      <c r="CI11" s="27">
        <f t="shared" si="18"/>
        <v>4.4429999999999996</v>
      </c>
      <c r="CJ11" s="27">
        <f t="shared" si="19"/>
        <v>4.734</v>
      </c>
      <c r="CK11" s="27">
        <f t="shared" si="20"/>
        <v>4.9340000000000002</v>
      </c>
      <c r="CL11" s="27">
        <f t="shared" si="21"/>
        <v>5.0199999999999996</v>
      </c>
      <c r="CM11" s="27">
        <f t="shared" si="22"/>
        <v>5.0049999999999999</v>
      </c>
      <c r="CN11" s="27">
        <f t="shared" si="23"/>
        <v>5.1740000000000004</v>
      </c>
      <c r="CO11" s="27">
        <f t="shared" si="24"/>
        <v>4.8040000000000003</v>
      </c>
      <c r="CP11" s="27">
        <f t="shared" si="25"/>
        <v>4.9509999999999996</v>
      </c>
      <c r="CQ11" s="27">
        <f t="shared" si="26"/>
        <v>26.853000000000002</v>
      </c>
      <c r="CR11" s="27">
        <f t="shared" si="27"/>
        <v>5.1470000000000002</v>
      </c>
      <c r="CS11" s="27">
        <f t="shared" si="28"/>
        <v>4.7569999999999997</v>
      </c>
      <c r="CT11" s="27">
        <f t="shared" si="29"/>
        <v>2.165</v>
      </c>
      <c r="CU11" s="27">
        <f t="shared" si="30"/>
        <v>1.056</v>
      </c>
      <c r="CV11" s="27">
        <f t="shared" si="31"/>
        <v>0.47199999999999998</v>
      </c>
      <c r="CW11" s="27">
        <f t="shared" si="32"/>
        <v>0</v>
      </c>
      <c r="CX11" s="27">
        <f t="shared" si="33"/>
        <v>0</v>
      </c>
      <c r="CY11" s="27">
        <f t="shared" si="34"/>
        <v>1.54</v>
      </c>
      <c r="CZ11" s="27">
        <f t="shared" si="35"/>
        <v>1.5009999999999999</v>
      </c>
      <c r="DA11" s="27">
        <f t="shared" si="36"/>
        <v>1.46</v>
      </c>
      <c r="DB11" s="27">
        <f t="shared" si="37"/>
        <v>1.516</v>
      </c>
      <c r="DC11" s="27">
        <f t="shared" si="38"/>
        <v>1.4006940000000001</v>
      </c>
      <c r="DD11" s="27">
        <f t="shared" si="39"/>
        <v>1.3129999999999999</v>
      </c>
      <c r="DE11" s="27">
        <f t="shared" si="40"/>
        <v>1.4890000000000001</v>
      </c>
      <c r="DF11" s="27">
        <f t="shared" si="41"/>
        <v>1.3660000000000001</v>
      </c>
      <c r="DG11" s="27">
        <f t="shared" si="42"/>
        <v>1.2949999999999999</v>
      </c>
      <c r="DH11" s="27">
        <f t="shared" si="43"/>
        <v>1.4650000000000001</v>
      </c>
      <c r="DI11" s="27">
        <f t="shared" si="44"/>
        <v>0</v>
      </c>
      <c r="DJ11" s="27">
        <f t="shared" si="45"/>
        <v>0</v>
      </c>
      <c r="DK11" s="27">
        <f t="shared" si="46"/>
        <v>0</v>
      </c>
      <c r="DL11" s="27">
        <f t="shared" si="47"/>
        <v>0</v>
      </c>
      <c r="DM11" s="27">
        <f t="shared" si="48"/>
        <v>0</v>
      </c>
      <c r="DN11" s="27">
        <f t="shared" si="48"/>
        <v>0</v>
      </c>
      <c r="EO11" s="22"/>
      <c r="EP11" s="22"/>
      <c r="EQ11" s="22"/>
      <c r="ER11" s="22"/>
      <c r="ES11" s="22"/>
    </row>
    <row r="12" spans="1:149">
      <c r="A12" s="23" t="s">
        <v>42</v>
      </c>
      <c r="B12" s="30">
        <v>8.2279999999999998</v>
      </c>
      <c r="C12" s="30">
        <v>8.6479999999999997</v>
      </c>
      <c r="D12" s="30">
        <v>9.0809999999999995</v>
      </c>
      <c r="E12" s="30">
        <v>11.583</v>
      </c>
      <c r="F12" s="30">
        <v>12.228999999999999</v>
      </c>
      <c r="G12" s="30">
        <v>13.19</v>
      </c>
      <c r="H12" s="30">
        <v>13.858000000000001</v>
      </c>
      <c r="I12" s="30">
        <v>19.393000000000001</v>
      </c>
      <c r="J12" s="30">
        <v>21.074999999999999</v>
      </c>
      <c r="K12" s="30">
        <v>20.52</v>
      </c>
      <c r="L12" s="30">
        <f>ROUND(20619/1000,3)</f>
        <v>20.619</v>
      </c>
      <c r="M12" s="30">
        <f>ROUND(25.517,3)</f>
        <v>25.516999999999999</v>
      </c>
      <c r="N12" s="30">
        <f>ROUND(26.215,3)</f>
        <v>26.215</v>
      </c>
      <c r="O12" s="30">
        <v>28.902000000000001</v>
      </c>
      <c r="P12" s="30">
        <v>27.199000000000002</v>
      </c>
      <c r="Q12" s="30">
        <v>38.441000000000003</v>
      </c>
      <c r="R12" s="30">
        <v>40.118000000000002</v>
      </c>
      <c r="S12" s="30">
        <v>45.326999999999998</v>
      </c>
      <c r="T12" s="30">
        <v>48.322000000000003</v>
      </c>
      <c r="U12" s="30">
        <v>51.741999999999997</v>
      </c>
      <c r="V12" s="30">
        <v>68.433000000000007</v>
      </c>
      <c r="W12" s="30">
        <v>75.385000000000005</v>
      </c>
      <c r="X12" s="30">
        <v>82.610817999999995</v>
      </c>
      <c r="Y12" s="30">
        <v>91.015999999999991</v>
      </c>
      <c r="Z12" s="30">
        <v>92.253999999999991</v>
      </c>
      <c r="AA12" s="30">
        <v>93.435000000000002</v>
      </c>
      <c r="AB12" s="30">
        <v>95.978000000000009</v>
      </c>
      <c r="AC12" s="30">
        <v>92.016999999999996</v>
      </c>
      <c r="AD12" s="30">
        <v>89.908000000000001</v>
      </c>
      <c r="AE12" s="30">
        <v>87.192000000000007</v>
      </c>
      <c r="AF12" s="30">
        <v>92.58</v>
      </c>
      <c r="AG12" s="30">
        <v>89.444000000000003</v>
      </c>
      <c r="AH12" s="30">
        <v>99.083977000000004</v>
      </c>
      <c r="AI12" s="30">
        <v>98.754612000000009</v>
      </c>
      <c r="AJ12" s="31" t="s">
        <v>37</v>
      </c>
      <c r="AK12" s="30" t="s">
        <v>37</v>
      </c>
      <c r="AL12" s="30" t="s">
        <v>37</v>
      </c>
      <c r="AM12" s="30" t="s">
        <v>37</v>
      </c>
      <c r="AN12" s="30" t="s">
        <v>37</v>
      </c>
      <c r="AO12" s="30" t="s">
        <v>37</v>
      </c>
      <c r="AP12" s="30" t="s">
        <v>37</v>
      </c>
      <c r="AQ12" s="30" t="s">
        <v>37</v>
      </c>
      <c r="AR12" s="30" t="s">
        <v>37</v>
      </c>
      <c r="AS12" s="30" t="s">
        <v>37</v>
      </c>
      <c r="AT12" s="30" t="s">
        <v>37</v>
      </c>
      <c r="AU12" s="30" t="s">
        <v>37</v>
      </c>
      <c r="AV12" s="30" t="s">
        <v>37</v>
      </c>
      <c r="AW12" s="30" t="s">
        <v>37</v>
      </c>
      <c r="AX12" s="30" t="s">
        <v>37</v>
      </c>
      <c r="AY12" s="30" t="s">
        <v>37</v>
      </c>
      <c r="AZ12" s="30" t="s">
        <v>37</v>
      </c>
      <c r="BA12" s="30" t="s">
        <v>37</v>
      </c>
      <c r="BB12" s="30" t="s">
        <v>37</v>
      </c>
      <c r="BC12" s="30" t="s">
        <v>37</v>
      </c>
      <c r="BD12" s="30" t="s">
        <v>37</v>
      </c>
      <c r="BE12" s="30" t="s">
        <v>37</v>
      </c>
      <c r="BF12" s="30" t="s">
        <v>37</v>
      </c>
      <c r="BG12" s="30" t="s">
        <v>37</v>
      </c>
      <c r="BH12" s="30" t="s">
        <v>37</v>
      </c>
      <c r="BI12" s="30" t="s">
        <v>37</v>
      </c>
      <c r="BJ12" s="30" t="s">
        <v>45</v>
      </c>
      <c r="BK12" s="30" t="s">
        <v>45</v>
      </c>
      <c r="BL12" s="30" t="s">
        <v>45</v>
      </c>
      <c r="BM12" s="30" t="s">
        <v>45</v>
      </c>
      <c r="BN12" s="30" t="s">
        <v>45</v>
      </c>
      <c r="BO12" s="30" t="s">
        <v>45</v>
      </c>
      <c r="BP12" s="30" t="s">
        <v>45</v>
      </c>
      <c r="BQ12" s="30" t="s">
        <v>45</v>
      </c>
      <c r="BR12" s="31" t="s">
        <v>37</v>
      </c>
      <c r="BS12" s="30" t="s">
        <v>37</v>
      </c>
      <c r="BT12" s="30" t="s">
        <v>37</v>
      </c>
      <c r="BU12" s="30" t="s">
        <v>37</v>
      </c>
      <c r="BV12" s="30" t="s">
        <v>37</v>
      </c>
      <c r="BW12" s="30" t="s">
        <v>37</v>
      </c>
      <c r="BX12" s="30" t="s">
        <v>37</v>
      </c>
      <c r="BY12" s="30" t="s">
        <v>45</v>
      </c>
      <c r="BZ12" s="30" t="s">
        <v>45</v>
      </c>
      <c r="CA12" s="30" t="s">
        <v>45</v>
      </c>
      <c r="CB12" s="30" t="s">
        <v>45</v>
      </c>
      <c r="CC12" s="30" t="s">
        <v>45</v>
      </c>
      <c r="CD12" s="30" t="s">
        <v>45</v>
      </c>
      <c r="CE12" s="30" t="s">
        <v>45</v>
      </c>
      <c r="CF12" s="30" t="s">
        <v>45</v>
      </c>
      <c r="CG12" s="26">
        <f t="shared" si="16"/>
        <v>8.2279999999999998</v>
      </c>
      <c r="CH12" s="27">
        <f t="shared" si="17"/>
        <v>8.6479999999999997</v>
      </c>
      <c r="CI12" s="27">
        <f t="shared" si="18"/>
        <v>9.0809999999999995</v>
      </c>
      <c r="CJ12" s="27">
        <f t="shared" si="19"/>
        <v>11.583</v>
      </c>
      <c r="CK12" s="27">
        <f t="shared" si="20"/>
        <v>12.228999999999999</v>
      </c>
      <c r="CL12" s="27">
        <f t="shared" si="21"/>
        <v>13.19</v>
      </c>
      <c r="CM12" s="27">
        <f t="shared" si="22"/>
        <v>13.858000000000001</v>
      </c>
      <c r="CN12" s="27">
        <f t="shared" si="23"/>
        <v>19.393000000000001</v>
      </c>
      <c r="CO12" s="27">
        <f t="shared" si="24"/>
        <v>21.074999999999999</v>
      </c>
      <c r="CP12" s="27">
        <f t="shared" si="25"/>
        <v>20.52</v>
      </c>
      <c r="CQ12" s="27">
        <f t="shared" si="26"/>
        <v>20.619</v>
      </c>
      <c r="CR12" s="27">
        <f t="shared" si="27"/>
        <v>25.516999999999999</v>
      </c>
      <c r="CS12" s="27">
        <f t="shared" si="28"/>
        <v>26.215</v>
      </c>
      <c r="CT12" s="27">
        <f t="shared" si="29"/>
        <v>28.902000000000001</v>
      </c>
      <c r="CU12" s="27">
        <f t="shared" si="30"/>
        <v>27.199000000000002</v>
      </c>
      <c r="CV12" s="27">
        <f t="shared" si="31"/>
        <v>38.441000000000003</v>
      </c>
      <c r="CW12" s="27">
        <f t="shared" si="32"/>
        <v>40.118000000000002</v>
      </c>
      <c r="CX12" s="27">
        <f t="shared" si="33"/>
        <v>45.326999999999998</v>
      </c>
      <c r="CY12" s="27">
        <f t="shared" si="34"/>
        <v>48.322000000000003</v>
      </c>
      <c r="CZ12" s="27">
        <f t="shared" si="35"/>
        <v>51.741999999999997</v>
      </c>
      <c r="DA12" s="27">
        <f t="shared" si="36"/>
        <v>68.433000000000007</v>
      </c>
      <c r="DB12" s="27">
        <f t="shared" si="37"/>
        <v>75.385000000000005</v>
      </c>
      <c r="DC12" s="27">
        <f t="shared" si="38"/>
        <v>82.610817999999995</v>
      </c>
      <c r="DD12" s="27">
        <f t="shared" si="39"/>
        <v>91.015999999999991</v>
      </c>
      <c r="DE12" s="27">
        <f t="shared" si="40"/>
        <v>92.253999999999991</v>
      </c>
      <c r="DF12" s="27">
        <f t="shared" si="41"/>
        <v>93.435000000000002</v>
      </c>
      <c r="DG12" s="27">
        <f t="shared" si="42"/>
        <v>95.978000000000009</v>
      </c>
      <c r="DH12" s="27">
        <f t="shared" si="43"/>
        <v>92.016999999999996</v>
      </c>
      <c r="DI12" s="27">
        <f t="shared" si="44"/>
        <v>89.908000000000001</v>
      </c>
      <c r="DJ12" s="27">
        <f t="shared" si="45"/>
        <v>87.192000000000007</v>
      </c>
      <c r="DK12" s="27">
        <f t="shared" si="46"/>
        <v>92.58</v>
      </c>
      <c r="DL12" s="27">
        <f t="shared" si="47"/>
        <v>89.444000000000003</v>
      </c>
      <c r="DM12" s="27">
        <f t="shared" si="48"/>
        <v>99.083977000000004</v>
      </c>
      <c r="DN12" s="27">
        <f t="shared" si="48"/>
        <v>98.754612000000009</v>
      </c>
      <c r="EO12" s="22"/>
      <c r="EP12" s="22"/>
      <c r="EQ12" s="22"/>
      <c r="ER12" s="22"/>
      <c r="ES12" s="22"/>
    </row>
    <row r="13" spans="1:149">
      <c r="A13" s="23" t="s">
        <v>43</v>
      </c>
      <c r="B13" s="30">
        <v>1.7070000000000001</v>
      </c>
      <c r="C13" s="30">
        <v>2.1629999999999998</v>
      </c>
      <c r="D13" s="30">
        <v>1.522</v>
      </c>
      <c r="E13" s="30">
        <v>1.4470000000000001</v>
      </c>
      <c r="F13" s="30">
        <v>1.88</v>
      </c>
      <c r="G13" s="30">
        <v>1.964</v>
      </c>
      <c r="H13" s="30">
        <v>2.0059999999999998</v>
      </c>
      <c r="I13" s="30">
        <v>4.1959999999999997</v>
      </c>
      <c r="J13" s="30">
        <v>4.7169999999999996</v>
      </c>
      <c r="K13" s="30">
        <v>5.125</v>
      </c>
      <c r="L13" s="30">
        <f>ROUND(6374/1000,3)</f>
        <v>6.3739999999999997</v>
      </c>
      <c r="M13" s="30">
        <f>ROUND(6.429,3)</f>
        <v>6.4290000000000003</v>
      </c>
      <c r="N13" s="30">
        <f>ROUND(6.58,3)</f>
        <v>6.58</v>
      </c>
      <c r="O13" s="30">
        <v>7.1719999999999997</v>
      </c>
      <c r="P13" s="30">
        <v>8.19</v>
      </c>
      <c r="Q13" s="30">
        <v>1.393</v>
      </c>
      <c r="R13" s="30">
        <v>1.3879999999999999</v>
      </c>
      <c r="S13" s="30">
        <v>1.4630000000000001</v>
      </c>
      <c r="T13" s="30">
        <v>1.452</v>
      </c>
      <c r="U13" s="30">
        <v>1.452</v>
      </c>
      <c r="V13" s="30">
        <v>1.452</v>
      </c>
      <c r="W13" s="30">
        <v>1.4850000000000001</v>
      </c>
      <c r="X13" s="30">
        <v>1.4527840000000001</v>
      </c>
      <c r="Y13" s="30">
        <v>1.452</v>
      </c>
      <c r="Z13" s="30">
        <v>18.773</v>
      </c>
      <c r="AA13" s="30">
        <v>27.835000000000001</v>
      </c>
      <c r="AB13" s="30">
        <v>26.466999999999999</v>
      </c>
      <c r="AC13" s="30">
        <v>27.108000000000001</v>
      </c>
      <c r="AD13" s="30">
        <v>26.983000000000001</v>
      </c>
      <c r="AE13" s="30">
        <v>26.163</v>
      </c>
      <c r="AF13" s="30">
        <v>26.100999999999999</v>
      </c>
      <c r="AG13" s="30">
        <v>24.643999999999998</v>
      </c>
      <c r="AH13" s="30">
        <v>26.466455</v>
      </c>
      <c r="AI13" s="30">
        <v>26.401268000000002</v>
      </c>
      <c r="AJ13" s="31" t="s">
        <v>37</v>
      </c>
      <c r="AK13" s="30" t="s">
        <v>37</v>
      </c>
      <c r="AL13" s="30" t="s">
        <v>37</v>
      </c>
      <c r="AM13" s="30" t="s">
        <v>37</v>
      </c>
      <c r="AN13" s="30" t="s">
        <v>37</v>
      </c>
      <c r="AO13" s="30" t="s">
        <v>37</v>
      </c>
      <c r="AP13" s="30" t="s">
        <v>37</v>
      </c>
      <c r="AQ13" s="30" t="s">
        <v>37</v>
      </c>
      <c r="AR13" s="30" t="s">
        <v>37</v>
      </c>
      <c r="AS13" s="30" t="s">
        <v>37</v>
      </c>
      <c r="AT13" s="30" t="s">
        <v>37</v>
      </c>
      <c r="AU13" s="30" t="s">
        <v>37</v>
      </c>
      <c r="AV13" s="30" t="s">
        <v>37</v>
      </c>
      <c r="AW13" s="30" t="s">
        <v>37</v>
      </c>
      <c r="AX13" s="30" t="s">
        <v>37</v>
      </c>
      <c r="AY13" s="30" t="s">
        <v>37</v>
      </c>
      <c r="AZ13" s="30" t="s">
        <v>37</v>
      </c>
      <c r="BA13" s="30" t="s">
        <v>37</v>
      </c>
      <c r="BB13" s="30" t="s">
        <v>37</v>
      </c>
      <c r="BC13" s="30" t="s">
        <v>37</v>
      </c>
      <c r="BD13" s="30" t="s">
        <v>37</v>
      </c>
      <c r="BE13" s="30" t="s">
        <v>37</v>
      </c>
      <c r="BF13" s="30" t="s">
        <v>37</v>
      </c>
      <c r="BG13" s="30" t="s">
        <v>37</v>
      </c>
      <c r="BH13" s="30" t="s">
        <v>37</v>
      </c>
      <c r="BI13" s="30" t="s">
        <v>37</v>
      </c>
      <c r="BJ13" s="30" t="s">
        <v>45</v>
      </c>
      <c r="BK13" s="30" t="s">
        <v>45</v>
      </c>
      <c r="BL13" s="30" t="s">
        <v>45</v>
      </c>
      <c r="BM13" s="30" t="s">
        <v>45</v>
      </c>
      <c r="BN13" s="30" t="s">
        <v>45</v>
      </c>
      <c r="BO13" s="30" t="s">
        <v>45</v>
      </c>
      <c r="BP13" s="30" t="s">
        <v>45</v>
      </c>
      <c r="BQ13" s="30" t="s">
        <v>45</v>
      </c>
      <c r="BR13" s="31" t="s">
        <v>37</v>
      </c>
      <c r="BS13" s="30" t="s">
        <v>37</v>
      </c>
      <c r="BT13" s="30" t="s">
        <v>37</v>
      </c>
      <c r="BU13" s="30" t="s">
        <v>37</v>
      </c>
      <c r="BV13" s="30" t="s">
        <v>37</v>
      </c>
      <c r="BW13" s="30" t="s">
        <v>37</v>
      </c>
      <c r="BX13" s="30" t="s">
        <v>37</v>
      </c>
      <c r="BY13" s="30" t="s">
        <v>45</v>
      </c>
      <c r="BZ13" s="30" t="s">
        <v>45</v>
      </c>
      <c r="CA13" s="30" t="s">
        <v>45</v>
      </c>
      <c r="CB13" s="30" t="s">
        <v>45</v>
      </c>
      <c r="CC13" s="30" t="s">
        <v>45</v>
      </c>
      <c r="CD13" s="30" t="s">
        <v>45</v>
      </c>
      <c r="CE13" s="30" t="s">
        <v>45</v>
      </c>
      <c r="CF13" s="30" t="s">
        <v>45</v>
      </c>
      <c r="CG13" s="26">
        <f t="shared" si="16"/>
        <v>1.7070000000000001</v>
      </c>
      <c r="CH13" s="27">
        <f t="shared" si="17"/>
        <v>2.1629999999999998</v>
      </c>
      <c r="CI13" s="27">
        <f t="shared" si="18"/>
        <v>1.522</v>
      </c>
      <c r="CJ13" s="27">
        <f t="shared" si="19"/>
        <v>1.4470000000000001</v>
      </c>
      <c r="CK13" s="27">
        <f t="shared" si="20"/>
        <v>1.88</v>
      </c>
      <c r="CL13" s="27">
        <f t="shared" si="21"/>
        <v>1.964</v>
      </c>
      <c r="CM13" s="27">
        <f t="shared" si="22"/>
        <v>2.0059999999999998</v>
      </c>
      <c r="CN13" s="27">
        <f t="shared" si="23"/>
        <v>4.1959999999999997</v>
      </c>
      <c r="CO13" s="27">
        <f t="shared" si="24"/>
        <v>4.7169999999999996</v>
      </c>
      <c r="CP13" s="27">
        <f t="shared" si="25"/>
        <v>5.125</v>
      </c>
      <c r="CQ13" s="27">
        <f t="shared" si="26"/>
        <v>6.3739999999999997</v>
      </c>
      <c r="CR13" s="27">
        <f t="shared" si="27"/>
        <v>6.4290000000000003</v>
      </c>
      <c r="CS13" s="27">
        <f t="shared" si="28"/>
        <v>6.58</v>
      </c>
      <c r="CT13" s="27">
        <f t="shared" si="29"/>
        <v>7.1719999999999997</v>
      </c>
      <c r="CU13" s="27">
        <f t="shared" si="30"/>
        <v>8.19</v>
      </c>
      <c r="CV13" s="27">
        <f t="shared" si="31"/>
        <v>1.393</v>
      </c>
      <c r="CW13" s="27">
        <f t="shared" si="32"/>
        <v>1.3879999999999999</v>
      </c>
      <c r="CX13" s="27">
        <f t="shared" si="33"/>
        <v>1.4630000000000001</v>
      </c>
      <c r="CY13" s="27">
        <f t="shared" si="34"/>
        <v>1.452</v>
      </c>
      <c r="CZ13" s="27">
        <f t="shared" si="35"/>
        <v>1.452</v>
      </c>
      <c r="DA13" s="27">
        <f t="shared" si="36"/>
        <v>1.452</v>
      </c>
      <c r="DB13" s="27">
        <f t="shared" si="37"/>
        <v>1.4850000000000001</v>
      </c>
      <c r="DC13" s="27">
        <f t="shared" si="38"/>
        <v>1.4527840000000001</v>
      </c>
      <c r="DD13" s="27">
        <f t="shared" si="39"/>
        <v>1.452</v>
      </c>
      <c r="DE13" s="27">
        <f t="shared" si="40"/>
        <v>18.773</v>
      </c>
      <c r="DF13" s="27">
        <f t="shared" si="41"/>
        <v>27.835000000000001</v>
      </c>
      <c r="DG13" s="27">
        <f t="shared" si="42"/>
        <v>26.466999999999999</v>
      </c>
      <c r="DH13" s="27">
        <f t="shared" si="43"/>
        <v>27.108000000000001</v>
      </c>
      <c r="DI13" s="27">
        <f t="shared" si="44"/>
        <v>26.983000000000001</v>
      </c>
      <c r="DJ13" s="27">
        <f t="shared" si="45"/>
        <v>26.163</v>
      </c>
      <c r="DK13" s="27">
        <f t="shared" si="46"/>
        <v>26.100999999999999</v>
      </c>
      <c r="DL13" s="27">
        <f t="shared" si="47"/>
        <v>24.643999999999998</v>
      </c>
      <c r="DM13" s="27">
        <f t="shared" si="48"/>
        <v>26.466455</v>
      </c>
      <c r="DN13" s="27">
        <f t="shared" si="48"/>
        <v>26.401268000000002</v>
      </c>
      <c r="EO13" s="22"/>
      <c r="EP13" s="22"/>
      <c r="EQ13" s="22"/>
      <c r="ER13" s="22"/>
      <c r="ES13" s="22"/>
    </row>
    <row r="14" spans="1:149">
      <c r="A14" s="23" t="s">
        <v>44</v>
      </c>
      <c r="B14" s="30">
        <v>5.5250000000000004</v>
      </c>
      <c r="C14" s="30">
        <v>7.3609999999999998</v>
      </c>
      <c r="D14" s="30">
        <v>7.3609999999999998</v>
      </c>
      <c r="E14" s="30">
        <v>7.2140000000000004</v>
      </c>
      <c r="F14" s="30">
        <v>9.0510000000000002</v>
      </c>
      <c r="G14" s="30">
        <v>12.728999999999999</v>
      </c>
      <c r="H14" s="30">
        <v>15.185</v>
      </c>
      <c r="I14" s="30">
        <v>15.076000000000001</v>
      </c>
      <c r="J14" s="30">
        <v>16.411000000000001</v>
      </c>
      <c r="K14" s="30">
        <v>20.827999999999999</v>
      </c>
      <c r="L14" s="30">
        <f>ROUND(23713/1000,3)</f>
        <v>23.713000000000001</v>
      </c>
      <c r="M14" s="30">
        <f>ROUND(24.571,3)</f>
        <v>24.571000000000002</v>
      </c>
      <c r="N14" s="30">
        <f>ROUND(30.35,3)</f>
        <v>30.35</v>
      </c>
      <c r="O14" s="30">
        <v>36.264000000000003</v>
      </c>
      <c r="P14" s="30">
        <v>37.192</v>
      </c>
      <c r="Q14" s="30">
        <v>38.515000000000001</v>
      </c>
      <c r="R14" s="30">
        <v>39.591999999999999</v>
      </c>
      <c r="S14" s="30">
        <v>43.664999999999999</v>
      </c>
      <c r="T14" s="30">
        <v>45.534999999999997</v>
      </c>
      <c r="U14" s="30">
        <v>39.512</v>
      </c>
      <c r="V14" s="30">
        <v>46.503</v>
      </c>
      <c r="W14" s="30">
        <v>52.735999999999997</v>
      </c>
      <c r="X14" s="30">
        <v>72.115181000000007</v>
      </c>
      <c r="Y14" s="30">
        <v>90.73</v>
      </c>
      <c r="Z14" s="30">
        <v>94.578000000000003</v>
      </c>
      <c r="AA14" s="30">
        <v>92.772999999999996</v>
      </c>
      <c r="AB14" s="30">
        <v>91.6</v>
      </c>
      <c r="AC14" s="30">
        <v>86.391999999999996</v>
      </c>
      <c r="AD14" s="30">
        <v>85.727000000000004</v>
      </c>
      <c r="AE14" s="30">
        <v>87.587999999999994</v>
      </c>
      <c r="AF14" s="30">
        <v>106.721</v>
      </c>
      <c r="AG14" s="30">
        <v>98.116</v>
      </c>
      <c r="AH14" s="30">
        <v>92.718586999999999</v>
      </c>
      <c r="AI14" s="30">
        <v>92.374107000000009</v>
      </c>
      <c r="AJ14" s="31">
        <v>0.25600000000000001</v>
      </c>
      <c r="AK14" s="30">
        <v>0.39900000000000002</v>
      </c>
      <c r="AL14" s="30">
        <v>0.39900000000000002</v>
      </c>
      <c r="AM14" s="30">
        <v>0.94099999999999995</v>
      </c>
      <c r="AN14" s="30">
        <v>0.24299999999999999</v>
      </c>
      <c r="AO14" s="30">
        <v>0.26900000000000002</v>
      </c>
      <c r="AP14" s="30">
        <v>0.28299999999999997</v>
      </c>
      <c r="AQ14" s="30">
        <v>0.59299999999999997</v>
      </c>
      <c r="AR14" s="30">
        <v>0.24099999999999999</v>
      </c>
      <c r="AS14" s="30">
        <v>0.27400000000000002</v>
      </c>
      <c r="AT14" s="30">
        <f>ROUND(299/1000,3)</f>
        <v>0.29899999999999999</v>
      </c>
      <c r="AU14" s="30">
        <f>ROUND(262/1000,3)</f>
        <v>0.26200000000000001</v>
      </c>
      <c r="AV14" s="30">
        <v>0.23499999999999999</v>
      </c>
      <c r="AW14" s="30">
        <v>0.37</v>
      </c>
      <c r="AX14" s="30">
        <v>0.438</v>
      </c>
      <c r="AY14" s="30">
        <v>0.32</v>
      </c>
      <c r="AZ14" s="30">
        <v>0.51900000000000002</v>
      </c>
      <c r="BA14" s="30">
        <v>0.63400000000000001</v>
      </c>
      <c r="BB14" s="30">
        <v>0.746</v>
      </c>
      <c r="BC14" s="30">
        <v>0.19700000000000001</v>
      </c>
      <c r="BD14" s="30">
        <v>0.24099999999999999</v>
      </c>
      <c r="BE14" s="30">
        <v>0.19</v>
      </c>
      <c r="BF14" s="30">
        <v>1.392639</v>
      </c>
      <c r="BG14" s="30">
        <v>1.327</v>
      </c>
      <c r="BH14" s="30">
        <v>1.0980000000000001</v>
      </c>
      <c r="BI14" s="30">
        <v>1.2709999999999999</v>
      </c>
      <c r="BJ14" s="30">
        <v>2.7080000000000002</v>
      </c>
      <c r="BK14" s="30">
        <v>2.2650000000000001</v>
      </c>
      <c r="BL14" s="30">
        <v>2.3580000000000001</v>
      </c>
      <c r="BM14" s="30">
        <v>0.92600000000000005</v>
      </c>
      <c r="BN14" s="30">
        <v>1.333</v>
      </c>
      <c r="BO14" s="30">
        <v>3.8130000000000002</v>
      </c>
      <c r="BP14" s="30">
        <v>3.9890219999999998</v>
      </c>
      <c r="BQ14" s="30">
        <v>4.2899640000000003</v>
      </c>
      <c r="BR14" s="31">
        <v>7.1890000000000001</v>
      </c>
      <c r="BS14" s="30">
        <v>9.1869999999999994</v>
      </c>
      <c r="BT14" s="30">
        <v>10.263999999999999</v>
      </c>
      <c r="BU14" s="30">
        <v>4.6172750000000002</v>
      </c>
      <c r="BV14" s="30">
        <v>1.478</v>
      </c>
      <c r="BW14" s="30">
        <v>1.5</v>
      </c>
      <c r="BX14" s="30">
        <v>1.1879999999999999</v>
      </c>
      <c r="BY14" s="30" t="s">
        <v>45</v>
      </c>
      <c r="BZ14" s="30" t="s">
        <v>45</v>
      </c>
      <c r="CA14" s="30" t="s">
        <v>45</v>
      </c>
      <c r="CB14" s="30" t="s">
        <v>45</v>
      </c>
      <c r="CC14" s="30" t="s">
        <v>45</v>
      </c>
      <c r="CD14" s="30" t="s">
        <v>45</v>
      </c>
      <c r="CE14" s="30" t="s">
        <v>45</v>
      </c>
      <c r="CF14" s="30" t="s">
        <v>45</v>
      </c>
      <c r="CG14" s="26">
        <f t="shared" si="16"/>
        <v>5.7810000000000006</v>
      </c>
      <c r="CH14" s="27">
        <f t="shared" si="17"/>
        <v>7.76</v>
      </c>
      <c r="CI14" s="27">
        <f t="shared" si="18"/>
        <v>7.76</v>
      </c>
      <c r="CJ14" s="27">
        <f t="shared" si="19"/>
        <v>8.1550000000000011</v>
      </c>
      <c r="CK14" s="27">
        <f t="shared" si="20"/>
        <v>9.2940000000000005</v>
      </c>
      <c r="CL14" s="27">
        <f t="shared" si="21"/>
        <v>12.997999999999999</v>
      </c>
      <c r="CM14" s="27">
        <f t="shared" si="22"/>
        <v>15.468</v>
      </c>
      <c r="CN14" s="27">
        <f t="shared" si="23"/>
        <v>15.669</v>
      </c>
      <c r="CO14" s="27">
        <f t="shared" si="24"/>
        <v>16.652000000000001</v>
      </c>
      <c r="CP14" s="27">
        <f t="shared" si="25"/>
        <v>21.102</v>
      </c>
      <c r="CQ14" s="27">
        <f t="shared" si="26"/>
        <v>24.012</v>
      </c>
      <c r="CR14" s="27">
        <f t="shared" si="27"/>
        <v>24.833000000000002</v>
      </c>
      <c r="CS14" s="27">
        <f t="shared" si="28"/>
        <v>30.585000000000001</v>
      </c>
      <c r="CT14" s="27">
        <f t="shared" si="29"/>
        <v>36.634</v>
      </c>
      <c r="CU14" s="27">
        <f t="shared" si="30"/>
        <v>37.630000000000003</v>
      </c>
      <c r="CV14" s="27">
        <f t="shared" si="31"/>
        <v>38.835000000000001</v>
      </c>
      <c r="CW14" s="27">
        <f t="shared" si="32"/>
        <v>40.110999999999997</v>
      </c>
      <c r="CX14" s="27">
        <f t="shared" si="33"/>
        <v>44.298999999999999</v>
      </c>
      <c r="CY14" s="27">
        <f t="shared" si="34"/>
        <v>46.280999999999999</v>
      </c>
      <c r="CZ14" s="27">
        <f t="shared" si="35"/>
        <v>46.898000000000003</v>
      </c>
      <c r="DA14" s="27">
        <f t="shared" si="36"/>
        <v>55.930999999999997</v>
      </c>
      <c r="DB14" s="27">
        <f t="shared" si="37"/>
        <v>63.19</v>
      </c>
      <c r="DC14" s="27">
        <f t="shared" si="38"/>
        <v>78.125095000000016</v>
      </c>
      <c r="DD14" s="27">
        <f t="shared" si="39"/>
        <v>93.534999999999997</v>
      </c>
      <c r="DE14" s="27">
        <f t="shared" si="40"/>
        <v>97.176000000000002</v>
      </c>
      <c r="DF14" s="27">
        <f t="shared" si="41"/>
        <v>95.231999999999999</v>
      </c>
      <c r="DG14" s="27">
        <f t="shared" si="42"/>
        <v>94.307999999999993</v>
      </c>
      <c r="DH14" s="27">
        <f t="shared" si="43"/>
        <v>88.656999999999996</v>
      </c>
      <c r="DI14" s="27">
        <f t="shared" si="44"/>
        <v>88.085000000000008</v>
      </c>
      <c r="DJ14" s="27">
        <f t="shared" si="45"/>
        <v>88.513999999999996</v>
      </c>
      <c r="DK14" s="27">
        <f t="shared" si="46"/>
        <v>108.054</v>
      </c>
      <c r="DL14" s="27">
        <f t="shared" si="47"/>
        <v>101.929</v>
      </c>
      <c r="DM14" s="27">
        <f t="shared" si="48"/>
        <v>96.707609000000005</v>
      </c>
      <c r="DN14" s="27">
        <f t="shared" si="48"/>
        <v>96.664071000000007</v>
      </c>
      <c r="EO14" s="22"/>
      <c r="EP14" s="22"/>
      <c r="EQ14" s="22"/>
      <c r="ER14" s="22"/>
      <c r="ES14" s="22"/>
    </row>
    <row r="15" spans="1:149">
      <c r="A15" s="23" t="s">
        <v>46</v>
      </c>
      <c r="B15" s="30">
        <v>1.0149999999999999</v>
      </c>
      <c r="C15" s="30">
        <v>1.286</v>
      </c>
      <c r="D15" s="30">
        <v>1.286</v>
      </c>
      <c r="E15" s="30">
        <v>1.23</v>
      </c>
      <c r="F15" s="30">
        <v>1.4059999999999999</v>
      </c>
      <c r="G15" s="30">
        <v>1.2509999999999999</v>
      </c>
      <c r="H15" s="30">
        <v>1.2430000000000001</v>
      </c>
      <c r="I15" s="30">
        <v>1.1359999999999999</v>
      </c>
      <c r="J15" s="30">
        <v>1.175</v>
      </c>
      <c r="K15" s="30">
        <v>1.244</v>
      </c>
      <c r="L15" s="30">
        <f>ROUND(1255/1000,3)</f>
        <v>1.2549999999999999</v>
      </c>
      <c r="M15" s="30">
        <f>ROUND(1.248,3)</f>
        <v>1.248</v>
      </c>
      <c r="N15" s="30">
        <f>ROUND(1.175,3)</f>
        <v>1.175</v>
      </c>
      <c r="O15" s="30">
        <v>0.54</v>
      </c>
      <c r="P15" s="30">
        <v>1.07</v>
      </c>
      <c r="Q15" s="30">
        <v>0.85899999999999999</v>
      </c>
      <c r="R15" s="30">
        <v>1.5629999999999999</v>
      </c>
      <c r="S15" s="30">
        <v>1.5629999999999999</v>
      </c>
      <c r="T15" s="30">
        <v>1.4890000000000001</v>
      </c>
      <c r="U15" s="30">
        <v>1.34</v>
      </c>
      <c r="V15" s="30">
        <v>17.225999999999999</v>
      </c>
      <c r="W15" s="30">
        <v>2.081</v>
      </c>
      <c r="X15" s="30">
        <v>2.2148780000000001</v>
      </c>
      <c r="Y15" s="30">
        <v>2.4140000000000001</v>
      </c>
      <c r="Z15" s="30">
        <v>3.1920000000000002</v>
      </c>
      <c r="AA15" s="30">
        <v>3.0650000000000004</v>
      </c>
      <c r="AB15" s="30">
        <v>2.9430000000000001</v>
      </c>
      <c r="AC15" s="30">
        <v>3.2290000000000001</v>
      </c>
      <c r="AD15" s="30">
        <v>3.899</v>
      </c>
      <c r="AE15" s="30">
        <v>5.6179999999999994</v>
      </c>
      <c r="AF15" s="30">
        <v>8.3239999999999998</v>
      </c>
      <c r="AG15" s="30">
        <v>10.933999999999999</v>
      </c>
      <c r="AH15" s="30">
        <v>15.117951</v>
      </c>
      <c r="AI15" s="30">
        <v>16.762792999999999</v>
      </c>
      <c r="AJ15" s="31" t="s">
        <v>37</v>
      </c>
      <c r="AK15" s="30" t="s">
        <v>37</v>
      </c>
      <c r="AL15" s="30" t="s">
        <v>37</v>
      </c>
      <c r="AM15" s="30" t="s">
        <v>37</v>
      </c>
      <c r="AN15" s="30" t="s">
        <v>37</v>
      </c>
      <c r="AO15" s="30" t="s">
        <v>37</v>
      </c>
      <c r="AP15" s="30" t="s">
        <v>37</v>
      </c>
      <c r="AQ15" s="30" t="s">
        <v>37</v>
      </c>
      <c r="AR15" s="30" t="s">
        <v>37</v>
      </c>
      <c r="AS15" s="30" t="s">
        <v>37</v>
      </c>
      <c r="AT15" s="30" t="s">
        <v>37</v>
      </c>
      <c r="AU15" s="30" t="s">
        <v>37</v>
      </c>
      <c r="AV15" s="30" t="s">
        <v>37</v>
      </c>
      <c r="AW15" s="30" t="s">
        <v>37</v>
      </c>
      <c r="AX15" s="30" t="s">
        <v>37</v>
      </c>
      <c r="AY15" s="30" t="s">
        <v>37</v>
      </c>
      <c r="AZ15" s="30" t="s">
        <v>37</v>
      </c>
      <c r="BA15" s="30" t="s">
        <v>37</v>
      </c>
      <c r="BB15" s="30" t="s">
        <v>37</v>
      </c>
      <c r="BC15" s="30" t="s">
        <v>37</v>
      </c>
      <c r="BD15" s="30" t="s">
        <v>37</v>
      </c>
      <c r="BE15" s="30" t="s">
        <v>37</v>
      </c>
      <c r="BF15" s="30" t="s">
        <v>37</v>
      </c>
      <c r="BG15" s="30" t="s">
        <v>37</v>
      </c>
      <c r="BH15" s="30" t="s">
        <v>37</v>
      </c>
      <c r="BI15" s="30" t="s">
        <v>37</v>
      </c>
      <c r="BJ15" s="30" t="s">
        <v>45</v>
      </c>
      <c r="BK15" s="30" t="s">
        <v>45</v>
      </c>
      <c r="BL15" s="30" t="s">
        <v>45</v>
      </c>
      <c r="BM15" s="30" t="s">
        <v>45</v>
      </c>
      <c r="BN15" s="30" t="s">
        <v>45</v>
      </c>
      <c r="BO15" s="30" t="s">
        <v>45</v>
      </c>
      <c r="BP15" s="30" t="s">
        <v>45</v>
      </c>
      <c r="BQ15" s="30" t="s">
        <v>45</v>
      </c>
      <c r="BR15" s="31" t="s">
        <v>37</v>
      </c>
      <c r="BS15" s="30" t="s">
        <v>37</v>
      </c>
      <c r="BT15" s="30" t="s">
        <v>37</v>
      </c>
      <c r="BU15" s="30" t="s">
        <v>37</v>
      </c>
      <c r="BV15" s="30" t="s">
        <v>37</v>
      </c>
      <c r="BW15" s="30" t="s">
        <v>37</v>
      </c>
      <c r="BX15" s="30" t="s">
        <v>37</v>
      </c>
      <c r="BY15" s="30" t="s">
        <v>45</v>
      </c>
      <c r="BZ15" s="30" t="s">
        <v>45</v>
      </c>
      <c r="CA15" s="30" t="s">
        <v>45</v>
      </c>
      <c r="CB15" s="30" t="s">
        <v>45</v>
      </c>
      <c r="CC15" s="30" t="s">
        <v>45</v>
      </c>
      <c r="CD15" s="30" t="s">
        <v>45</v>
      </c>
      <c r="CE15" s="30" t="s">
        <v>45</v>
      </c>
      <c r="CF15" s="30" t="s">
        <v>45</v>
      </c>
      <c r="CG15" s="26">
        <f t="shared" si="16"/>
        <v>1.0149999999999999</v>
      </c>
      <c r="CH15" s="27">
        <f t="shared" si="17"/>
        <v>1.286</v>
      </c>
      <c r="CI15" s="27">
        <f t="shared" si="18"/>
        <v>1.286</v>
      </c>
      <c r="CJ15" s="27">
        <f t="shared" si="19"/>
        <v>1.23</v>
      </c>
      <c r="CK15" s="27">
        <f t="shared" si="20"/>
        <v>1.4059999999999999</v>
      </c>
      <c r="CL15" s="27">
        <f t="shared" si="21"/>
        <v>1.2509999999999999</v>
      </c>
      <c r="CM15" s="27">
        <f t="shared" si="22"/>
        <v>1.2430000000000001</v>
      </c>
      <c r="CN15" s="27">
        <f t="shared" si="23"/>
        <v>1.1359999999999999</v>
      </c>
      <c r="CO15" s="27">
        <f t="shared" si="24"/>
        <v>1.175</v>
      </c>
      <c r="CP15" s="27">
        <f t="shared" si="25"/>
        <v>1.244</v>
      </c>
      <c r="CQ15" s="27">
        <f t="shared" si="26"/>
        <v>1.2549999999999999</v>
      </c>
      <c r="CR15" s="27">
        <f t="shared" si="27"/>
        <v>1.248</v>
      </c>
      <c r="CS15" s="27">
        <f t="shared" si="28"/>
        <v>1.175</v>
      </c>
      <c r="CT15" s="27">
        <f t="shared" si="29"/>
        <v>0.54</v>
      </c>
      <c r="CU15" s="27">
        <f t="shared" si="30"/>
        <v>1.07</v>
      </c>
      <c r="CV15" s="27">
        <f t="shared" si="31"/>
        <v>0.85899999999999999</v>
      </c>
      <c r="CW15" s="27">
        <f t="shared" si="32"/>
        <v>1.5629999999999999</v>
      </c>
      <c r="CX15" s="27">
        <f t="shared" si="33"/>
        <v>1.5629999999999999</v>
      </c>
      <c r="CY15" s="27">
        <f t="shared" si="34"/>
        <v>1.4890000000000001</v>
      </c>
      <c r="CZ15" s="27">
        <f t="shared" si="35"/>
        <v>1.34</v>
      </c>
      <c r="DA15" s="27">
        <f t="shared" si="36"/>
        <v>17.225999999999999</v>
      </c>
      <c r="DB15" s="27">
        <f t="shared" si="37"/>
        <v>2.081</v>
      </c>
      <c r="DC15" s="27">
        <f t="shared" si="38"/>
        <v>2.2148780000000001</v>
      </c>
      <c r="DD15" s="27">
        <f t="shared" si="39"/>
        <v>2.4140000000000001</v>
      </c>
      <c r="DE15" s="27">
        <f t="shared" si="40"/>
        <v>3.1920000000000002</v>
      </c>
      <c r="DF15" s="27">
        <f t="shared" si="41"/>
        <v>3.0650000000000004</v>
      </c>
      <c r="DG15" s="27">
        <f t="shared" si="42"/>
        <v>2.9430000000000001</v>
      </c>
      <c r="DH15" s="27">
        <f t="shared" si="43"/>
        <v>3.2290000000000001</v>
      </c>
      <c r="DI15" s="27">
        <f t="shared" si="44"/>
        <v>3.899</v>
      </c>
      <c r="DJ15" s="27">
        <f t="shared" si="45"/>
        <v>5.6179999999999994</v>
      </c>
      <c r="DK15" s="27">
        <f t="shared" si="46"/>
        <v>8.3239999999999998</v>
      </c>
      <c r="DL15" s="27">
        <f t="shared" si="47"/>
        <v>10.933999999999999</v>
      </c>
      <c r="DM15" s="27">
        <f t="shared" si="48"/>
        <v>15.117951</v>
      </c>
      <c r="DN15" s="27">
        <f t="shared" si="48"/>
        <v>16.762792999999999</v>
      </c>
      <c r="EO15" s="22"/>
      <c r="EP15" s="22"/>
      <c r="EQ15" s="22"/>
      <c r="ER15" s="22"/>
      <c r="ES15" s="22"/>
    </row>
    <row r="16" spans="1:149">
      <c r="A16" s="23" t="s">
        <v>47</v>
      </c>
      <c r="B16" s="30">
        <v>4.1719999999999997</v>
      </c>
      <c r="C16" s="30">
        <v>4.6680000000000001</v>
      </c>
      <c r="D16" s="30">
        <v>4.5049999999999999</v>
      </c>
      <c r="E16" s="30">
        <v>4.3970000000000002</v>
      </c>
      <c r="F16" s="30">
        <v>4.5590000000000002</v>
      </c>
      <c r="G16" s="30">
        <v>4.4889999999999999</v>
      </c>
      <c r="H16" s="30">
        <v>4.4889999999999999</v>
      </c>
      <c r="I16" s="30">
        <v>2.569</v>
      </c>
      <c r="J16" s="30">
        <v>2.758</v>
      </c>
      <c r="K16" s="30">
        <v>3.1629999999999998</v>
      </c>
      <c r="L16" s="30">
        <f>ROUND(14436/1000,3)</f>
        <v>14.436</v>
      </c>
      <c r="M16" s="30">
        <f>ROUND(13.774,3)</f>
        <v>13.773999999999999</v>
      </c>
      <c r="N16" s="30">
        <f>ROUND(16.659,3)</f>
        <v>16.658999999999999</v>
      </c>
      <c r="O16" s="30">
        <v>17.434999999999999</v>
      </c>
      <c r="P16" s="30">
        <v>37.094000000000001</v>
      </c>
      <c r="Q16" s="30">
        <v>41.579000000000001</v>
      </c>
      <c r="R16" s="30">
        <v>50.572000000000003</v>
      </c>
      <c r="S16" s="30">
        <v>58.768999999999998</v>
      </c>
      <c r="T16" s="30">
        <v>71.897000000000006</v>
      </c>
      <c r="U16" s="30">
        <v>76.343999999999994</v>
      </c>
      <c r="V16" s="30">
        <v>107.211</v>
      </c>
      <c r="W16" s="30">
        <v>105.586</v>
      </c>
      <c r="X16" s="30">
        <v>138.18759900000001</v>
      </c>
      <c r="Y16" s="30">
        <v>163.65</v>
      </c>
      <c r="Z16" s="30">
        <v>225.39099999999999</v>
      </c>
      <c r="AA16" s="30">
        <v>311.08500000000004</v>
      </c>
      <c r="AB16" s="30">
        <v>319.87099999999998</v>
      </c>
      <c r="AC16" s="30">
        <v>311.90500000000003</v>
      </c>
      <c r="AD16" s="30">
        <v>267.63499999999999</v>
      </c>
      <c r="AE16" s="30">
        <v>332.459</v>
      </c>
      <c r="AF16" s="30">
        <v>326.149</v>
      </c>
      <c r="AG16" s="30">
        <v>298.91199999999998</v>
      </c>
      <c r="AH16" s="30">
        <v>312.60952099999997</v>
      </c>
      <c r="AI16" s="30">
        <v>305.66371300000003</v>
      </c>
      <c r="AJ16" s="31">
        <v>1.0580000000000001</v>
      </c>
      <c r="AK16" s="30">
        <v>0.91900000000000004</v>
      </c>
      <c r="AL16" s="30">
        <v>1.1639999999999999</v>
      </c>
      <c r="AM16" s="30">
        <v>1.218</v>
      </c>
      <c r="AN16" s="30">
        <v>1.365</v>
      </c>
      <c r="AO16" s="30">
        <v>1.5</v>
      </c>
      <c r="AP16" s="30">
        <v>1.5</v>
      </c>
      <c r="AQ16" s="30">
        <v>1.145</v>
      </c>
      <c r="AR16" s="30">
        <v>1.161</v>
      </c>
      <c r="AS16" s="30">
        <v>1.161</v>
      </c>
      <c r="AT16" s="30">
        <f>ROUND(1150/1000,3)</f>
        <v>1.1499999999999999</v>
      </c>
      <c r="AU16" s="30">
        <f>ROUND(2900/1000,3)</f>
        <v>2.9</v>
      </c>
      <c r="AV16" s="30">
        <v>1.2509999999999999</v>
      </c>
      <c r="AW16" s="30">
        <v>1.43</v>
      </c>
      <c r="AX16" s="30">
        <v>1.879</v>
      </c>
      <c r="AY16" s="30">
        <v>1.8859999999999999</v>
      </c>
      <c r="AZ16" s="30">
        <v>1.9590000000000001</v>
      </c>
      <c r="BA16" s="30">
        <v>2.1190000000000002</v>
      </c>
      <c r="BB16" s="30">
        <v>2.2730000000000001</v>
      </c>
      <c r="BC16" s="30">
        <v>1.9890000000000001</v>
      </c>
      <c r="BD16" s="30">
        <v>3.2480000000000002</v>
      </c>
      <c r="BE16" s="30">
        <v>2.58</v>
      </c>
      <c r="BF16" s="30">
        <v>0.36152699999999999</v>
      </c>
      <c r="BG16" s="30">
        <v>2.3679999999999999</v>
      </c>
      <c r="BH16" s="30">
        <v>1.542</v>
      </c>
      <c r="BI16" s="30">
        <v>1.0620000000000001</v>
      </c>
      <c r="BJ16" s="30">
        <v>0.439</v>
      </c>
      <c r="BK16" s="30">
        <v>0.39</v>
      </c>
      <c r="BL16" s="30">
        <v>0.47499999999999998</v>
      </c>
      <c r="BM16" s="30">
        <v>0.39400000000000002</v>
      </c>
      <c r="BN16" s="30">
        <v>0.39200000000000002</v>
      </c>
      <c r="BO16" s="30">
        <v>0.39500000000000002</v>
      </c>
      <c r="BP16" s="30">
        <v>0.38979999999999998</v>
      </c>
      <c r="BQ16" s="30">
        <v>0.38800000000000001</v>
      </c>
      <c r="BR16" s="31">
        <v>6.0460000000000003</v>
      </c>
      <c r="BS16" s="24">
        <f>((BT16-BR16)/2)+BR16</f>
        <v>14.1845</v>
      </c>
      <c r="BT16" s="30">
        <v>22.323</v>
      </c>
      <c r="BU16" s="30">
        <v>4.4439849999999996</v>
      </c>
      <c r="BV16" s="30">
        <v>4.109</v>
      </c>
      <c r="BW16" s="30">
        <v>2.9910000000000001</v>
      </c>
      <c r="BX16" s="30">
        <v>6.8879999999999999</v>
      </c>
      <c r="BY16" s="30" t="s">
        <v>45</v>
      </c>
      <c r="BZ16" s="30" t="s">
        <v>45</v>
      </c>
      <c r="CA16" s="30" t="s">
        <v>45</v>
      </c>
      <c r="CB16" s="30" t="s">
        <v>45</v>
      </c>
      <c r="CC16" s="30" t="s">
        <v>45</v>
      </c>
      <c r="CD16" s="30" t="s">
        <v>45</v>
      </c>
      <c r="CE16" s="30" t="s">
        <v>45</v>
      </c>
      <c r="CF16" s="30" t="s">
        <v>45</v>
      </c>
      <c r="CG16" s="26">
        <f t="shared" si="16"/>
        <v>5.2299999999999995</v>
      </c>
      <c r="CH16" s="27">
        <f t="shared" si="17"/>
        <v>5.5869999999999997</v>
      </c>
      <c r="CI16" s="27">
        <f t="shared" si="18"/>
        <v>5.6689999999999996</v>
      </c>
      <c r="CJ16" s="27">
        <f t="shared" si="19"/>
        <v>5.6150000000000002</v>
      </c>
      <c r="CK16" s="27">
        <f t="shared" si="20"/>
        <v>5.9240000000000004</v>
      </c>
      <c r="CL16" s="27">
        <f t="shared" si="21"/>
        <v>5.9889999999999999</v>
      </c>
      <c r="CM16" s="27">
        <f t="shared" si="22"/>
        <v>5.9889999999999999</v>
      </c>
      <c r="CN16" s="27">
        <f t="shared" si="23"/>
        <v>3.714</v>
      </c>
      <c r="CO16" s="27">
        <f t="shared" si="24"/>
        <v>3.919</v>
      </c>
      <c r="CP16" s="27">
        <f t="shared" si="25"/>
        <v>4.3239999999999998</v>
      </c>
      <c r="CQ16" s="27">
        <f t="shared" si="26"/>
        <v>15.586</v>
      </c>
      <c r="CR16" s="27">
        <f t="shared" si="27"/>
        <v>16.673999999999999</v>
      </c>
      <c r="CS16" s="27">
        <f t="shared" si="28"/>
        <v>17.91</v>
      </c>
      <c r="CT16" s="27">
        <f t="shared" si="29"/>
        <v>18.864999999999998</v>
      </c>
      <c r="CU16" s="27">
        <f t="shared" si="30"/>
        <v>38.972999999999999</v>
      </c>
      <c r="CV16" s="27">
        <f t="shared" si="31"/>
        <v>43.465000000000003</v>
      </c>
      <c r="CW16" s="27">
        <f t="shared" si="32"/>
        <v>52.531000000000006</v>
      </c>
      <c r="CX16" s="27">
        <f t="shared" si="33"/>
        <v>60.887999999999998</v>
      </c>
      <c r="CY16" s="27">
        <f t="shared" si="34"/>
        <v>74.17</v>
      </c>
      <c r="CZ16" s="27">
        <f t="shared" ref="CZ16:CZ22" si="49">SUM(U16,BC16,BR16)</f>
        <v>84.379000000000005</v>
      </c>
      <c r="DA16" s="27">
        <f>SUM(V16,BD16,'Grants Non Need-Based '!BF16)</f>
        <v>111.459</v>
      </c>
      <c r="DB16" s="27">
        <f t="shared" ref="DB16:DN22" si="50">SUM(W16,BE16,BT16)</f>
        <v>130.489</v>
      </c>
      <c r="DC16" s="27">
        <f t="shared" si="50"/>
        <v>142.993111</v>
      </c>
      <c r="DD16" s="27">
        <f t="shared" si="50"/>
        <v>170.12700000000001</v>
      </c>
      <c r="DE16" s="27">
        <f t="shared" si="50"/>
        <v>229.92400000000001</v>
      </c>
      <c r="DF16" s="27">
        <f t="shared" si="50"/>
        <v>319.03500000000003</v>
      </c>
      <c r="DG16" s="27">
        <f t="shared" si="50"/>
        <v>320.31</v>
      </c>
      <c r="DH16" s="27">
        <f t="shared" si="50"/>
        <v>312.29500000000002</v>
      </c>
      <c r="DI16" s="27">
        <f t="shared" si="50"/>
        <v>268.11</v>
      </c>
      <c r="DJ16" s="27">
        <f t="shared" si="50"/>
        <v>332.85300000000001</v>
      </c>
      <c r="DK16" s="27">
        <f t="shared" si="50"/>
        <v>326.541</v>
      </c>
      <c r="DL16" s="27">
        <f t="shared" si="50"/>
        <v>299.30699999999996</v>
      </c>
      <c r="DM16" s="27">
        <f t="shared" si="50"/>
        <v>312.99932099999995</v>
      </c>
      <c r="DN16" s="27">
        <f t="shared" si="50"/>
        <v>306.05171300000001</v>
      </c>
      <c r="EO16" s="22"/>
      <c r="EP16" s="22"/>
      <c r="EQ16" s="22"/>
      <c r="ER16" s="22"/>
      <c r="ES16" s="22"/>
    </row>
    <row r="17" spans="1:149">
      <c r="A17" s="23" t="s">
        <v>48</v>
      </c>
      <c r="B17" s="30">
        <v>7.1680000000000001</v>
      </c>
      <c r="C17" s="30">
        <v>6.6550000000000002</v>
      </c>
      <c r="D17" s="30">
        <v>8.6319999999999997</v>
      </c>
      <c r="E17" s="30">
        <v>9.4499999999999993</v>
      </c>
      <c r="F17" s="30">
        <v>10.493</v>
      </c>
      <c r="G17" s="30">
        <v>10.122</v>
      </c>
      <c r="H17" s="30">
        <v>11.535</v>
      </c>
      <c r="I17" s="30">
        <v>11.717000000000001</v>
      </c>
      <c r="J17" s="30">
        <v>12.750999999999999</v>
      </c>
      <c r="K17" s="30">
        <v>13.286</v>
      </c>
      <c r="L17" s="30">
        <f>ROUND(13405/1000,3)</f>
        <v>13.404999999999999</v>
      </c>
      <c r="M17" s="30">
        <f>ROUND(13.325,3)</f>
        <v>13.324999999999999</v>
      </c>
      <c r="N17" s="30">
        <f>ROUND(13.642,3)</f>
        <v>13.641999999999999</v>
      </c>
      <c r="O17" s="30">
        <v>14.558</v>
      </c>
      <c r="P17" s="30">
        <v>16.917999999999999</v>
      </c>
      <c r="Q17" s="30">
        <v>17.387</v>
      </c>
      <c r="R17" s="30">
        <v>17.579000000000001</v>
      </c>
      <c r="S17" s="30">
        <v>19.608000000000001</v>
      </c>
      <c r="T17" s="30">
        <v>22.091000000000001</v>
      </c>
      <c r="U17" s="30">
        <v>22.271999999999998</v>
      </c>
      <c r="V17" s="30">
        <v>28.027000000000001</v>
      </c>
      <c r="W17" s="30">
        <v>37.272999999999996</v>
      </c>
      <c r="X17" s="30">
        <v>47.742221000000001</v>
      </c>
      <c r="Y17" s="30">
        <v>56.188000000000002</v>
      </c>
      <c r="Z17" s="30">
        <v>65.995999999999995</v>
      </c>
      <c r="AA17" s="30">
        <v>75.341000000000008</v>
      </c>
      <c r="AB17" s="30">
        <v>77.460000000000008</v>
      </c>
      <c r="AC17" s="30">
        <v>81.00800000000001</v>
      </c>
      <c r="AD17" s="30">
        <v>81.7</v>
      </c>
      <c r="AE17" s="30">
        <v>83.347000000000008</v>
      </c>
      <c r="AF17" s="30">
        <v>84.705000000000013</v>
      </c>
      <c r="AG17" s="30">
        <v>86.679000000000002</v>
      </c>
      <c r="AH17" s="30">
        <v>87.308508999999987</v>
      </c>
      <c r="AI17" s="30">
        <v>86.18281300000001</v>
      </c>
      <c r="AJ17" s="31">
        <v>0.83199999999999996</v>
      </c>
      <c r="AK17" s="30">
        <v>1.083</v>
      </c>
      <c r="AL17" s="30">
        <v>1.405</v>
      </c>
      <c r="AM17" s="30">
        <v>0.89500000000000002</v>
      </c>
      <c r="AN17" s="30">
        <v>1.3580000000000001</v>
      </c>
      <c r="AO17" s="30">
        <v>1.3</v>
      </c>
      <c r="AP17" s="30">
        <v>1.57</v>
      </c>
      <c r="AQ17" s="30">
        <v>1.46</v>
      </c>
      <c r="AR17" s="30">
        <v>1.4419999999999999</v>
      </c>
      <c r="AS17" s="30">
        <v>1.635</v>
      </c>
      <c r="AT17" s="30">
        <f>ROUND(1616/1000,3)</f>
        <v>1.6160000000000001</v>
      </c>
      <c r="AU17" s="30">
        <f>ROUND(1636/1000,3)</f>
        <v>1.6359999999999999</v>
      </c>
      <c r="AV17" s="30">
        <v>1.1819999999999999</v>
      </c>
      <c r="AW17" s="30">
        <v>1.9590000000000001</v>
      </c>
      <c r="AX17" s="30">
        <v>2.3180000000000001</v>
      </c>
      <c r="AY17" s="30">
        <v>2.3730000000000002</v>
      </c>
      <c r="AZ17" s="30">
        <v>2.2749999999999999</v>
      </c>
      <c r="BA17" s="30">
        <v>2.0089999999999999</v>
      </c>
      <c r="BB17" s="30">
        <v>2.0310000000000001</v>
      </c>
      <c r="BC17" s="30">
        <v>2.1440000000000001</v>
      </c>
      <c r="BD17" s="30" t="s">
        <v>37</v>
      </c>
      <c r="BE17" s="30" t="s">
        <v>37</v>
      </c>
      <c r="BF17" s="30" t="s">
        <v>37</v>
      </c>
      <c r="BG17" s="30" t="s">
        <v>37</v>
      </c>
      <c r="BH17" s="30" t="s">
        <v>37</v>
      </c>
      <c r="BI17" s="30" t="s">
        <v>37</v>
      </c>
      <c r="BJ17" s="30" t="s">
        <v>45</v>
      </c>
      <c r="BK17" s="30" t="s">
        <v>45</v>
      </c>
      <c r="BL17" s="30" t="s">
        <v>45</v>
      </c>
      <c r="BM17" s="30" t="s">
        <v>45</v>
      </c>
      <c r="BN17" s="30" t="s">
        <v>45</v>
      </c>
      <c r="BO17" s="30" t="s">
        <v>45</v>
      </c>
      <c r="BP17" s="30" t="s">
        <v>45</v>
      </c>
      <c r="BQ17" s="30" t="s">
        <v>45</v>
      </c>
      <c r="BR17" s="31" t="s">
        <v>37</v>
      </c>
      <c r="BS17" s="30" t="s">
        <v>37</v>
      </c>
      <c r="BT17" s="30" t="s">
        <v>37</v>
      </c>
      <c r="BU17" s="30" t="s">
        <v>37</v>
      </c>
      <c r="BV17" s="30" t="s">
        <v>37</v>
      </c>
      <c r="BW17" s="30" t="s">
        <v>37</v>
      </c>
      <c r="BX17" s="30" t="s">
        <v>37</v>
      </c>
      <c r="BY17" s="30" t="s">
        <v>45</v>
      </c>
      <c r="BZ17" s="30" t="s">
        <v>45</v>
      </c>
      <c r="CA17" s="30" t="s">
        <v>45</v>
      </c>
      <c r="CB17" s="30" t="s">
        <v>45</v>
      </c>
      <c r="CC17" s="30" t="s">
        <v>45</v>
      </c>
      <c r="CD17" s="30" t="s">
        <v>45</v>
      </c>
      <c r="CE17" s="30" t="s">
        <v>45</v>
      </c>
      <c r="CF17" s="30" t="s">
        <v>45</v>
      </c>
      <c r="CG17" s="26">
        <f t="shared" si="16"/>
        <v>8</v>
      </c>
      <c r="CH17" s="27">
        <f t="shared" si="17"/>
        <v>7.7380000000000004</v>
      </c>
      <c r="CI17" s="27">
        <f t="shared" si="18"/>
        <v>10.036999999999999</v>
      </c>
      <c r="CJ17" s="27">
        <f t="shared" si="19"/>
        <v>10.344999999999999</v>
      </c>
      <c r="CK17" s="27">
        <f t="shared" si="20"/>
        <v>11.851000000000001</v>
      </c>
      <c r="CL17" s="27">
        <f t="shared" si="21"/>
        <v>11.422000000000001</v>
      </c>
      <c r="CM17" s="27">
        <f t="shared" si="22"/>
        <v>13.105</v>
      </c>
      <c r="CN17" s="27">
        <f t="shared" si="23"/>
        <v>13.177</v>
      </c>
      <c r="CO17" s="27">
        <f t="shared" si="24"/>
        <v>14.193</v>
      </c>
      <c r="CP17" s="27">
        <f t="shared" si="25"/>
        <v>14.920999999999999</v>
      </c>
      <c r="CQ17" s="27">
        <f t="shared" si="26"/>
        <v>15.020999999999999</v>
      </c>
      <c r="CR17" s="27">
        <f t="shared" si="27"/>
        <v>14.960999999999999</v>
      </c>
      <c r="CS17" s="27">
        <f t="shared" si="28"/>
        <v>14.824</v>
      </c>
      <c r="CT17" s="27">
        <f t="shared" si="29"/>
        <v>16.516999999999999</v>
      </c>
      <c r="CU17" s="27">
        <f t="shared" si="30"/>
        <v>19.236000000000001</v>
      </c>
      <c r="CV17" s="27">
        <f t="shared" si="31"/>
        <v>19.760000000000002</v>
      </c>
      <c r="CW17" s="27">
        <f t="shared" si="32"/>
        <v>19.853999999999999</v>
      </c>
      <c r="CX17" s="27">
        <f t="shared" si="33"/>
        <v>21.617000000000001</v>
      </c>
      <c r="CY17" s="27">
        <f t="shared" si="34"/>
        <v>24.122</v>
      </c>
      <c r="CZ17" s="27">
        <f t="shared" si="49"/>
        <v>24.415999999999997</v>
      </c>
      <c r="DA17" s="27">
        <f t="shared" ref="DA17:DA22" si="51">SUM(V17,BD17,BS17)</f>
        <v>28.027000000000001</v>
      </c>
      <c r="DB17" s="27">
        <f t="shared" si="50"/>
        <v>37.272999999999996</v>
      </c>
      <c r="DC17" s="27">
        <f t="shared" si="50"/>
        <v>47.742221000000001</v>
      </c>
      <c r="DD17" s="27">
        <f t="shared" si="50"/>
        <v>56.188000000000002</v>
      </c>
      <c r="DE17" s="27">
        <f t="shared" si="50"/>
        <v>65.995999999999995</v>
      </c>
      <c r="DF17" s="27">
        <f t="shared" si="50"/>
        <v>75.341000000000008</v>
      </c>
      <c r="DG17" s="27">
        <f t="shared" si="50"/>
        <v>77.460000000000008</v>
      </c>
      <c r="DH17" s="27">
        <f t="shared" si="50"/>
        <v>81.00800000000001</v>
      </c>
      <c r="DI17" s="27">
        <f t="shared" si="50"/>
        <v>81.7</v>
      </c>
      <c r="DJ17" s="27">
        <f t="shared" si="50"/>
        <v>83.347000000000008</v>
      </c>
      <c r="DK17" s="27">
        <f t="shared" si="50"/>
        <v>84.705000000000013</v>
      </c>
      <c r="DL17" s="27">
        <f t="shared" si="50"/>
        <v>86.679000000000002</v>
      </c>
      <c r="DM17" s="27">
        <f t="shared" si="50"/>
        <v>87.308508999999987</v>
      </c>
      <c r="DN17" s="27">
        <f t="shared" si="50"/>
        <v>86.18281300000001</v>
      </c>
      <c r="EO17" s="22"/>
      <c r="EP17" s="22"/>
      <c r="EQ17" s="22"/>
      <c r="ER17" s="22"/>
      <c r="ES17" s="22"/>
    </row>
    <row r="18" spans="1:149">
      <c r="A18" s="23" t="s">
        <v>49</v>
      </c>
      <c r="B18" s="30">
        <v>12.577999999999999</v>
      </c>
      <c r="C18" s="30">
        <v>13.728</v>
      </c>
      <c r="D18" s="30">
        <v>13.726000000000001</v>
      </c>
      <c r="E18" s="30">
        <v>16.414999999999999</v>
      </c>
      <c r="F18" s="30">
        <v>16.46</v>
      </c>
      <c r="G18" s="30">
        <v>17.827999999999999</v>
      </c>
      <c r="H18" s="30">
        <v>18.190999999999999</v>
      </c>
      <c r="I18" s="30">
        <v>18.079000000000001</v>
      </c>
      <c r="J18" s="30">
        <v>16.966000000000001</v>
      </c>
      <c r="K18" s="30">
        <v>17.105</v>
      </c>
      <c r="L18" s="30">
        <f>ROUND(16795/1000,3)</f>
        <v>16.795000000000002</v>
      </c>
      <c r="M18" s="30">
        <f>ROUND(17.297,3)</f>
        <v>17.297000000000001</v>
      </c>
      <c r="N18" s="30">
        <f>ROUND(18.622,3)</f>
        <v>18.622</v>
      </c>
      <c r="O18" s="30">
        <v>21.54</v>
      </c>
      <c r="P18" s="30">
        <v>21.917000000000002</v>
      </c>
      <c r="Q18" s="30">
        <v>22.853000000000002</v>
      </c>
      <c r="R18" s="30">
        <v>33.198</v>
      </c>
      <c r="S18" s="30">
        <v>39.097999999999999</v>
      </c>
      <c r="T18" s="30">
        <v>34.970999999999997</v>
      </c>
      <c r="U18" s="30">
        <v>26.126999999999999</v>
      </c>
      <c r="V18" s="30">
        <v>41.180999999999997</v>
      </c>
      <c r="W18" s="30">
        <v>45.847999999999999</v>
      </c>
      <c r="X18" s="30">
        <v>46.310797000000001</v>
      </c>
      <c r="Y18" s="30">
        <v>50.32</v>
      </c>
      <c r="Z18" s="30">
        <v>56.125999999999998</v>
      </c>
      <c r="AA18" s="30">
        <v>65.463999999999999</v>
      </c>
      <c r="AB18" s="30">
        <v>61.533999999999999</v>
      </c>
      <c r="AC18" s="30">
        <v>60.373999999999995</v>
      </c>
      <c r="AD18" s="30">
        <v>51.841000000000001</v>
      </c>
      <c r="AE18" s="30">
        <v>59.503</v>
      </c>
      <c r="AF18" s="30">
        <v>60.640999999999998</v>
      </c>
      <c r="AG18" s="30">
        <v>62.741</v>
      </c>
      <c r="AH18" s="30">
        <v>65.242295999999996</v>
      </c>
      <c r="AI18" s="30">
        <v>67.388299000000004</v>
      </c>
      <c r="AJ18" s="31" t="s">
        <v>37</v>
      </c>
      <c r="AK18" s="30" t="s">
        <v>37</v>
      </c>
      <c r="AL18" s="30" t="s">
        <v>37</v>
      </c>
      <c r="AM18" s="30" t="s">
        <v>37</v>
      </c>
      <c r="AN18" s="30" t="s">
        <v>37</v>
      </c>
      <c r="AO18" s="30" t="s">
        <v>37</v>
      </c>
      <c r="AP18" s="30" t="s">
        <v>37</v>
      </c>
      <c r="AQ18" s="30" t="s">
        <v>37</v>
      </c>
      <c r="AR18" s="30" t="s">
        <v>37</v>
      </c>
      <c r="AS18" s="30" t="s">
        <v>37</v>
      </c>
      <c r="AT18" s="30" t="s">
        <v>37</v>
      </c>
      <c r="AU18" s="30" t="s">
        <v>37</v>
      </c>
      <c r="AV18" s="30" t="s">
        <v>37</v>
      </c>
      <c r="AW18" s="30" t="s">
        <v>37</v>
      </c>
      <c r="AX18" s="30" t="s">
        <v>37</v>
      </c>
      <c r="AY18" s="30" t="s">
        <v>37</v>
      </c>
      <c r="AZ18" s="30" t="s">
        <v>37</v>
      </c>
      <c r="BA18" s="30" t="s">
        <v>37</v>
      </c>
      <c r="BB18" s="30" t="s">
        <v>37</v>
      </c>
      <c r="BC18" s="30" t="s">
        <v>37</v>
      </c>
      <c r="BD18" s="30">
        <v>1.0999999999999999E-2</v>
      </c>
      <c r="BE18" s="30" t="s">
        <v>37</v>
      </c>
      <c r="BF18" s="30" t="s">
        <v>37</v>
      </c>
      <c r="BG18" s="30" t="s">
        <v>37</v>
      </c>
      <c r="BH18" s="30" t="s">
        <v>37</v>
      </c>
      <c r="BI18" s="30" t="s">
        <v>37</v>
      </c>
      <c r="BJ18" s="30" t="s">
        <v>45</v>
      </c>
      <c r="BK18" s="30" t="s">
        <v>45</v>
      </c>
      <c r="BL18" s="30" t="s">
        <v>45</v>
      </c>
      <c r="BM18" s="30" t="s">
        <v>45</v>
      </c>
      <c r="BN18" s="30" t="s">
        <v>45</v>
      </c>
      <c r="BO18" s="30" t="s">
        <v>45</v>
      </c>
      <c r="BP18" s="30" t="s">
        <v>45</v>
      </c>
      <c r="BQ18" s="30" t="s">
        <v>45</v>
      </c>
      <c r="BR18" s="31">
        <v>41.749000000000002</v>
      </c>
      <c r="BS18" s="30" t="s">
        <v>37</v>
      </c>
      <c r="BT18" s="30" t="s">
        <v>37</v>
      </c>
      <c r="BU18" s="30" t="s">
        <v>37</v>
      </c>
      <c r="BV18" s="30" t="s">
        <v>37</v>
      </c>
      <c r="BW18" s="30" t="s">
        <v>37</v>
      </c>
      <c r="BX18" s="30" t="s">
        <v>37</v>
      </c>
      <c r="BY18" s="30" t="s">
        <v>45</v>
      </c>
      <c r="BZ18" s="30" t="s">
        <v>45</v>
      </c>
      <c r="CA18" s="30" t="s">
        <v>45</v>
      </c>
      <c r="CB18" s="30" t="s">
        <v>45</v>
      </c>
      <c r="CC18" s="30" t="s">
        <v>45</v>
      </c>
      <c r="CD18" s="30" t="s">
        <v>45</v>
      </c>
      <c r="CE18" s="30" t="s">
        <v>45</v>
      </c>
      <c r="CF18" s="30" t="s">
        <v>45</v>
      </c>
      <c r="CG18" s="26">
        <f t="shared" si="16"/>
        <v>12.577999999999999</v>
      </c>
      <c r="CH18" s="27">
        <f t="shared" si="17"/>
        <v>13.728</v>
      </c>
      <c r="CI18" s="27">
        <f t="shared" si="18"/>
        <v>13.726000000000001</v>
      </c>
      <c r="CJ18" s="27">
        <f t="shared" si="19"/>
        <v>16.414999999999999</v>
      </c>
      <c r="CK18" s="27">
        <f t="shared" si="20"/>
        <v>16.46</v>
      </c>
      <c r="CL18" s="27">
        <f t="shared" si="21"/>
        <v>17.827999999999999</v>
      </c>
      <c r="CM18" s="27">
        <f t="shared" si="22"/>
        <v>18.190999999999999</v>
      </c>
      <c r="CN18" s="27">
        <f t="shared" si="23"/>
        <v>18.079000000000001</v>
      </c>
      <c r="CO18" s="27">
        <f t="shared" si="24"/>
        <v>16.966000000000001</v>
      </c>
      <c r="CP18" s="27">
        <f t="shared" si="25"/>
        <v>17.105</v>
      </c>
      <c r="CQ18" s="27">
        <f t="shared" si="26"/>
        <v>16.795000000000002</v>
      </c>
      <c r="CR18" s="27">
        <f t="shared" si="27"/>
        <v>17.297000000000001</v>
      </c>
      <c r="CS18" s="27">
        <f t="shared" si="28"/>
        <v>18.622</v>
      </c>
      <c r="CT18" s="27">
        <f t="shared" si="29"/>
        <v>21.54</v>
      </c>
      <c r="CU18" s="27">
        <f t="shared" si="30"/>
        <v>21.917000000000002</v>
      </c>
      <c r="CV18" s="27">
        <f t="shared" si="31"/>
        <v>22.853000000000002</v>
      </c>
      <c r="CW18" s="27">
        <f t="shared" si="32"/>
        <v>33.198</v>
      </c>
      <c r="CX18" s="27">
        <f t="shared" si="33"/>
        <v>39.097999999999999</v>
      </c>
      <c r="CY18" s="27">
        <f t="shared" si="34"/>
        <v>34.970999999999997</v>
      </c>
      <c r="CZ18" s="27">
        <f t="shared" si="49"/>
        <v>67.876000000000005</v>
      </c>
      <c r="DA18" s="27">
        <f t="shared" si="51"/>
        <v>41.192</v>
      </c>
      <c r="DB18" s="27">
        <f t="shared" si="50"/>
        <v>45.847999999999999</v>
      </c>
      <c r="DC18" s="27">
        <f t="shared" si="50"/>
        <v>46.310797000000001</v>
      </c>
      <c r="DD18" s="27">
        <f t="shared" si="50"/>
        <v>50.32</v>
      </c>
      <c r="DE18" s="27">
        <f t="shared" si="50"/>
        <v>56.125999999999998</v>
      </c>
      <c r="DF18" s="27">
        <f t="shared" si="50"/>
        <v>65.463999999999999</v>
      </c>
      <c r="DG18" s="27">
        <f t="shared" si="50"/>
        <v>61.533999999999999</v>
      </c>
      <c r="DH18" s="27">
        <f t="shared" si="50"/>
        <v>60.373999999999995</v>
      </c>
      <c r="DI18" s="27">
        <f t="shared" si="50"/>
        <v>51.841000000000001</v>
      </c>
      <c r="DJ18" s="27">
        <f t="shared" si="50"/>
        <v>59.503</v>
      </c>
      <c r="DK18" s="27">
        <f t="shared" si="50"/>
        <v>60.640999999999998</v>
      </c>
      <c r="DL18" s="27">
        <f t="shared" si="50"/>
        <v>62.741</v>
      </c>
      <c r="DM18" s="27">
        <f t="shared" si="50"/>
        <v>65.242295999999996</v>
      </c>
      <c r="DN18" s="27">
        <f t="shared" si="50"/>
        <v>67.388299000000004</v>
      </c>
      <c r="EO18" s="22"/>
      <c r="EP18" s="22"/>
      <c r="EQ18" s="22"/>
      <c r="ER18" s="22"/>
      <c r="ES18" s="22"/>
    </row>
    <row r="19" spans="1:149">
      <c r="A19" s="23" t="s">
        <v>50</v>
      </c>
      <c r="B19" s="30">
        <v>7.0810000000000004</v>
      </c>
      <c r="C19" s="30">
        <v>8.8330000000000002</v>
      </c>
      <c r="D19" s="30">
        <v>12.082000000000001</v>
      </c>
      <c r="E19" s="30">
        <v>13.734999999999999</v>
      </c>
      <c r="F19" s="30">
        <v>16.5</v>
      </c>
      <c r="G19" s="30">
        <v>12.404</v>
      </c>
      <c r="H19" s="30">
        <v>17.295000000000002</v>
      </c>
      <c r="I19" s="30">
        <v>14.156000000000001</v>
      </c>
      <c r="J19" s="30">
        <v>13.086</v>
      </c>
      <c r="K19" s="30">
        <v>13.723000000000001</v>
      </c>
      <c r="L19" s="30">
        <f>ROUND(16755/1000,3)</f>
        <v>16.754999999999999</v>
      </c>
      <c r="M19" s="30">
        <f>ROUND(18.313,3)</f>
        <v>18.312999999999999</v>
      </c>
      <c r="N19" s="30">
        <v>18.811</v>
      </c>
      <c r="O19" s="30">
        <v>18.652000000000001</v>
      </c>
      <c r="P19" s="30">
        <v>20.437999999999999</v>
      </c>
      <c r="Q19" s="30">
        <v>20.648</v>
      </c>
      <c r="R19" s="30">
        <v>21.382999999999999</v>
      </c>
      <c r="S19" s="30">
        <v>29.303999999999998</v>
      </c>
      <c r="T19" s="30">
        <v>37.32</v>
      </c>
      <c r="U19" s="30">
        <v>45.805999999999997</v>
      </c>
      <c r="V19" s="30">
        <v>41.833000000000006</v>
      </c>
      <c r="W19" s="30">
        <v>121.98700000000001</v>
      </c>
      <c r="X19" s="30">
        <v>51.181971000000004</v>
      </c>
      <c r="Y19" s="30">
        <v>57.961999999999996</v>
      </c>
      <c r="Z19" s="30">
        <v>74.525000000000006</v>
      </c>
      <c r="AA19" s="30">
        <v>74.906000000000006</v>
      </c>
      <c r="AB19" s="30">
        <v>76.22</v>
      </c>
      <c r="AC19" s="30">
        <v>80.611000000000004</v>
      </c>
      <c r="AD19" s="30">
        <v>81.53</v>
      </c>
      <c r="AE19" s="30">
        <v>89.524000000000001</v>
      </c>
      <c r="AF19" s="30">
        <v>87.562000000000012</v>
      </c>
      <c r="AG19" s="30">
        <v>88.125</v>
      </c>
      <c r="AH19" s="30">
        <v>108.82456199999999</v>
      </c>
      <c r="AI19" s="30">
        <v>118.55758900000001</v>
      </c>
      <c r="AJ19" s="31" t="s">
        <v>37</v>
      </c>
      <c r="AK19" s="30" t="s">
        <v>37</v>
      </c>
      <c r="AL19" s="30" t="s">
        <v>37</v>
      </c>
      <c r="AM19" s="30" t="s">
        <v>37</v>
      </c>
      <c r="AN19" s="30" t="s">
        <v>37</v>
      </c>
      <c r="AO19" s="30" t="s">
        <v>37</v>
      </c>
      <c r="AP19" s="30" t="s">
        <v>37</v>
      </c>
      <c r="AQ19" s="30" t="s">
        <v>37</v>
      </c>
      <c r="AR19" s="30" t="s">
        <v>37</v>
      </c>
      <c r="AS19" s="30" t="s">
        <v>37</v>
      </c>
      <c r="AT19" s="30" t="s">
        <v>37</v>
      </c>
      <c r="AU19" s="30" t="s">
        <v>37</v>
      </c>
      <c r="AV19" s="30" t="s">
        <v>37</v>
      </c>
      <c r="AW19" s="30" t="s">
        <v>37</v>
      </c>
      <c r="AX19" s="30" t="s">
        <v>37</v>
      </c>
      <c r="AY19" s="30" t="s">
        <v>37</v>
      </c>
      <c r="AZ19" s="30" t="s">
        <v>37</v>
      </c>
      <c r="BA19" s="30" t="s">
        <v>37</v>
      </c>
      <c r="BB19" s="30" t="s">
        <v>37</v>
      </c>
      <c r="BC19" s="30" t="s">
        <v>37</v>
      </c>
      <c r="BD19" s="30" t="s">
        <v>37</v>
      </c>
      <c r="BE19" s="30" t="s">
        <v>37</v>
      </c>
      <c r="BF19" s="30" t="s">
        <v>37</v>
      </c>
      <c r="BG19" s="30" t="s">
        <v>37</v>
      </c>
      <c r="BH19" s="30" t="s">
        <v>37</v>
      </c>
      <c r="BI19" s="30" t="s">
        <v>37</v>
      </c>
      <c r="BJ19" s="30" t="s">
        <v>45</v>
      </c>
      <c r="BK19" s="30" t="s">
        <v>45</v>
      </c>
      <c r="BL19" s="30" t="s">
        <v>45</v>
      </c>
      <c r="BM19" s="30" t="s">
        <v>45</v>
      </c>
      <c r="BN19" s="30" t="s">
        <v>45</v>
      </c>
      <c r="BO19" s="30" t="s">
        <v>45</v>
      </c>
      <c r="BP19" s="30" t="s">
        <v>45</v>
      </c>
      <c r="BQ19" s="30" t="s">
        <v>45</v>
      </c>
      <c r="BR19" s="31">
        <v>8.7029999999999994</v>
      </c>
      <c r="BS19" s="24">
        <f>((BT19-BR19)/2)+BR19</f>
        <v>8.0820000000000007</v>
      </c>
      <c r="BT19" s="30">
        <v>7.4610000000000003</v>
      </c>
      <c r="BU19" s="30">
        <v>8.8245000000000004E-2</v>
      </c>
      <c r="BV19" s="30" t="s">
        <v>37</v>
      </c>
      <c r="BW19" s="30" t="s">
        <v>37</v>
      </c>
      <c r="BX19" s="30" t="s">
        <v>37</v>
      </c>
      <c r="BY19" s="30" t="s">
        <v>45</v>
      </c>
      <c r="BZ19" s="30" t="s">
        <v>45</v>
      </c>
      <c r="CA19" s="30" t="s">
        <v>45</v>
      </c>
      <c r="CB19" s="30" t="s">
        <v>45</v>
      </c>
      <c r="CC19" s="30" t="s">
        <v>45</v>
      </c>
      <c r="CD19" s="30" t="s">
        <v>45</v>
      </c>
      <c r="CE19" s="30" t="s">
        <v>45</v>
      </c>
      <c r="CF19" s="30" t="s">
        <v>45</v>
      </c>
      <c r="CG19" s="26">
        <f t="shared" si="16"/>
        <v>7.0810000000000004</v>
      </c>
      <c r="CH19" s="27">
        <f t="shared" si="17"/>
        <v>8.8330000000000002</v>
      </c>
      <c r="CI19" s="27">
        <f t="shared" si="18"/>
        <v>12.082000000000001</v>
      </c>
      <c r="CJ19" s="27">
        <f t="shared" si="19"/>
        <v>13.734999999999999</v>
      </c>
      <c r="CK19" s="27">
        <f t="shared" si="20"/>
        <v>16.5</v>
      </c>
      <c r="CL19" s="27">
        <f t="shared" si="21"/>
        <v>12.404</v>
      </c>
      <c r="CM19" s="27">
        <f t="shared" si="22"/>
        <v>17.295000000000002</v>
      </c>
      <c r="CN19" s="27">
        <f t="shared" si="23"/>
        <v>14.156000000000001</v>
      </c>
      <c r="CO19" s="27">
        <f t="shared" si="24"/>
        <v>13.086</v>
      </c>
      <c r="CP19" s="27">
        <f t="shared" si="25"/>
        <v>13.723000000000001</v>
      </c>
      <c r="CQ19" s="27">
        <f t="shared" si="26"/>
        <v>16.754999999999999</v>
      </c>
      <c r="CR19" s="27">
        <f t="shared" si="27"/>
        <v>18.312999999999999</v>
      </c>
      <c r="CS19" s="27">
        <f t="shared" si="28"/>
        <v>18.811</v>
      </c>
      <c r="CT19" s="27">
        <f t="shared" si="29"/>
        <v>18.652000000000001</v>
      </c>
      <c r="CU19" s="27">
        <f t="shared" si="30"/>
        <v>20.437999999999999</v>
      </c>
      <c r="CV19" s="27">
        <f t="shared" si="31"/>
        <v>20.648</v>
      </c>
      <c r="CW19" s="27">
        <f t="shared" si="32"/>
        <v>21.382999999999999</v>
      </c>
      <c r="CX19" s="27">
        <f t="shared" si="33"/>
        <v>29.303999999999998</v>
      </c>
      <c r="CY19" s="27">
        <f t="shared" si="34"/>
        <v>37.32</v>
      </c>
      <c r="CZ19" s="27">
        <f t="shared" si="49"/>
        <v>54.509</v>
      </c>
      <c r="DA19" s="27">
        <f t="shared" si="51"/>
        <v>49.915000000000006</v>
      </c>
      <c r="DB19" s="27">
        <f t="shared" si="50"/>
        <v>129.44800000000001</v>
      </c>
      <c r="DC19" s="27">
        <f t="shared" si="50"/>
        <v>51.270216000000005</v>
      </c>
      <c r="DD19" s="27">
        <f t="shared" si="50"/>
        <v>57.961999999999996</v>
      </c>
      <c r="DE19" s="27">
        <f t="shared" si="50"/>
        <v>74.525000000000006</v>
      </c>
      <c r="DF19" s="27">
        <f t="shared" si="50"/>
        <v>74.906000000000006</v>
      </c>
      <c r="DG19" s="27">
        <f t="shared" si="50"/>
        <v>76.22</v>
      </c>
      <c r="DH19" s="27">
        <f t="shared" si="50"/>
        <v>80.611000000000004</v>
      </c>
      <c r="DI19" s="27">
        <f t="shared" si="50"/>
        <v>81.53</v>
      </c>
      <c r="DJ19" s="27">
        <f t="shared" si="50"/>
        <v>89.524000000000001</v>
      </c>
      <c r="DK19" s="27">
        <f t="shared" si="50"/>
        <v>87.562000000000012</v>
      </c>
      <c r="DL19" s="27">
        <f t="shared" si="50"/>
        <v>88.125</v>
      </c>
      <c r="DM19" s="27">
        <f t="shared" si="50"/>
        <v>108.82456199999999</v>
      </c>
      <c r="DN19" s="27">
        <f t="shared" si="50"/>
        <v>118.55758900000001</v>
      </c>
      <c r="EO19" s="22"/>
      <c r="EP19" s="22"/>
      <c r="EQ19" s="22"/>
      <c r="ER19" s="22"/>
      <c r="ES19" s="22"/>
    </row>
    <row r="20" spans="1:149" ht="12.6" customHeight="1">
      <c r="A20" s="23" t="s">
        <v>51</v>
      </c>
      <c r="B20" s="30">
        <v>25.53</v>
      </c>
      <c r="C20" s="30">
        <v>24.786999999999999</v>
      </c>
      <c r="D20" s="30">
        <v>22.43</v>
      </c>
      <c r="E20" s="30">
        <v>20.292999999999999</v>
      </c>
      <c r="F20" s="30">
        <v>21.931000000000001</v>
      </c>
      <c r="G20" s="30">
        <v>22.728999999999999</v>
      </c>
      <c r="H20" s="30">
        <v>24.966999999999999</v>
      </c>
      <c r="I20" s="30">
        <v>24.863</v>
      </c>
      <c r="J20" s="30">
        <v>26.899000000000001</v>
      </c>
      <c r="K20" s="30">
        <v>27.466999999999999</v>
      </c>
      <c r="L20" s="30">
        <f>ROUND(29102/1000,3)</f>
        <v>29.102</v>
      </c>
      <c r="M20" s="30">
        <f>ROUND(29.102,3)</f>
        <v>29.102</v>
      </c>
      <c r="N20" s="30">
        <f>ROUND(40.768,3)</f>
        <v>40.768000000000001</v>
      </c>
      <c r="O20" s="30">
        <v>42.761000000000003</v>
      </c>
      <c r="P20" s="30">
        <v>60.67</v>
      </c>
      <c r="Q20" s="30">
        <v>61.728000000000002</v>
      </c>
      <c r="R20" s="30">
        <v>154.42400000000001</v>
      </c>
      <c r="S20" s="30">
        <v>106.38200000000001</v>
      </c>
      <c r="T20" s="30">
        <v>197.25200000000001</v>
      </c>
      <c r="U20" s="30">
        <v>318.78399999999999</v>
      </c>
      <c r="V20" s="30">
        <v>156.529</v>
      </c>
      <c r="W20" s="30">
        <v>336.43299999999999</v>
      </c>
      <c r="X20" s="30">
        <v>366.87290400000001</v>
      </c>
      <c r="Y20" s="30">
        <v>374.73</v>
      </c>
      <c r="Z20" s="30">
        <v>484.80799999999999</v>
      </c>
      <c r="AA20" s="30">
        <v>437.322</v>
      </c>
      <c r="AB20" s="30">
        <v>592.399</v>
      </c>
      <c r="AC20" s="30">
        <v>679.52499999999998</v>
      </c>
      <c r="AD20" s="30">
        <v>610.77700000000004</v>
      </c>
      <c r="AE20" s="30">
        <v>643.279</v>
      </c>
      <c r="AF20" s="30">
        <v>712.97400000000005</v>
      </c>
      <c r="AG20" s="30">
        <v>763.61900000000003</v>
      </c>
      <c r="AH20" s="30">
        <v>840.55146200000001</v>
      </c>
      <c r="AI20" s="30">
        <v>868.81365500000004</v>
      </c>
      <c r="AJ20" s="31" t="s">
        <v>37</v>
      </c>
      <c r="AK20" s="30">
        <v>2.1139999999999999</v>
      </c>
      <c r="AL20" s="30">
        <v>1.788</v>
      </c>
      <c r="AM20" s="30">
        <v>1.7110000000000001</v>
      </c>
      <c r="AN20" s="30">
        <v>1.591</v>
      </c>
      <c r="AO20" s="30">
        <v>1.758</v>
      </c>
      <c r="AP20" s="30">
        <v>2.4129999999999998</v>
      </c>
      <c r="AQ20" s="30">
        <v>2.4550000000000001</v>
      </c>
      <c r="AR20" s="30">
        <v>2.8559999999999999</v>
      </c>
      <c r="AS20" s="30">
        <v>2.8210000000000002</v>
      </c>
      <c r="AT20" s="30">
        <f>ROUND(2436/1000,3)</f>
        <v>2.4359999999999999</v>
      </c>
      <c r="AU20" s="30">
        <f>ROUND(2436/1000,3)</f>
        <v>2.4359999999999999</v>
      </c>
      <c r="AV20" s="30">
        <v>3.86</v>
      </c>
      <c r="AW20" s="30">
        <v>4.7880000000000003</v>
      </c>
      <c r="AX20" s="30">
        <v>5.452</v>
      </c>
      <c r="AY20" s="30">
        <v>4.8339999999999996</v>
      </c>
      <c r="AZ20" s="30">
        <v>6.7539999999999996</v>
      </c>
      <c r="BA20" s="30">
        <v>7.6369999999999996</v>
      </c>
      <c r="BB20" s="30">
        <v>12.962</v>
      </c>
      <c r="BC20" s="30">
        <v>18.73</v>
      </c>
      <c r="BD20" s="24">
        <f>((BE20-BC20)/2)+BC20</f>
        <v>21.243500000000001</v>
      </c>
      <c r="BE20" s="30">
        <v>23.757000000000001</v>
      </c>
      <c r="BF20" s="30">
        <v>29.656058999999999</v>
      </c>
      <c r="BG20" s="30">
        <v>33.162999999999997</v>
      </c>
      <c r="BH20" s="30">
        <v>49.524000000000001</v>
      </c>
      <c r="BI20" s="30">
        <v>34.622999999999998</v>
      </c>
      <c r="BJ20" s="30">
        <v>57.939</v>
      </c>
      <c r="BK20" s="30">
        <v>51.119</v>
      </c>
      <c r="BL20" s="30">
        <v>48.220999999999997</v>
      </c>
      <c r="BM20" s="30">
        <v>59.97</v>
      </c>
      <c r="BN20" s="30">
        <v>60.756999999999998</v>
      </c>
      <c r="BO20" s="30">
        <v>61.767000000000003</v>
      </c>
      <c r="BP20" s="30">
        <v>75.489283</v>
      </c>
      <c r="BQ20" s="30">
        <v>70.639494999999997</v>
      </c>
      <c r="BR20" s="31" t="s">
        <v>37</v>
      </c>
      <c r="BS20" s="30">
        <v>187.203</v>
      </c>
      <c r="BT20" s="30">
        <v>1.5</v>
      </c>
      <c r="BU20" s="30">
        <v>2.976788</v>
      </c>
      <c r="BV20" s="30">
        <v>3.0230000000000001</v>
      </c>
      <c r="BW20" s="30">
        <v>3.5369999999999999</v>
      </c>
      <c r="BX20" s="30">
        <v>0.56999999999999995</v>
      </c>
      <c r="BY20" s="30">
        <v>0.871</v>
      </c>
      <c r="BZ20" s="30">
        <v>3.0339999999999998</v>
      </c>
      <c r="CA20" s="30" t="s">
        <v>45</v>
      </c>
      <c r="CB20" s="30">
        <v>0.14099999999999999</v>
      </c>
      <c r="CC20" s="30">
        <v>0.08</v>
      </c>
      <c r="CD20" s="30">
        <v>6.8000000000000005E-2</v>
      </c>
      <c r="CE20" s="30">
        <v>5.8793999999999999E-2</v>
      </c>
      <c r="CF20" s="30">
        <v>9.8091999999999999E-2</v>
      </c>
      <c r="CG20" s="26">
        <f t="shared" si="16"/>
        <v>25.53</v>
      </c>
      <c r="CH20" s="27">
        <f t="shared" si="17"/>
        <v>26.901</v>
      </c>
      <c r="CI20" s="27">
        <f t="shared" si="18"/>
        <v>24.218</v>
      </c>
      <c r="CJ20" s="27">
        <f t="shared" si="19"/>
        <v>22.003999999999998</v>
      </c>
      <c r="CK20" s="27">
        <f t="shared" si="20"/>
        <v>23.522000000000002</v>
      </c>
      <c r="CL20" s="27">
        <f t="shared" si="21"/>
        <v>24.486999999999998</v>
      </c>
      <c r="CM20" s="27">
        <f t="shared" si="22"/>
        <v>27.38</v>
      </c>
      <c r="CN20" s="27">
        <f t="shared" si="23"/>
        <v>27.317999999999998</v>
      </c>
      <c r="CO20" s="27">
        <f t="shared" si="24"/>
        <v>29.755000000000003</v>
      </c>
      <c r="CP20" s="27">
        <f t="shared" si="25"/>
        <v>30.288</v>
      </c>
      <c r="CQ20" s="27">
        <f t="shared" si="26"/>
        <v>31.538</v>
      </c>
      <c r="CR20" s="27">
        <f t="shared" si="27"/>
        <v>31.538</v>
      </c>
      <c r="CS20" s="27">
        <f t="shared" si="28"/>
        <v>44.628</v>
      </c>
      <c r="CT20" s="27">
        <f t="shared" si="29"/>
        <v>47.549000000000007</v>
      </c>
      <c r="CU20" s="27">
        <f t="shared" si="30"/>
        <v>66.122</v>
      </c>
      <c r="CV20" s="27">
        <f t="shared" si="31"/>
        <v>66.561999999999998</v>
      </c>
      <c r="CW20" s="27">
        <f t="shared" si="32"/>
        <v>161.178</v>
      </c>
      <c r="CX20" s="27">
        <f t="shared" si="33"/>
        <v>114.01900000000001</v>
      </c>
      <c r="CY20" s="27">
        <f t="shared" si="34"/>
        <v>210.214</v>
      </c>
      <c r="CZ20" s="27">
        <f t="shared" si="49"/>
        <v>337.51400000000001</v>
      </c>
      <c r="DA20" s="27">
        <f t="shared" si="51"/>
        <v>364.97550000000001</v>
      </c>
      <c r="DB20" s="27">
        <f t="shared" si="50"/>
        <v>361.69</v>
      </c>
      <c r="DC20" s="27">
        <f t="shared" si="50"/>
        <v>399.50575099999998</v>
      </c>
      <c r="DD20" s="27">
        <f t="shared" si="50"/>
        <v>410.91600000000005</v>
      </c>
      <c r="DE20" s="27">
        <f t="shared" si="50"/>
        <v>537.86900000000003</v>
      </c>
      <c r="DF20" s="27">
        <f t="shared" si="50"/>
        <v>472.51499999999999</v>
      </c>
      <c r="DG20" s="27">
        <f t="shared" si="50"/>
        <v>651.20899999999995</v>
      </c>
      <c r="DH20" s="27">
        <f t="shared" si="50"/>
        <v>733.678</v>
      </c>
      <c r="DI20" s="27">
        <f t="shared" si="50"/>
        <v>658.99800000000005</v>
      </c>
      <c r="DJ20" s="27">
        <f t="shared" si="50"/>
        <v>703.39</v>
      </c>
      <c r="DK20" s="27">
        <f t="shared" si="50"/>
        <v>773.81100000000004</v>
      </c>
      <c r="DL20" s="27">
        <f t="shared" si="50"/>
        <v>825.45400000000006</v>
      </c>
      <c r="DM20" s="27">
        <f t="shared" si="50"/>
        <v>916.09953900000005</v>
      </c>
      <c r="DN20" s="27">
        <f t="shared" si="50"/>
        <v>939.551242</v>
      </c>
      <c r="EO20" s="22"/>
      <c r="EP20" s="22"/>
      <c r="EQ20" s="22"/>
      <c r="ER20" s="22"/>
      <c r="ES20" s="22"/>
    </row>
    <row r="21" spans="1:149">
      <c r="A21" s="23" t="s">
        <v>52</v>
      </c>
      <c r="B21" s="30">
        <v>4.0789999999999997</v>
      </c>
      <c r="C21" s="30">
        <v>4.42</v>
      </c>
      <c r="D21" s="30">
        <v>4.42</v>
      </c>
      <c r="E21" s="30">
        <v>4.3499999999999996</v>
      </c>
      <c r="F21" s="30">
        <v>4.42</v>
      </c>
      <c r="G21" s="30">
        <v>5.851</v>
      </c>
      <c r="H21" s="30">
        <v>8.2840000000000007</v>
      </c>
      <c r="I21" s="30">
        <v>7.4</v>
      </c>
      <c r="J21" s="30">
        <v>7.39</v>
      </c>
      <c r="K21" s="30">
        <v>6.6539999999999999</v>
      </c>
      <c r="L21" s="30">
        <f>ROUND(6408/1000,3)</f>
        <v>6.4080000000000004</v>
      </c>
      <c r="M21" s="30">
        <f>ROUND(53.885,3)</f>
        <v>53.884999999999998</v>
      </c>
      <c r="N21" s="30">
        <f>ROUND(59.568,3)</f>
        <v>59.567999999999998</v>
      </c>
      <c r="O21" s="30">
        <v>59.024999999999999</v>
      </c>
      <c r="P21" s="30">
        <v>59.256</v>
      </c>
      <c r="Q21" s="30">
        <v>62.972000000000001</v>
      </c>
      <c r="R21" s="30">
        <v>66.641000000000005</v>
      </c>
      <c r="S21" s="30">
        <v>70.260000000000005</v>
      </c>
      <c r="T21" s="30">
        <v>70.289000000000001</v>
      </c>
      <c r="U21" s="30">
        <v>69.138000000000005</v>
      </c>
      <c r="V21" s="30">
        <v>77.346000000000004</v>
      </c>
      <c r="W21" s="30">
        <v>82.872</v>
      </c>
      <c r="X21" s="30">
        <v>89.770464000000004</v>
      </c>
      <c r="Y21" s="30">
        <v>101.762</v>
      </c>
      <c r="Z21" s="30">
        <v>114.967</v>
      </c>
      <c r="AA21" s="30">
        <v>124.04400000000001</v>
      </c>
      <c r="AB21" s="30">
        <v>134.01300000000001</v>
      </c>
      <c r="AC21" s="30">
        <v>134.45999999999998</v>
      </c>
      <c r="AD21" s="30">
        <v>146.428</v>
      </c>
      <c r="AE21" s="30">
        <v>155.149</v>
      </c>
      <c r="AF21" s="30">
        <v>159.887</v>
      </c>
      <c r="AG21" s="30">
        <v>286.07900000000001</v>
      </c>
      <c r="AH21" s="30">
        <v>307.897132</v>
      </c>
      <c r="AI21" s="30">
        <v>322.559752</v>
      </c>
      <c r="AJ21" s="31" t="s">
        <v>37</v>
      </c>
      <c r="AK21" s="30" t="s">
        <v>37</v>
      </c>
      <c r="AL21" s="30" t="s">
        <v>37</v>
      </c>
      <c r="AM21" s="30" t="s">
        <v>37</v>
      </c>
      <c r="AN21" s="30" t="s">
        <v>37</v>
      </c>
      <c r="AO21" s="30" t="s">
        <v>37</v>
      </c>
      <c r="AP21" s="30" t="s">
        <v>37</v>
      </c>
      <c r="AQ21" s="30" t="s">
        <v>37</v>
      </c>
      <c r="AR21" s="30" t="s">
        <v>37</v>
      </c>
      <c r="AS21" s="30" t="s">
        <v>37</v>
      </c>
      <c r="AT21" s="30" t="s">
        <v>37</v>
      </c>
      <c r="AU21" s="30">
        <f>ROUND(1546/1000,3)</f>
        <v>1.546</v>
      </c>
      <c r="AV21" s="30">
        <v>1.546</v>
      </c>
      <c r="AW21" s="24">
        <f>(($BB$21-$AV$21)/6)+AV21</f>
        <v>1.5288333333333335</v>
      </c>
      <c r="AX21" s="24">
        <f>(($BB$21-$AV$21)/6)+AW21</f>
        <v>1.5116666666666667</v>
      </c>
      <c r="AY21" s="24">
        <f>(($BB$21-$AV$21)/6)+AX21</f>
        <v>1.4944999999999999</v>
      </c>
      <c r="AZ21" s="24">
        <f>(($BB$21-$AV$21)/6)+AY21</f>
        <v>1.4773333333333332</v>
      </c>
      <c r="BA21" s="24">
        <f>(($BB$21-$AV$21)/6)+AZ21</f>
        <v>1.4601666666666664</v>
      </c>
      <c r="BB21" s="30">
        <v>1.4430000000000001</v>
      </c>
      <c r="BC21" s="30">
        <v>1.82</v>
      </c>
      <c r="BD21" s="30">
        <v>3.8210000000000002</v>
      </c>
      <c r="BE21" s="30">
        <v>1.6080000000000001</v>
      </c>
      <c r="BF21" s="30">
        <v>0.68761499999999998</v>
      </c>
      <c r="BG21" s="30">
        <v>0.93700000000000006</v>
      </c>
      <c r="BH21" s="30">
        <v>2.1930000000000001</v>
      </c>
      <c r="BI21" s="30">
        <v>2.3530000000000002</v>
      </c>
      <c r="BJ21" s="30">
        <v>1.6879999999999999</v>
      </c>
      <c r="BK21" s="30">
        <v>0.55200000000000005</v>
      </c>
      <c r="BL21" s="30">
        <v>0.54100000000000004</v>
      </c>
      <c r="BM21" s="30">
        <v>2.7909999999999999</v>
      </c>
      <c r="BN21" s="30">
        <v>2.3490000000000002</v>
      </c>
      <c r="BO21" s="30">
        <v>56.347999999999999</v>
      </c>
      <c r="BP21" s="30">
        <v>57.290125000000003</v>
      </c>
      <c r="BQ21" s="30">
        <v>61.377918999999999</v>
      </c>
      <c r="BR21" s="31" t="s">
        <v>37</v>
      </c>
      <c r="BS21" s="30">
        <v>46</v>
      </c>
      <c r="BT21" s="30" t="s">
        <v>37</v>
      </c>
      <c r="BU21" s="30" t="s">
        <v>37</v>
      </c>
      <c r="BV21" s="30" t="s">
        <v>37</v>
      </c>
      <c r="BW21" s="30" t="s">
        <v>37</v>
      </c>
      <c r="BX21" s="30" t="s">
        <v>37</v>
      </c>
      <c r="BY21" s="30" t="s">
        <v>45</v>
      </c>
      <c r="BZ21" s="30" t="s">
        <v>45</v>
      </c>
      <c r="CA21" s="30" t="s">
        <v>45</v>
      </c>
      <c r="CB21" s="30" t="s">
        <v>45</v>
      </c>
      <c r="CC21" s="30" t="s">
        <v>45</v>
      </c>
      <c r="CD21" s="30" t="s">
        <v>45</v>
      </c>
      <c r="CE21" s="30" t="s">
        <v>45</v>
      </c>
      <c r="CF21" s="30" t="s">
        <v>45</v>
      </c>
      <c r="CG21" s="26">
        <f t="shared" si="16"/>
        <v>4.0789999999999997</v>
      </c>
      <c r="CH21" s="27">
        <f t="shared" si="17"/>
        <v>4.42</v>
      </c>
      <c r="CI21" s="27">
        <f t="shared" si="18"/>
        <v>4.42</v>
      </c>
      <c r="CJ21" s="27">
        <f t="shared" si="19"/>
        <v>4.3499999999999996</v>
      </c>
      <c r="CK21" s="27">
        <f t="shared" si="20"/>
        <v>4.42</v>
      </c>
      <c r="CL21" s="27">
        <f t="shared" si="21"/>
        <v>5.851</v>
      </c>
      <c r="CM21" s="27">
        <f t="shared" si="22"/>
        <v>8.2840000000000007</v>
      </c>
      <c r="CN21" s="27">
        <f t="shared" si="23"/>
        <v>7.4</v>
      </c>
      <c r="CO21" s="27">
        <f t="shared" si="24"/>
        <v>7.39</v>
      </c>
      <c r="CP21" s="27">
        <f t="shared" si="25"/>
        <v>6.6539999999999999</v>
      </c>
      <c r="CQ21" s="27">
        <f t="shared" si="26"/>
        <v>6.4080000000000004</v>
      </c>
      <c r="CR21" s="27">
        <f t="shared" si="27"/>
        <v>55.430999999999997</v>
      </c>
      <c r="CS21" s="27">
        <f t="shared" si="28"/>
        <v>61.113999999999997</v>
      </c>
      <c r="CT21" s="27">
        <f t="shared" si="29"/>
        <v>60.55383333333333</v>
      </c>
      <c r="CU21" s="27">
        <f t="shared" si="30"/>
        <v>60.76766666666667</v>
      </c>
      <c r="CV21" s="27">
        <f t="shared" si="31"/>
        <v>64.466499999999996</v>
      </c>
      <c r="CW21" s="27">
        <f t="shared" si="32"/>
        <v>68.118333333333339</v>
      </c>
      <c r="CX21" s="27">
        <f t="shared" si="33"/>
        <v>71.720166666666671</v>
      </c>
      <c r="CY21" s="27">
        <f t="shared" si="34"/>
        <v>71.731999999999999</v>
      </c>
      <c r="CZ21" s="27">
        <f t="shared" si="49"/>
        <v>70.957999999999998</v>
      </c>
      <c r="DA21" s="27">
        <f t="shared" si="51"/>
        <v>127.167</v>
      </c>
      <c r="DB21" s="27">
        <f t="shared" si="50"/>
        <v>84.48</v>
      </c>
      <c r="DC21" s="27">
        <f t="shared" si="50"/>
        <v>90.458078999999998</v>
      </c>
      <c r="DD21" s="27">
        <f t="shared" si="50"/>
        <v>102.699</v>
      </c>
      <c r="DE21" s="27">
        <f t="shared" si="50"/>
        <v>117.16</v>
      </c>
      <c r="DF21" s="27">
        <f t="shared" si="50"/>
        <v>126.39700000000001</v>
      </c>
      <c r="DG21" s="27">
        <f t="shared" si="50"/>
        <v>135.70099999999999</v>
      </c>
      <c r="DH21" s="27">
        <f t="shared" si="50"/>
        <v>135.01199999999997</v>
      </c>
      <c r="DI21" s="27">
        <f t="shared" si="50"/>
        <v>146.96899999999999</v>
      </c>
      <c r="DJ21" s="27">
        <f t="shared" si="50"/>
        <v>157.94</v>
      </c>
      <c r="DK21" s="27">
        <f t="shared" si="50"/>
        <v>162.23599999999999</v>
      </c>
      <c r="DL21" s="27">
        <f t="shared" si="50"/>
        <v>342.42700000000002</v>
      </c>
      <c r="DM21" s="27">
        <f t="shared" si="50"/>
        <v>365.18725699999999</v>
      </c>
      <c r="DN21" s="27">
        <f t="shared" si="50"/>
        <v>383.93767100000002</v>
      </c>
      <c r="EO21" s="22"/>
      <c r="EP21" s="22"/>
      <c r="EQ21" s="22"/>
      <c r="ER21" s="22"/>
      <c r="ES21" s="22"/>
    </row>
    <row r="22" spans="1:149">
      <c r="A22" s="32" t="s">
        <v>53</v>
      </c>
      <c r="B22" s="33">
        <v>4.3890000000000002</v>
      </c>
      <c r="C22" s="33">
        <v>4.8769999999999998</v>
      </c>
      <c r="D22" s="33">
        <v>5.2270000000000003</v>
      </c>
      <c r="E22" s="33">
        <v>5.2030000000000003</v>
      </c>
      <c r="F22" s="33">
        <v>5.2270000000000003</v>
      </c>
      <c r="G22" s="33">
        <v>5.2279999999999998</v>
      </c>
      <c r="H22" s="33">
        <v>5.2720000000000002</v>
      </c>
      <c r="I22" s="33">
        <v>5.55</v>
      </c>
      <c r="J22" s="33">
        <v>5.806</v>
      </c>
      <c r="K22" s="33">
        <v>5.8680000000000003</v>
      </c>
      <c r="L22" s="33">
        <f>ROUND(5802/1000,3)</f>
        <v>5.8019999999999996</v>
      </c>
      <c r="M22" s="33">
        <f>ROUND(6.761,3)</f>
        <v>6.7610000000000001</v>
      </c>
      <c r="N22" s="33">
        <f>ROUND(8.132,3)</f>
        <v>8.1319999999999997</v>
      </c>
      <c r="O22" s="33">
        <v>10.526999999999999</v>
      </c>
      <c r="P22" s="33">
        <v>12.138999999999999</v>
      </c>
      <c r="Q22" s="33">
        <v>13.103</v>
      </c>
      <c r="R22" s="33">
        <v>16.135000000000002</v>
      </c>
      <c r="S22" s="33">
        <v>18.216999999999999</v>
      </c>
      <c r="T22" s="33">
        <v>21.053999999999998</v>
      </c>
      <c r="U22" s="33">
        <v>19.175000000000001</v>
      </c>
      <c r="V22" s="33">
        <v>22.863</v>
      </c>
      <c r="W22" s="33">
        <v>23.966000000000001</v>
      </c>
      <c r="X22" s="33">
        <v>24.721496000000002</v>
      </c>
      <c r="Y22" s="33">
        <v>31.677</v>
      </c>
      <c r="Z22" s="33">
        <v>34.540999999999997</v>
      </c>
      <c r="AA22" s="33">
        <v>40.298000000000002</v>
      </c>
      <c r="AB22" s="33">
        <v>44.335000000000001</v>
      </c>
      <c r="AC22" s="33">
        <v>41.608000000000004</v>
      </c>
      <c r="AD22" s="33">
        <v>44.475999999999999</v>
      </c>
      <c r="AE22" s="33">
        <v>45.266999999999996</v>
      </c>
      <c r="AF22" s="33">
        <v>45.417000000000002</v>
      </c>
      <c r="AG22" s="33">
        <v>45.096000000000004</v>
      </c>
      <c r="AH22" s="33">
        <v>42.252734000000004</v>
      </c>
      <c r="AI22" s="33">
        <v>44.355497999999997</v>
      </c>
      <c r="AJ22" s="34" t="s">
        <v>37</v>
      </c>
      <c r="AK22" s="33" t="s">
        <v>37</v>
      </c>
      <c r="AL22" s="33" t="s">
        <v>37</v>
      </c>
      <c r="AM22" s="33" t="s">
        <v>37</v>
      </c>
      <c r="AN22" s="33" t="s">
        <v>37</v>
      </c>
      <c r="AO22" s="33" t="s">
        <v>37</v>
      </c>
      <c r="AP22" s="33" t="s">
        <v>37</v>
      </c>
      <c r="AQ22" s="33" t="s">
        <v>37</v>
      </c>
      <c r="AR22" s="33" t="s">
        <v>37</v>
      </c>
      <c r="AS22" s="33" t="s">
        <v>37</v>
      </c>
      <c r="AT22" s="33" t="s">
        <v>37</v>
      </c>
      <c r="AU22" s="33" t="s">
        <v>37</v>
      </c>
      <c r="AV22" s="33" t="s">
        <v>37</v>
      </c>
      <c r="AW22" s="33" t="s">
        <v>37</v>
      </c>
      <c r="AX22" s="33" t="s">
        <v>37</v>
      </c>
      <c r="AY22" s="33" t="s">
        <v>37</v>
      </c>
      <c r="AZ22" s="33" t="s">
        <v>37</v>
      </c>
      <c r="BA22" s="33" t="s">
        <v>37</v>
      </c>
      <c r="BB22" s="33" t="s">
        <v>37</v>
      </c>
      <c r="BC22" s="33" t="s">
        <v>37</v>
      </c>
      <c r="BD22" s="33" t="s">
        <v>37</v>
      </c>
      <c r="BE22" s="33" t="s">
        <v>37</v>
      </c>
      <c r="BF22" s="33" t="s">
        <v>37</v>
      </c>
      <c r="BG22" s="33" t="s">
        <v>37</v>
      </c>
      <c r="BH22" s="33" t="s">
        <v>37</v>
      </c>
      <c r="BI22" s="33" t="s">
        <v>37</v>
      </c>
      <c r="BJ22" s="33" t="s">
        <v>45</v>
      </c>
      <c r="BK22" s="33" t="s">
        <v>45</v>
      </c>
      <c r="BL22" s="33" t="s">
        <v>45</v>
      </c>
      <c r="BM22" s="33" t="s">
        <v>45</v>
      </c>
      <c r="BN22" s="33" t="s">
        <v>45</v>
      </c>
      <c r="BO22" s="264" t="s">
        <v>45</v>
      </c>
      <c r="BP22" s="33" t="s">
        <v>45</v>
      </c>
      <c r="BQ22" s="33" t="s">
        <v>45</v>
      </c>
      <c r="BR22" s="34" t="s">
        <v>37</v>
      </c>
      <c r="BS22" s="33" t="s">
        <v>37</v>
      </c>
      <c r="BT22" s="33" t="s">
        <v>37</v>
      </c>
      <c r="BU22" s="33" t="s">
        <v>37</v>
      </c>
      <c r="BV22" s="33" t="s">
        <v>37</v>
      </c>
      <c r="BW22" s="33" t="s">
        <v>37</v>
      </c>
      <c r="BX22" s="33" t="s">
        <v>37</v>
      </c>
      <c r="BY22" s="33" t="s">
        <v>45</v>
      </c>
      <c r="BZ22" s="33" t="s">
        <v>45</v>
      </c>
      <c r="CA22" s="33" t="s">
        <v>45</v>
      </c>
      <c r="CB22" s="33" t="s">
        <v>45</v>
      </c>
      <c r="CC22" s="33" t="s">
        <v>45</v>
      </c>
      <c r="CD22" s="264" t="s">
        <v>45</v>
      </c>
      <c r="CE22" s="33" t="s">
        <v>45</v>
      </c>
      <c r="CF22" s="33" t="s">
        <v>45</v>
      </c>
      <c r="CG22" s="35">
        <f t="shared" si="16"/>
        <v>4.3890000000000002</v>
      </c>
      <c r="CH22" s="36">
        <f t="shared" si="17"/>
        <v>4.8769999999999998</v>
      </c>
      <c r="CI22" s="36">
        <f t="shared" si="18"/>
        <v>5.2270000000000003</v>
      </c>
      <c r="CJ22" s="36">
        <f t="shared" si="19"/>
        <v>5.2030000000000003</v>
      </c>
      <c r="CK22" s="36">
        <f t="shared" si="20"/>
        <v>5.2270000000000003</v>
      </c>
      <c r="CL22" s="36">
        <f t="shared" si="21"/>
        <v>5.2279999999999998</v>
      </c>
      <c r="CM22" s="36">
        <f t="shared" si="22"/>
        <v>5.2720000000000002</v>
      </c>
      <c r="CN22" s="36">
        <f t="shared" si="23"/>
        <v>5.55</v>
      </c>
      <c r="CO22" s="36">
        <f t="shared" si="24"/>
        <v>5.806</v>
      </c>
      <c r="CP22" s="36">
        <f t="shared" si="25"/>
        <v>5.8680000000000003</v>
      </c>
      <c r="CQ22" s="36">
        <f t="shared" si="26"/>
        <v>5.8019999999999996</v>
      </c>
      <c r="CR22" s="36">
        <f t="shared" si="27"/>
        <v>6.7610000000000001</v>
      </c>
      <c r="CS22" s="36">
        <f t="shared" si="28"/>
        <v>8.1319999999999997</v>
      </c>
      <c r="CT22" s="36">
        <f t="shared" si="29"/>
        <v>10.526999999999999</v>
      </c>
      <c r="CU22" s="36">
        <f t="shared" si="30"/>
        <v>12.138999999999999</v>
      </c>
      <c r="CV22" s="36">
        <f t="shared" si="31"/>
        <v>13.103</v>
      </c>
      <c r="CW22" s="36">
        <f t="shared" si="32"/>
        <v>16.135000000000002</v>
      </c>
      <c r="CX22" s="36">
        <f t="shared" si="33"/>
        <v>18.216999999999999</v>
      </c>
      <c r="CY22" s="36">
        <f t="shared" si="34"/>
        <v>21.053999999999998</v>
      </c>
      <c r="CZ22" s="36">
        <f t="shared" si="49"/>
        <v>19.175000000000001</v>
      </c>
      <c r="DA22" s="36">
        <f t="shared" si="51"/>
        <v>22.863</v>
      </c>
      <c r="DB22" s="36">
        <f t="shared" si="50"/>
        <v>23.966000000000001</v>
      </c>
      <c r="DC22" s="36">
        <f t="shared" si="50"/>
        <v>24.721496000000002</v>
      </c>
      <c r="DD22" s="36">
        <f t="shared" si="50"/>
        <v>31.677</v>
      </c>
      <c r="DE22" s="36">
        <f t="shared" si="50"/>
        <v>34.540999999999997</v>
      </c>
      <c r="DF22" s="36">
        <f t="shared" si="50"/>
        <v>40.298000000000002</v>
      </c>
      <c r="DG22" s="36">
        <f t="shared" si="50"/>
        <v>44.335000000000001</v>
      </c>
      <c r="DH22" s="36">
        <f t="shared" si="50"/>
        <v>41.608000000000004</v>
      </c>
      <c r="DI22" s="36">
        <f t="shared" si="50"/>
        <v>44.475999999999999</v>
      </c>
      <c r="DJ22" s="36">
        <f t="shared" si="50"/>
        <v>45.266999999999996</v>
      </c>
      <c r="DK22" s="36">
        <f t="shared" si="50"/>
        <v>45.417000000000002</v>
      </c>
      <c r="DL22" s="36">
        <f t="shared" si="50"/>
        <v>45.096000000000004</v>
      </c>
      <c r="DM22" s="36">
        <f t="shared" si="50"/>
        <v>42.252734000000004</v>
      </c>
      <c r="DN22" s="36">
        <f t="shared" si="50"/>
        <v>44.355497999999997</v>
      </c>
      <c r="EO22" s="22"/>
      <c r="EP22" s="22"/>
      <c r="EQ22" s="22"/>
      <c r="ER22" s="22"/>
      <c r="ES22" s="22"/>
    </row>
    <row r="23" spans="1:149">
      <c r="A23" s="7" t="s">
        <v>54</v>
      </c>
      <c r="B23" s="37">
        <f>SUM(B25:B37)</f>
        <v>118.779</v>
      </c>
      <c r="C23" s="37">
        <f t="shared" ref="C23:CI23" si="52">SUM(C25:C37)</f>
        <v>133.78200000000001</v>
      </c>
      <c r="D23" s="37">
        <f t="shared" si="52"/>
        <v>156.196</v>
      </c>
      <c r="E23" s="37">
        <f t="shared" si="52"/>
        <v>168.15299999999996</v>
      </c>
      <c r="F23" s="37">
        <f t="shared" si="52"/>
        <v>175.50100000000003</v>
      </c>
      <c r="G23" s="37">
        <f t="shared" si="52"/>
        <v>185.70400000000004</v>
      </c>
      <c r="H23" s="37">
        <f t="shared" si="52"/>
        <v>204.87500000000003</v>
      </c>
      <c r="I23" s="37">
        <f t="shared" si="52"/>
        <v>219.16600000000003</v>
      </c>
      <c r="J23" s="37">
        <f t="shared" si="52"/>
        <v>228.09600000000003</v>
      </c>
      <c r="K23" s="37">
        <f t="shared" si="52"/>
        <v>216.97300000000001</v>
      </c>
      <c r="L23" s="37">
        <f t="shared" si="52"/>
        <v>300.67199999999997</v>
      </c>
      <c r="M23" s="37">
        <f t="shared" si="52"/>
        <v>338.88700000000006</v>
      </c>
      <c r="N23" s="37">
        <f t="shared" si="52"/>
        <v>349.89800000000002</v>
      </c>
      <c r="O23" s="37">
        <f t="shared" si="52"/>
        <v>384.33700000000005</v>
      </c>
      <c r="P23" s="37">
        <f t="shared" si="52"/>
        <v>429.03399999999993</v>
      </c>
      <c r="Q23" s="37">
        <f t="shared" si="52"/>
        <v>492.4009999999999</v>
      </c>
      <c r="R23" s="37">
        <f t="shared" si="52"/>
        <v>536.81700000000001</v>
      </c>
      <c r="S23" s="37">
        <f t="shared" si="52"/>
        <v>647.25700000000006</v>
      </c>
      <c r="T23" s="37">
        <f t="shared" si="52"/>
        <v>1380.7679999999998</v>
      </c>
      <c r="U23" s="37">
        <f t="shared" si="52"/>
        <v>747.85849999999971</v>
      </c>
      <c r="V23" s="37">
        <f t="shared" si="52"/>
        <v>870.95299999999997</v>
      </c>
      <c r="W23" s="37">
        <f t="shared" si="52"/>
        <v>969.48</v>
      </c>
      <c r="X23" s="37">
        <f t="shared" si="52"/>
        <v>1053.672679</v>
      </c>
      <c r="Y23" s="37">
        <f t="shared" si="52"/>
        <v>1098.83</v>
      </c>
      <c r="Z23" s="37">
        <f t="shared" si="52"/>
        <v>1180.248</v>
      </c>
      <c r="AA23" s="37">
        <f t="shared" si="52"/>
        <v>1311.6179999999999</v>
      </c>
      <c r="AB23" s="37">
        <f t="shared" si="52"/>
        <v>1495.8069999999998</v>
      </c>
      <c r="AC23" s="37">
        <f t="shared" si="52"/>
        <v>1673.692</v>
      </c>
      <c r="AD23" s="37">
        <f t="shared" si="52"/>
        <v>1979.0539999999994</v>
      </c>
      <c r="AE23" s="37">
        <f t="shared" si="52"/>
        <v>2063.77</v>
      </c>
      <c r="AF23" s="37">
        <f t="shared" si="52"/>
        <v>2241.6799999999998</v>
      </c>
      <c r="AG23" s="37">
        <f>SUM(AG25:AG37)</f>
        <v>2476.4070000000006</v>
      </c>
      <c r="AH23" s="37">
        <f>SUM(AH25:AH37)</f>
        <v>2518.0001670000001</v>
      </c>
      <c r="AI23" s="37">
        <f>SUM(AI25:AI37)</f>
        <v>2614.5032090000004</v>
      </c>
      <c r="AJ23" s="38">
        <f t="shared" si="52"/>
        <v>4.6639999999999997</v>
      </c>
      <c r="AK23" s="37">
        <f t="shared" si="52"/>
        <v>11.994</v>
      </c>
      <c r="AL23" s="37">
        <f t="shared" si="52"/>
        <v>4.8686666666666669</v>
      </c>
      <c r="AM23" s="37">
        <f t="shared" si="52"/>
        <v>4.5543333333333331</v>
      </c>
      <c r="AN23" s="37">
        <f t="shared" si="52"/>
        <v>4.4489999999999998</v>
      </c>
      <c r="AO23" s="37">
        <f t="shared" si="52"/>
        <v>4.5579999999999998</v>
      </c>
      <c r="AP23" s="37">
        <f t="shared" si="52"/>
        <v>4.38</v>
      </c>
      <c r="AQ23" s="37">
        <f t="shared" si="52"/>
        <v>4.8310000000000004</v>
      </c>
      <c r="AR23" s="37">
        <f t="shared" si="52"/>
        <v>4.7749999999999995</v>
      </c>
      <c r="AS23" s="37">
        <f t="shared" si="52"/>
        <v>4.1049999999999995</v>
      </c>
      <c r="AT23" s="37">
        <f t="shared" si="52"/>
        <v>3.9780000000000002</v>
      </c>
      <c r="AU23" s="37">
        <f t="shared" si="52"/>
        <v>4.3315000000000001</v>
      </c>
      <c r="AV23" s="37">
        <f t="shared" si="52"/>
        <v>3.7308000000000003</v>
      </c>
      <c r="AW23" s="37">
        <f t="shared" si="52"/>
        <v>4.7619999999999996</v>
      </c>
      <c r="AX23" s="37">
        <f t="shared" si="52"/>
        <v>5.5640000000000009</v>
      </c>
      <c r="AY23" s="37">
        <f t="shared" si="52"/>
        <v>4.0740000000000007</v>
      </c>
      <c r="AZ23" s="37">
        <f t="shared" si="52"/>
        <v>2.7388000000000003</v>
      </c>
      <c r="BA23" s="37">
        <f t="shared" si="52"/>
        <v>2.8369999999999997</v>
      </c>
      <c r="BB23" s="37">
        <f t="shared" si="52"/>
        <v>6.4377500000000003</v>
      </c>
      <c r="BC23" s="37">
        <f t="shared" si="52"/>
        <v>4.325499999999999</v>
      </c>
      <c r="BD23" s="37">
        <f t="shared" si="52"/>
        <v>4.1818499999999998</v>
      </c>
      <c r="BE23" s="37">
        <f t="shared" si="52"/>
        <v>3.4811999999999994</v>
      </c>
      <c r="BF23" s="37">
        <f t="shared" si="52"/>
        <v>5.9162079999999992</v>
      </c>
      <c r="BG23" s="37">
        <f t="shared" si="52"/>
        <v>6.6449999999999987</v>
      </c>
      <c r="BH23" s="37">
        <f t="shared" si="52"/>
        <v>9.6089999999999982</v>
      </c>
      <c r="BI23" s="37">
        <f t="shared" si="52"/>
        <v>11.191000000000001</v>
      </c>
      <c r="BJ23" s="37">
        <f t="shared" si="52"/>
        <v>12.648999999999999</v>
      </c>
      <c r="BK23" s="37">
        <f t="shared" si="52"/>
        <v>12.301</v>
      </c>
      <c r="BL23" s="37">
        <f t="shared" si="52"/>
        <v>12.647</v>
      </c>
      <c r="BM23" s="37">
        <f t="shared" si="52"/>
        <v>12.383000000000001</v>
      </c>
      <c r="BN23" s="37">
        <f t="shared" si="52"/>
        <v>6.665</v>
      </c>
      <c r="BO23" s="37">
        <f t="shared" si="52"/>
        <v>8.8970000000000002</v>
      </c>
      <c r="BP23" s="37">
        <f t="shared" ref="BP23:BQ23" si="53">SUM(BP25:BP37)</f>
        <v>9.9626249999999992</v>
      </c>
      <c r="BQ23" s="37">
        <f t="shared" si="53"/>
        <v>9.8357740000000007</v>
      </c>
      <c r="BR23" s="38">
        <f t="shared" si="52"/>
        <v>21.254999999999999</v>
      </c>
      <c r="BS23" s="37">
        <f t="shared" si="52"/>
        <v>21.000499999999999</v>
      </c>
      <c r="BT23" s="37">
        <f t="shared" si="52"/>
        <v>0.97599999999999998</v>
      </c>
      <c r="BU23" s="37">
        <f t="shared" si="52"/>
        <v>1.223776</v>
      </c>
      <c r="BV23" s="37">
        <f t="shared" si="52"/>
        <v>2.4569999999999999</v>
      </c>
      <c r="BW23" s="37">
        <f t="shared" si="52"/>
        <v>1.2250000000000001</v>
      </c>
      <c r="BX23" s="37">
        <f t="shared" si="52"/>
        <v>0.44999999999999996</v>
      </c>
      <c r="BY23" s="37">
        <f t="shared" si="52"/>
        <v>13.622</v>
      </c>
      <c r="BZ23" s="37">
        <f t="shared" si="52"/>
        <v>14.965</v>
      </c>
      <c r="CA23" s="37">
        <f t="shared" si="52"/>
        <v>15.487</v>
      </c>
      <c r="CB23" s="37">
        <f>IF(SUM(CB25:CB37)&gt;0, SUM(CB25:CB37), NA)</f>
        <v>15.47</v>
      </c>
      <c r="CC23" s="37" t="str">
        <f>IF(SUM(CC25:CC37)&gt;0, SUM(CC25:CC37), "—")</f>
        <v>—</v>
      </c>
      <c r="CD23" s="37" t="str">
        <f>IF(SUM(CD25:CD37)&gt;0, SUM(CD25:CD37), "—")</f>
        <v>—</v>
      </c>
      <c r="CE23" s="37">
        <f>IF(SUM(CE25:CE37)&gt;0, SUM(CE25:CE37), "—")</f>
        <v>16.265561000000002</v>
      </c>
      <c r="CF23" s="37">
        <f>IF(SUM(CF25:CF37)&gt;0, SUM(CF25:CF37), "—")</f>
        <v>17.500869000000002</v>
      </c>
      <c r="CG23" s="39">
        <f t="shared" si="52"/>
        <v>123.44300000000001</v>
      </c>
      <c r="CH23" s="40">
        <f t="shared" si="52"/>
        <v>145.77600000000001</v>
      </c>
      <c r="CI23" s="40">
        <f t="shared" si="52"/>
        <v>161.06466666666668</v>
      </c>
      <c r="CJ23" s="40">
        <f t="shared" ref="CJ23:DG23" si="54">SUM(CJ25:CJ37)</f>
        <v>172.70733333333334</v>
      </c>
      <c r="CK23" s="40">
        <f t="shared" si="54"/>
        <v>179.95000000000005</v>
      </c>
      <c r="CL23" s="40">
        <f t="shared" si="54"/>
        <v>190.26199999999997</v>
      </c>
      <c r="CM23" s="40">
        <f t="shared" si="54"/>
        <v>209.25500000000008</v>
      </c>
      <c r="CN23" s="40">
        <f t="shared" si="54"/>
        <v>223.99700000000004</v>
      </c>
      <c r="CO23" s="40">
        <f t="shared" si="54"/>
        <v>232.87100000000004</v>
      </c>
      <c r="CP23" s="40">
        <f t="shared" si="54"/>
        <v>221.07800000000003</v>
      </c>
      <c r="CQ23" s="40">
        <f t="shared" si="54"/>
        <v>304.64999999999998</v>
      </c>
      <c r="CR23" s="40">
        <f t="shared" si="54"/>
        <v>343.21850000000012</v>
      </c>
      <c r="CS23" s="40">
        <f t="shared" si="54"/>
        <v>353.62880000000007</v>
      </c>
      <c r="CT23" s="40">
        <f t="shared" si="54"/>
        <v>389.09900000000005</v>
      </c>
      <c r="CU23" s="40">
        <f t="shared" si="54"/>
        <v>434.5979999999999</v>
      </c>
      <c r="CV23" s="40">
        <f t="shared" si="54"/>
        <v>496.47500000000002</v>
      </c>
      <c r="CW23" s="40">
        <f t="shared" si="54"/>
        <v>539.55579999999998</v>
      </c>
      <c r="CX23" s="40">
        <f t="shared" si="54"/>
        <v>650.09400000000005</v>
      </c>
      <c r="CY23" s="40">
        <f t="shared" si="54"/>
        <v>1387.2057500000001</v>
      </c>
      <c r="CZ23" s="40">
        <f t="shared" si="54"/>
        <v>773.43899999999985</v>
      </c>
      <c r="DA23" s="40">
        <f t="shared" si="54"/>
        <v>896.13535000000013</v>
      </c>
      <c r="DB23" s="40">
        <f t="shared" si="54"/>
        <v>973.93719999999996</v>
      </c>
      <c r="DC23" s="40">
        <f t="shared" si="54"/>
        <v>1060.8126630000002</v>
      </c>
      <c r="DD23" s="40">
        <f t="shared" si="54"/>
        <v>1107.932</v>
      </c>
      <c r="DE23" s="40">
        <f t="shared" si="54"/>
        <v>1191.0820000000001</v>
      </c>
      <c r="DF23" s="40">
        <f t="shared" si="54"/>
        <v>1323.259</v>
      </c>
      <c r="DG23" s="40">
        <f t="shared" si="54"/>
        <v>1522.0780000000002</v>
      </c>
      <c r="DH23" s="40">
        <f>SUM(DH25:DH37)</f>
        <v>1700.9579999999999</v>
      </c>
      <c r="DI23" s="40">
        <f>SUM(DI25:DI37)</f>
        <v>2007.1879999999999</v>
      </c>
      <c r="DJ23" s="40">
        <f t="shared" ref="DJ23:DK23" si="55">SUM(DJ25:DJ37)</f>
        <v>2091.623</v>
      </c>
      <c r="DK23" s="40">
        <f t="shared" si="55"/>
        <v>2248.3449999999998</v>
      </c>
      <c r="DL23" s="40">
        <f t="shared" ref="DL23" si="56">SUM(DL25:DL37)</f>
        <v>2485.3040000000001</v>
      </c>
      <c r="DM23" s="40">
        <f t="shared" ref="DM23" si="57">SUM(DM25:DM37)</f>
        <v>2544.228353</v>
      </c>
      <c r="DN23" s="40">
        <f t="shared" ref="DN23" si="58">SUM(DN25:DN37)</f>
        <v>2641.839852000001</v>
      </c>
    </row>
    <row r="24" spans="1:149">
      <c r="A24" s="7" t="s">
        <v>35</v>
      </c>
      <c r="AJ24" s="28"/>
      <c r="BR24" s="28"/>
      <c r="CG24" s="29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</row>
    <row r="25" spans="1:149">
      <c r="A25" s="23" t="s">
        <v>55</v>
      </c>
      <c r="B25" s="30">
        <v>0.191</v>
      </c>
      <c r="C25" s="30">
        <v>0.24099999999999999</v>
      </c>
      <c r="D25" s="30">
        <v>0.24099999999999999</v>
      </c>
      <c r="E25" s="30">
        <v>0.24099999999999999</v>
      </c>
      <c r="F25" s="30">
        <v>0.24</v>
      </c>
      <c r="G25" s="30">
        <v>0.23</v>
      </c>
      <c r="H25" s="30">
        <v>0.22800000000000001</v>
      </c>
      <c r="I25" s="30">
        <v>0.46400000000000002</v>
      </c>
      <c r="J25" s="30">
        <v>0.47099999999999997</v>
      </c>
      <c r="K25" s="30">
        <v>0.47</v>
      </c>
      <c r="L25" s="30">
        <v>0.45400000000000001</v>
      </c>
      <c r="M25" s="30">
        <v>0.44400000000000001</v>
      </c>
      <c r="N25" s="30">
        <v>0.43</v>
      </c>
      <c r="O25" s="30">
        <v>0.21299999999999999</v>
      </c>
      <c r="P25" s="30">
        <v>0.24399999999999999</v>
      </c>
      <c r="Q25" s="30" t="s">
        <v>37</v>
      </c>
      <c r="R25" s="30" t="s">
        <v>37</v>
      </c>
      <c r="S25" s="30" t="s">
        <v>37</v>
      </c>
      <c r="T25" s="30" t="s">
        <v>37</v>
      </c>
      <c r="U25" s="30" t="s">
        <v>37</v>
      </c>
      <c r="V25" s="30" t="s">
        <v>37</v>
      </c>
      <c r="W25" s="30" t="s">
        <v>37</v>
      </c>
      <c r="X25" s="30">
        <v>0.50197199999999997</v>
      </c>
      <c r="Y25" s="30">
        <v>0.58699999999999997</v>
      </c>
      <c r="Z25" s="30">
        <v>0.67</v>
      </c>
      <c r="AA25" s="30">
        <v>1.9770000000000001</v>
      </c>
      <c r="AB25" s="30">
        <v>0.85599999999999998</v>
      </c>
      <c r="AC25" s="30">
        <v>1.514</v>
      </c>
      <c r="AD25" s="30">
        <v>2.8290000000000002</v>
      </c>
      <c r="AE25" s="30">
        <v>3.9449999999999998</v>
      </c>
      <c r="AF25" s="30">
        <v>3.89</v>
      </c>
      <c r="AG25" s="30">
        <v>5.48</v>
      </c>
      <c r="AH25" s="30">
        <v>5.2866669999999996</v>
      </c>
      <c r="AI25" s="30">
        <v>5.7295970000000001</v>
      </c>
      <c r="AJ25" s="31" t="s">
        <v>37</v>
      </c>
      <c r="AK25" s="30" t="s">
        <v>37</v>
      </c>
      <c r="AL25" s="30" t="s">
        <v>37</v>
      </c>
      <c r="AM25" s="30" t="s">
        <v>37</v>
      </c>
      <c r="AN25" s="30" t="s">
        <v>37</v>
      </c>
      <c r="AO25" s="30" t="s">
        <v>37</v>
      </c>
      <c r="AP25" s="30" t="s">
        <v>37</v>
      </c>
      <c r="AQ25" s="30" t="s">
        <v>37</v>
      </c>
      <c r="AR25" s="30" t="s">
        <v>37</v>
      </c>
      <c r="AS25" s="30" t="s">
        <v>37</v>
      </c>
      <c r="AT25" s="30" t="s">
        <v>37</v>
      </c>
      <c r="AU25" s="30" t="s">
        <v>37</v>
      </c>
      <c r="AV25" s="30" t="s">
        <v>37</v>
      </c>
      <c r="AW25" s="30" t="s">
        <v>37</v>
      </c>
      <c r="AX25" s="30" t="s">
        <v>37</v>
      </c>
      <c r="AY25" s="30" t="s">
        <v>37</v>
      </c>
      <c r="AZ25" s="30" t="s">
        <v>37</v>
      </c>
      <c r="BA25" s="30" t="s">
        <v>37</v>
      </c>
      <c r="BB25" s="30" t="s">
        <v>37</v>
      </c>
      <c r="BC25" s="30" t="s">
        <v>37</v>
      </c>
      <c r="BD25" s="30" t="s">
        <v>37</v>
      </c>
      <c r="BE25" s="30" t="s">
        <v>37</v>
      </c>
      <c r="BF25" s="30" t="s">
        <v>37</v>
      </c>
      <c r="BG25" s="30" t="s">
        <v>37</v>
      </c>
      <c r="BH25" s="30" t="s">
        <v>37</v>
      </c>
      <c r="BI25" s="30" t="s">
        <v>37</v>
      </c>
      <c r="BJ25" s="30" t="s">
        <v>45</v>
      </c>
      <c r="BK25" s="30" t="s">
        <v>45</v>
      </c>
      <c r="BL25" s="30" t="s">
        <v>45</v>
      </c>
      <c r="BM25" s="30" t="s">
        <v>45</v>
      </c>
      <c r="BN25" s="30" t="s">
        <v>45</v>
      </c>
      <c r="BO25" s="30" t="s">
        <v>45</v>
      </c>
      <c r="BP25" s="30" t="s">
        <v>45</v>
      </c>
      <c r="BQ25" s="30" t="s">
        <v>45</v>
      </c>
      <c r="BR25" s="31" t="s">
        <v>37</v>
      </c>
      <c r="BS25" s="30" t="s">
        <v>37</v>
      </c>
      <c r="BT25" s="30" t="s">
        <v>37</v>
      </c>
      <c r="BU25" s="30" t="s">
        <v>37</v>
      </c>
      <c r="BV25" s="30" t="s">
        <v>37</v>
      </c>
      <c r="BW25" s="30" t="s">
        <v>37</v>
      </c>
      <c r="BX25" s="30" t="s">
        <v>37</v>
      </c>
      <c r="BY25" s="30" t="s">
        <v>45</v>
      </c>
      <c r="BZ25" s="30" t="s">
        <v>45</v>
      </c>
      <c r="CA25" s="30" t="s">
        <v>45</v>
      </c>
      <c r="CB25" s="30" t="s">
        <v>45</v>
      </c>
      <c r="CC25" s="30" t="s">
        <v>45</v>
      </c>
      <c r="CD25" s="30" t="s">
        <v>45</v>
      </c>
      <c r="CE25" s="30" t="s">
        <v>45</v>
      </c>
      <c r="CF25" s="30" t="s">
        <v>45</v>
      </c>
      <c r="CG25" s="26">
        <f t="shared" ref="CG25:DB25" si="59">SUM(B25,AJ25)</f>
        <v>0.191</v>
      </c>
      <c r="CH25" s="27">
        <f t="shared" si="59"/>
        <v>0.24099999999999999</v>
      </c>
      <c r="CI25" s="27">
        <f t="shared" si="59"/>
        <v>0.24099999999999999</v>
      </c>
      <c r="CJ25" s="27">
        <f t="shared" si="59"/>
        <v>0.24099999999999999</v>
      </c>
      <c r="CK25" s="27">
        <f t="shared" si="59"/>
        <v>0.24</v>
      </c>
      <c r="CL25" s="27">
        <f t="shared" si="59"/>
        <v>0.23</v>
      </c>
      <c r="CM25" s="27">
        <f t="shared" si="59"/>
        <v>0.22800000000000001</v>
      </c>
      <c r="CN25" s="27">
        <f t="shared" si="59"/>
        <v>0.46400000000000002</v>
      </c>
      <c r="CO25" s="27">
        <f t="shared" si="59"/>
        <v>0.47099999999999997</v>
      </c>
      <c r="CP25" s="27">
        <f t="shared" si="59"/>
        <v>0.47</v>
      </c>
      <c r="CQ25" s="27">
        <f t="shared" si="59"/>
        <v>0.45400000000000001</v>
      </c>
      <c r="CR25" s="27">
        <f t="shared" si="59"/>
        <v>0.44400000000000001</v>
      </c>
      <c r="CS25" s="27">
        <f t="shared" si="59"/>
        <v>0.43</v>
      </c>
      <c r="CT25" s="27">
        <f t="shared" si="59"/>
        <v>0.21299999999999999</v>
      </c>
      <c r="CU25" s="27">
        <f t="shared" si="59"/>
        <v>0.24399999999999999</v>
      </c>
      <c r="CV25" s="27">
        <f t="shared" si="59"/>
        <v>0</v>
      </c>
      <c r="CW25" s="27">
        <f t="shared" si="59"/>
        <v>0</v>
      </c>
      <c r="CX25" s="27">
        <f t="shared" si="59"/>
        <v>0</v>
      </c>
      <c r="CY25" s="27">
        <f t="shared" si="59"/>
        <v>0</v>
      </c>
      <c r="CZ25" s="27">
        <f t="shared" si="59"/>
        <v>0</v>
      </c>
      <c r="DA25" s="27">
        <f t="shared" si="59"/>
        <v>0</v>
      </c>
      <c r="DB25" s="27">
        <f t="shared" si="59"/>
        <v>0</v>
      </c>
      <c r="DC25" s="27">
        <f t="shared" ref="DC25:DC37" si="60">SUM(X25,BF25,BU25)</f>
        <v>0.50197199999999997</v>
      </c>
      <c r="DD25" s="27">
        <f t="shared" ref="DD25:DD37" si="61">SUM(Y25,BG25,BV25)</f>
        <v>0.58699999999999997</v>
      </c>
      <c r="DE25" s="27">
        <f t="shared" ref="DE25:DE37" si="62">SUM(Z25,BH25,BW25)</f>
        <v>0.67</v>
      </c>
      <c r="DF25" s="27">
        <f t="shared" ref="DF25:DF37" si="63">SUM(AA25,BI25,BX25)</f>
        <v>1.9770000000000001</v>
      </c>
      <c r="DG25" s="27">
        <f t="shared" ref="DG25:DG37" si="64">SUM(AB25,BJ25,BY25)</f>
        <v>0.85599999999999998</v>
      </c>
      <c r="DH25" s="27">
        <f t="shared" ref="DH25:DH37" si="65">SUM(AC25,BK25,BZ25)</f>
        <v>1.514</v>
      </c>
      <c r="DI25" s="27">
        <f t="shared" ref="DI25:DI37" si="66">SUM(AD25,BL25,CA25)</f>
        <v>2.8290000000000002</v>
      </c>
      <c r="DJ25" s="27">
        <f t="shared" ref="DJ25:DJ37" si="67">SUM(AE25,BM25,CB25)</f>
        <v>3.9449999999999998</v>
      </c>
      <c r="DK25" s="27">
        <f t="shared" ref="DK25:DK37" si="68">SUM(AF25,BN25,CC25)</f>
        <v>3.89</v>
      </c>
      <c r="DL25" s="27">
        <f t="shared" ref="DL25:DL37" si="69">SUM(AG25,BO25,CD25)</f>
        <v>5.48</v>
      </c>
      <c r="DM25" s="27">
        <f t="shared" ref="DM25:DN37" si="70">SUM(AH25,BP25,CE25)</f>
        <v>5.2866669999999996</v>
      </c>
      <c r="DN25" s="27">
        <f t="shared" si="70"/>
        <v>5.7295970000000001</v>
      </c>
      <c r="EO25" s="22"/>
      <c r="EP25" s="22"/>
      <c r="EQ25" s="22"/>
      <c r="ER25" s="22"/>
      <c r="ES25" s="22"/>
    </row>
    <row r="26" spans="1:149">
      <c r="A26" s="23" t="s">
        <v>56</v>
      </c>
      <c r="B26" s="30">
        <v>2.0419999999999998</v>
      </c>
      <c r="C26" s="30">
        <v>2.5760000000000001</v>
      </c>
      <c r="D26" s="30">
        <v>2.5779999999999998</v>
      </c>
      <c r="E26" s="30">
        <v>2.3759999999999999</v>
      </c>
      <c r="F26" s="30">
        <v>3.2440000000000002</v>
      </c>
      <c r="G26" s="30">
        <v>3.508</v>
      </c>
      <c r="H26" s="30">
        <v>3.383</v>
      </c>
      <c r="I26" s="30">
        <v>3.41</v>
      </c>
      <c r="J26" s="30">
        <v>3.3109999999999999</v>
      </c>
      <c r="K26" s="30">
        <v>2.4369999999999998</v>
      </c>
      <c r="L26" s="30">
        <v>3.476</v>
      </c>
      <c r="M26" s="30">
        <v>3.4820000000000002</v>
      </c>
      <c r="N26" s="30">
        <v>2.2909999999999999</v>
      </c>
      <c r="O26" s="30">
        <v>2.7480000000000002</v>
      </c>
      <c r="P26" s="30">
        <v>3.161</v>
      </c>
      <c r="Q26" s="30">
        <v>2.7309999999999999</v>
      </c>
      <c r="R26" s="30">
        <v>2.7269999999999999</v>
      </c>
      <c r="S26" s="30">
        <v>2.99</v>
      </c>
      <c r="T26" s="30">
        <v>2.8119999999999998</v>
      </c>
      <c r="U26" s="30">
        <v>2.79</v>
      </c>
      <c r="V26" s="30">
        <v>2.8650000000000002</v>
      </c>
      <c r="W26" s="30">
        <v>2.9540000000000002</v>
      </c>
      <c r="X26" s="30">
        <v>2.7983720000000001</v>
      </c>
      <c r="Y26" s="30">
        <v>13.231</v>
      </c>
      <c r="Z26" s="30">
        <v>12.16</v>
      </c>
      <c r="AA26" s="30">
        <v>20.587</v>
      </c>
      <c r="AB26" s="30">
        <v>18.161000000000001</v>
      </c>
      <c r="AC26" s="30">
        <v>19.882000000000001</v>
      </c>
      <c r="AD26" s="30">
        <v>15.858000000000001</v>
      </c>
      <c r="AE26" s="30">
        <v>21.429000000000002</v>
      </c>
      <c r="AF26" s="30">
        <v>21.347000000000001</v>
      </c>
      <c r="AG26" s="30">
        <v>22.998999999999999</v>
      </c>
      <c r="AH26" s="30">
        <v>22.604139</v>
      </c>
      <c r="AI26" s="30">
        <v>22.562404000000001</v>
      </c>
      <c r="AJ26" s="31" t="s">
        <v>37</v>
      </c>
      <c r="AK26" s="30">
        <v>0.01</v>
      </c>
      <c r="AL26" s="30">
        <v>8.0000000000000002E-3</v>
      </c>
      <c r="AM26" s="30">
        <v>9.9000000000000005E-2</v>
      </c>
      <c r="AN26" s="30">
        <v>0.01</v>
      </c>
      <c r="AO26" s="30">
        <v>1.7999999999999999E-2</v>
      </c>
      <c r="AP26" s="30">
        <v>1.7000000000000001E-2</v>
      </c>
      <c r="AQ26" s="30">
        <v>1.7000000000000001E-2</v>
      </c>
      <c r="AR26" s="30">
        <v>1.7000000000000001E-2</v>
      </c>
      <c r="AS26" s="30">
        <v>5.0000000000000001E-3</v>
      </c>
      <c r="AT26" s="30">
        <v>2.8000000000000001E-2</v>
      </c>
      <c r="AU26" s="30">
        <v>1.0999999999999999E-2</v>
      </c>
      <c r="AV26" s="30">
        <v>2E-3</v>
      </c>
      <c r="AW26" s="30">
        <v>3.0000000000000001E-3</v>
      </c>
      <c r="AX26" s="30" t="s">
        <v>37</v>
      </c>
      <c r="AY26" s="30" t="s">
        <v>37</v>
      </c>
      <c r="AZ26" s="30" t="s">
        <v>37</v>
      </c>
      <c r="BA26" s="30" t="s">
        <v>37</v>
      </c>
      <c r="BB26" s="30" t="s">
        <v>37</v>
      </c>
      <c r="BC26" s="30">
        <v>0.02</v>
      </c>
      <c r="BD26" s="24">
        <f>(($BF$26-$BC$26)/3)+BC26</f>
        <v>1.66E-2</v>
      </c>
      <c r="BE26" s="24">
        <f>(($BF$26-$BC$26)/3)+BD26</f>
        <v>1.32E-2</v>
      </c>
      <c r="BF26" s="30">
        <v>9.7999999999999997E-3</v>
      </c>
      <c r="BG26" s="30">
        <v>0.01</v>
      </c>
      <c r="BH26" s="30">
        <v>4.3999999999999997E-2</v>
      </c>
      <c r="BI26" s="30">
        <v>3.7999999999999999E-2</v>
      </c>
      <c r="BJ26" s="30">
        <v>0.01</v>
      </c>
      <c r="BK26" s="30">
        <v>1.0999999999999999E-2</v>
      </c>
      <c r="BL26" s="30">
        <v>7.0000000000000001E-3</v>
      </c>
      <c r="BM26" s="30">
        <v>8.0000000000000002E-3</v>
      </c>
      <c r="BN26" s="30">
        <v>3.4000000000000002E-2</v>
      </c>
      <c r="BO26" s="30" t="s">
        <v>45</v>
      </c>
      <c r="BP26" s="30" t="s">
        <v>45</v>
      </c>
      <c r="BQ26" s="30">
        <v>5.705E-3</v>
      </c>
      <c r="BR26" s="31" t="s">
        <v>37</v>
      </c>
      <c r="BS26" s="30" t="s">
        <v>37</v>
      </c>
      <c r="BT26" s="30">
        <v>1.7000000000000001E-2</v>
      </c>
      <c r="BU26" s="30" t="s">
        <v>37</v>
      </c>
      <c r="BV26" s="30" t="s">
        <v>37</v>
      </c>
      <c r="BW26" s="30" t="s">
        <v>37</v>
      </c>
      <c r="BX26" s="30" t="s">
        <v>37</v>
      </c>
      <c r="BY26" s="30" t="s">
        <v>45</v>
      </c>
      <c r="BZ26" s="30" t="s">
        <v>45</v>
      </c>
      <c r="CA26" s="30" t="s">
        <v>45</v>
      </c>
      <c r="CB26" s="30" t="s">
        <v>45</v>
      </c>
      <c r="CC26" s="30" t="s">
        <v>45</v>
      </c>
      <c r="CD26" s="30" t="s">
        <v>45</v>
      </c>
      <c r="CE26" s="30" t="s">
        <v>45</v>
      </c>
      <c r="CF26" s="30" t="s">
        <v>45</v>
      </c>
      <c r="CG26" s="26">
        <f t="shared" ref="CG26:CG37" si="71">SUM(B26,AJ26)</f>
        <v>2.0419999999999998</v>
      </c>
      <c r="CH26" s="27">
        <f t="shared" ref="CH26:CH37" si="72">SUM(C26,AK26)</f>
        <v>2.5859999999999999</v>
      </c>
      <c r="CI26" s="27">
        <f t="shared" ref="CI26:CI37" si="73">SUM(D26,AL26)</f>
        <v>2.5859999999999999</v>
      </c>
      <c r="CJ26" s="27">
        <f t="shared" ref="CJ26:CJ37" si="74">SUM(E26,AM26)</f>
        <v>2.4750000000000001</v>
      </c>
      <c r="CK26" s="27">
        <f t="shared" ref="CK26:CK37" si="75">SUM(F26,AN26)</f>
        <v>3.254</v>
      </c>
      <c r="CL26" s="27">
        <f t="shared" ref="CL26:CL37" si="76">SUM(G26,AO26)</f>
        <v>3.5259999999999998</v>
      </c>
      <c r="CM26" s="27">
        <f t="shared" ref="CM26:CM37" si="77">SUM(H26,AP26)</f>
        <v>3.4</v>
      </c>
      <c r="CN26" s="27">
        <f t="shared" ref="CN26:CN37" si="78">SUM(I26,AQ26)</f>
        <v>3.427</v>
      </c>
      <c r="CO26" s="27">
        <f t="shared" ref="CO26:CO37" si="79">SUM(J26,AR26)</f>
        <v>3.3279999999999998</v>
      </c>
      <c r="CP26" s="27">
        <f t="shared" ref="CP26:CP37" si="80">SUM(K26,AS26)</f>
        <v>2.4419999999999997</v>
      </c>
      <c r="CQ26" s="27">
        <f t="shared" ref="CQ26:CQ37" si="81">SUM(L26,AT26)</f>
        <v>3.504</v>
      </c>
      <c r="CR26" s="27">
        <f t="shared" ref="CR26:CR37" si="82">SUM(M26,AU26)</f>
        <v>3.4930000000000003</v>
      </c>
      <c r="CS26" s="27">
        <f t="shared" ref="CS26:CS37" si="83">SUM(N26,AV26)</f>
        <v>2.2929999999999997</v>
      </c>
      <c r="CT26" s="27">
        <f t="shared" ref="CT26:CT37" si="84">SUM(O26,AW26)</f>
        <v>2.7510000000000003</v>
      </c>
      <c r="CU26" s="27">
        <f t="shared" ref="CU26:CU37" si="85">SUM(P26,AX26)</f>
        <v>3.161</v>
      </c>
      <c r="CV26" s="27">
        <f t="shared" ref="CV26:CV37" si="86">SUM(Q26,AY26)</f>
        <v>2.7309999999999999</v>
      </c>
      <c r="CW26" s="27">
        <f t="shared" ref="CW26:CW37" si="87">SUM(R26,AZ26)</f>
        <v>2.7269999999999999</v>
      </c>
      <c r="CX26" s="27">
        <f t="shared" ref="CX26:CX37" si="88">SUM(S26,BA26)</f>
        <v>2.99</v>
      </c>
      <c r="CY26" s="27">
        <f t="shared" ref="CY26:CY37" si="89">SUM(T26,BB26)</f>
        <v>2.8119999999999998</v>
      </c>
      <c r="CZ26" s="27">
        <f t="shared" ref="CZ26:CZ37" si="90">SUM(U26,BC26,BR26)</f>
        <v>2.81</v>
      </c>
      <c r="DA26" s="27">
        <f t="shared" ref="DA26:DA37" si="91">SUM(V26,BD26,BS26)</f>
        <v>2.8816000000000002</v>
      </c>
      <c r="DB26" s="27">
        <f t="shared" ref="DB26:DB37" si="92">SUM(W26,BE26,BT26)</f>
        <v>2.9842</v>
      </c>
      <c r="DC26" s="27">
        <f t="shared" si="60"/>
        <v>2.8081719999999999</v>
      </c>
      <c r="DD26" s="27">
        <f t="shared" si="61"/>
        <v>13.241</v>
      </c>
      <c r="DE26" s="27">
        <f t="shared" si="62"/>
        <v>12.204000000000001</v>
      </c>
      <c r="DF26" s="27">
        <f t="shared" si="63"/>
        <v>20.625</v>
      </c>
      <c r="DG26" s="27">
        <f t="shared" si="64"/>
        <v>18.171000000000003</v>
      </c>
      <c r="DH26" s="27">
        <f t="shared" si="65"/>
        <v>19.893000000000001</v>
      </c>
      <c r="DI26" s="27">
        <f t="shared" si="66"/>
        <v>15.865</v>
      </c>
      <c r="DJ26" s="27">
        <f t="shared" si="67"/>
        <v>21.437000000000001</v>
      </c>
      <c r="DK26" s="27">
        <f t="shared" si="68"/>
        <v>21.381</v>
      </c>
      <c r="DL26" s="27">
        <f t="shared" si="69"/>
        <v>22.998999999999999</v>
      </c>
      <c r="DM26" s="27">
        <f t="shared" si="70"/>
        <v>22.604139</v>
      </c>
      <c r="DN26" s="27">
        <f t="shared" si="70"/>
        <v>22.568109</v>
      </c>
      <c r="EO26" s="22"/>
      <c r="EP26" s="22"/>
      <c r="EQ26" s="22"/>
      <c r="ER26" s="22"/>
      <c r="ES26" s="22"/>
    </row>
    <row r="27" spans="1:149" ht="12" customHeight="1">
      <c r="A27" s="23" t="s">
        <v>57</v>
      </c>
      <c r="B27" s="30">
        <v>89.025000000000006</v>
      </c>
      <c r="C27" s="30">
        <v>101.01900000000001</v>
      </c>
      <c r="D27" s="30">
        <v>119.85899999999999</v>
      </c>
      <c r="E27" s="30">
        <v>131.14599999999999</v>
      </c>
      <c r="F27" s="30">
        <v>135.00200000000001</v>
      </c>
      <c r="G27" s="30">
        <v>140.98099999999999</v>
      </c>
      <c r="H27" s="30">
        <v>158.98500000000001</v>
      </c>
      <c r="I27" s="30">
        <v>161.85900000000001</v>
      </c>
      <c r="J27" s="30">
        <v>166.23599999999999</v>
      </c>
      <c r="K27" s="30">
        <v>151.37899999999999</v>
      </c>
      <c r="L27" s="30">
        <v>207.96899999999999</v>
      </c>
      <c r="M27" s="30">
        <v>232.06700000000001</v>
      </c>
      <c r="N27" s="30">
        <v>235.58199999999999</v>
      </c>
      <c r="O27" s="30">
        <v>257.54399999999998</v>
      </c>
      <c r="P27" s="30">
        <v>284.41199999999998</v>
      </c>
      <c r="Q27" s="30">
        <v>331.63600000000002</v>
      </c>
      <c r="R27" s="30">
        <v>369.78500000000003</v>
      </c>
      <c r="S27" s="30">
        <v>461.91399999999999</v>
      </c>
      <c r="T27" s="30">
        <v>514.34799999999996</v>
      </c>
      <c r="U27" s="30">
        <v>544.89299999999992</v>
      </c>
      <c r="V27" s="30">
        <v>654.54899999999998</v>
      </c>
      <c r="W27" s="30">
        <v>723.16499999999996</v>
      </c>
      <c r="X27" s="30">
        <v>757.80899999999997</v>
      </c>
      <c r="Y27" s="30">
        <v>763.00800000000004</v>
      </c>
      <c r="Z27" s="30">
        <v>813.37400000000002</v>
      </c>
      <c r="AA27" s="30">
        <v>875.44799999999998</v>
      </c>
      <c r="AB27" s="30">
        <v>1040.875</v>
      </c>
      <c r="AC27" s="30">
        <v>1269.9170000000001</v>
      </c>
      <c r="AD27" s="30">
        <v>1492.492</v>
      </c>
      <c r="AE27" s="30">
        <v>1519.221</v>
      </c>
      <c r="AF27" s="30">
        <v>1671.942</v>
      </c>
      <c r="AG27" s="30">
        <v>1856.2539999999999</v>
      </c>
      <c r="AH27" s="30">
        <v>1902.1618390000001</v>
      </c>
      <c r="AI27" s="30">
        <v>2018.8839640000001</v>
      </c>
      <c r="AJ27" s="31">
        <v>3.8740000000000001</v>
      </c>
      <c r="AK27" s="30">
        <v>3.448</v>
      </c>
      <c r="AL27" s="30">
        <v>3.887</v>
      </c>
      <c r="AM27" s="30">
        <v>3.4790000000000001</v>
      </c>
      <c r="AN27" s="30">
        <v>3.41</v>
      </c>
      <c r="AO27" s="30">
        <v>3.2330000000000001</v>
      </c>
      <c r="AP27" s="30">
        <v>3.0179999999999998</v>
      </c>
      <c r="AQ27" s="30">
        <v>2.8879999999999999</v>
      </c>
      <c r="AR27" s="30">
        <v>2.9689999999999999</v>
      </c>
      <c r="AS27" s="30">
        <v>2.266</v>
      </c>
      <c r="AT27" s="30">
        <v>2.137</v>
      </c>
      <c r="AU27" s="30">
        <v>2.423</v>
      </c>
      <c r="AV27" s="30">
        <v>1.9084000000000001</v>
      </c>
      <c r="AW27" s="30">
        <v>2.1160000000000001</v>
      </c>
      <c r="AX27" s="30">
        <v>1.8280000000000001</v>
      </c>
      <c r="AY27" s="30">
        <v>1.052</v>
      </c>
      <c r="AZ27" s="30">
        <v>0.34939999999999999</v>
      </c>
      <c r="BA27" s="30">
        <v>0.11700000000000001</v>
      </c>
      <c r="BB27" s="30">
        <v>2.3E-2</v>
      </c>
      <c r="BC27" s="30" t="s">
        <v>45</v>
      </c>
      <c r="BD27" s="30" t="s">
        <v>45</v>
      </c>
      <c r="BE27" s="30" t="s">
        <v>45</v>
      </c>
      <c r="BF27" s="30" t="s">
        <v>45</v>
      </c>
      <c r="BG27" s="30" t="s">
        <v>45</v>
      </c>
      <c r="BH27" s="30" t="s">
        <v>45</v>
      </c>
      <c r="BI27" s="30">
        <v>4.2000000000000003E-2</v>
      </c>
      <c r="BJ27" s="30" t="s">
        <v>45</v>
      </c>
      <c r="BK27" s="30" t="s">
        <v>45</v>
      </c>
      <c r="BL27" s="30" t="s">
        <v>45</v>
      </c>
      <c r="BM27" s="30" t="s">
        <v>45</v>
      </c>
      <c r="BN27" s="30" t="s">
        <v>45</v>
      </c>
      <c r="BO27" s="30" t="s">
        <v>45</v>
      </c>
      <c r="BP27" s="30" t="s">
        <v>45</v>
      </c>
      <c r="BQ27" s="30" t="s">
        <v>45</v>
      </c>
      <c r="BR27" s="31">
        <v>0.34</v>
      </c>
      <c r="BS27" s="30">
        <v>0.30199999999999999</v>
      </c>
      <c r="BT27" s="30">
        <v>0.38100000000000001</v>
      </c>
      <c r="BU27" s="30">
        <v>0.3715</v>
      </c>
      <c r="BV27" s="30">
        <v>0.39100000000000001</v>
      </c>
      <c r="BW27" s="30">
        <v>0.36299999999999999</v>
      </c>
      <c r="BX27" s="30">
        <v>0.30399999999999999</v>
      </c>
      <c r="BY27" s="30" t="s">
        <v>45</v>
      </c>
      <c r="BZ27" s="30" t="s">
        <v>45</v>
      </c>
      <c r="CA27" s="30" t="s">
        <v>45</v>
      </c>
      <c r="CB27" s="30" t="s">
        <v>45</v>
      </c>
      <c r="CC27" s="30" t="s">
        <v>45</v>
      </c>
      <c r="CD27" s="30" t="s">
        <v>45</v>
      </c>
      <c r="CE27" s="30" t="s">
        <v>45</v>
      </c>
      <c r="CF27" s="30" t="s">
        <v>45</v>
      </c>
      <c r="CG27" s="26">
        <f t="shared" si="71"/>
        <v>92.899000000000001</v>
      </c>
      <c r="CH27" s="27">
        <f t="shared" si="72"/>
        <v>104.467</v>
      </c>
      <c r="CI27" s="27">
        <f t="shared" si="73"/>
        <v>123.746</v>
      </c>
      <c r="CJ27" s="27">
        <f t="shared" si="74"/>
        <v>134.625</v>
      </c>
      <c r="CK27" s="27">
        <f t="shared" si="75"/>
        <v>138.41200000000001</v>
      </c>
      <c r="CL27" s="27">
        <f t="shared" si="76"/>
        <v>144.214</v>
      </c>
      <c r="CM27" s="27">
        <f t="shared" si="77"/>
        <v>162.00300000000001</v>
      </c>
      <c r="CN27" s="27">
        <f t="shared" si="78"/>
        <v>164.74700000000001</v>
      </c>
      <c r="CO27" s="27">
        <f t="shared" si="79"/>
        <v>169.20499999999998</v>
      </c>
      <c r="CP27" s="27">
        <f t="shared" si="80"/>
        <v>153.64499999999998</v>
      </c>
      <c r="CQ27" s="27">
        <f t="shared" si="81"/>
        <v>210.10599999999999</v>
      </c>
      <c r="CR27" s="27">
        <f t="shared" si="82"/>
        <v>234.49</v>
      </c>
      <c r="CS27" s="27">
        <f t="shared" si="83"/>
        <v>237.49039999999999</v>
      </c>
      <c r="CT27" s="27">
        <f t="shared" si="84"/>
        <v>259.65999999999997</v>
      </c>
      <c r="CU27" s="27">
        <f t="shared" si="85"/>
        <v>286.23999999999995</v>
      </c>
      <c r="CV27" s="27">
        <f t="shared" si="86"/>
        <v>332.68800000000005</v>
      </c>
      <c r="CW27" s="27">
        <f t="shared" si="87"/>
        <v>370.13440000000003</v>
      </c>
      <c r="CX27" s="27">
        <f t="shared" si="88"/>
        <v>462.03100000000001</v>
      </c>
      <c r="CY27" s="27">
        <f t="shared" si="89"/>
        <v>514.37099999999998</v>
      </c>
      <c r="CZ27" s="27">
        <f t="shared" si="90"/>
        <v>545.23299999999995</v>
      </c>
      <c r="DA27" s="27">
        <f t="shared" si="91"/>
        <v>654.851</v>
      </c>
      <c r="DB27" s="27">
        <f t="shared" si="92"/>
        <v>723.54599999999994</v>
      </c>
      <c r="DC27" s="27">
        <f t="shared" si="60"/>
        <v>758.18049999999994</v>
      </c>
      <c r="DD27" s="27">
        <f t="shared" si="61"/>
        <v>763.399</v>
      </c>
      <c r="DE27" s="27">
        <f t="shared" si="62"/>
        <v>813.73700000000008</v>
      </c>
      <c r="DF27" s="27">
        <f t="shared" si="63"/>
        <v>875.79399999999998</v>
      </c>
      <c r="DG27" s="27">
        <f t="shared" si="64"/>
        <v>1040.875</v>
      </c>
      <c r="DH27" s="27">
        <f t="shared" si="65"/>
        <v>1269.9170000000001</v>
      </c>
      <c r="DI27" s="27">
        <f t="shared" si="66"/>
        <v>1492.492</v>
      </c>
      <c r="DJ27" s="27">
        <f t="shared" si="67"/>
        <v>1519.221</v>
      </c>
      <c r="DK27" s="27">
        <f t="shared" si="68"/>
        <v>1671.942</v>
      </c>
      <c r="DL27" s="27">
        <f t="shared" si="69"/>
        <v>1856.2539999999999</v>
      </c>
      <c r="DM27" s="27">
        <f t="shared" si="70"/>
        <v>1902.1618390000001</v>
      </c>
      <c r="DN27" s="27">
        <f t="shared" si="70"/>
        <v>2018.8839640000001</v>
      </c>
      <c r="EO27" s="22"/>
      <c r="EP27" s="22"/>
      <c r="EQ27" s="22"/>
      <c r="ER27" s="22"/>
      <c r="ES27" s="22"/>
    </row>
    <row r="28" spans="1:149">
      <c r="A28" s="23" t="s">
        <v>58</v>
      </c>
      <c r="B28" s="30">
        <v>7.3540000000000001</v>
      </c>
      <c r="C28" s="30">
        <v>8.74</v>
      </c>
      <c r="D28" s="30">
        <v>9.3040000000000003</v>
      </c>
      <c r="E28" s="30">
        <v>9.4700000000000006</v>
      </c>
      <c r="F28" s="30">
        <v>9.3249999999999993</v>
      </c>
      <c r="G28" s="30">
        <v>9.3949999999999996</v>
      </c>
      <c r="H28" s="30">
        <v>9.6820000000000004</v>
      </c>
      <c r="I28" s="30">
        <v>11.074999999999999</v>
      </c>
      <c r="J28" s="30">
        <v>12.43</v>
      </c>
      <c r="K28" s="30">
        <v>14.811999999999999</v>
      </c>
      <c r="L28" s="30">
        <v>16.48</v>
      </c>
      <c r="M28" s="30">
        <v>18.251999999999999</v>
      </c>
      <c r="N28" s="30">
        <v>21.076000000000001</v>
      </c>
      <c r="O28" s="30">
        <v>28.236000000000001</v>
      </c>
      <c r="P28" s="30">
        <v>31.667999999999999</v>
      </c>
      <c r="Q28" s="30">
        <v>41.884</v>
      </c>
      <c r="R28" s="30">
        <v>41.884</v>
      </c>
      <c r="S28" s="30">
        <v>41.884</v>
      </c>
      <c r="T28" s="30">
        <v>46.7</v>
      </c>
      <c r="U28" s="30">
        <v>43.178000000000004</v>
      </c>
      <c r="V28" s="30">
        <v>47.833999999999996</v>
      </c>
      <c r="W28" s="30">
        <v>45.731000000000002</v>
      </c>
      <c r="X28" s="30">
        <v>51.940351999999997</v>
      </c>
      <c r="Y28" s="30">
        <v>58.156999999999996</v>
      </c>
      <c r="Z28" s="30">
        <v>65.697000000000003</v>
      </c>
      <c r="AA28" s="30">
        <v>72.046999999999997</v>
      </c>
      <c r="AB28" s="30">
        <v>70.475999999999999</v>
      </c>
      <c r="AC28" s="30">
        <v>70.60499999999999</v>
      </c>
      <c r="AD28" s="30">
        <v>69.099999999999994</v>
      </c>
      <c r="AE28" s="30">
        <v>69.492999999999995</v>
      </c>
      <c r="AF28" s="30">
        <v>73.613</v>
      </c>
      <c r="AG28" s="30">
        <v>102.246</v>
      </c>
      <c r="AH28" s="30">
        <v>115.78779800000001</v>
      </c>
      <c r="AI28" s="30">
        <v>115.78429200000001</v>
      </c>
      <c r="AJ28" s="31">
        <v>0.64700000000000002</v>
      </c>
      <c r="AK28" s="30">
        <v>0.754</v>
      </c>
      <c r="AL28" s="30">
        <v>0.80600000000000005</v>
      </c>
      <c r="AM28" s="30">
        <v>0.83399999999999996</v>
      </c>
      <c r="AN28" s="30">
        <v>0.80100000000000005</v>
      </c>
      <c r="AO28" s="30">
        <v>0.82699999999999996</v>
      </c>
      <c r="AP28" s="30">
        <v>0.86599999999999999</v>
      </c>
      <c r="AQ28" s="30">
        <v>1.012</v>
      </c>
      <c r="AR28" s="30">
        <v>1.012</v>
      </c>
      <c r="AS28" s="30">
        <v>1.012</v>
      </c>
      <c r="AT28" s="30">
        <v>1.012</v>
      </c>
      <c r="AU28" s="30">
        <v>1.012</v>
      </c>
      <c r="AV28" s="30">
        <v>1.0124</v>
      </c>
      <c r="AW28" s="30">
        <v>1.012</v>
      </c>
      <c r="AX28" s="30">
        <v>1.8080000000000001</v>
      </c>
      <c r="AY28" s="30">
        <v>1.0209999999999999</v>
      </c>
      <c r="AZ28" s="30">
        <v>1.0214000000000001</v>
      </c>
      <c r="BA28" s="30">
        <v>1.0209999999999999</v>
      </c>
      <c r="BB28" s="30">
        <v>2.8570000000000002</v>
      </c>
      <c r="BC28" s="30">
        <v>3.06</v>
      </c>
      <c r="BD28" s="30">
        <v>3.2970000000000002</v>
      </c>
      <c r="BE28" s="30">
        <v>2.706</v>
      </c>
      <c r="BF28" s="30">
        <v>2.8292760000000001</v>
      </c>
      <c r="BG28" s="30">
        <v>3.38</v>
      </c>
      <c r="BH28" s="30">
        <v>4.7409999999999997</v>
      </c>
      <c r="BI28" s="30">
        <v>6.0949999999999998</v>
      </c>
      <c r="BJ28" s="30">
        <v>6.0220000000000002</v>
      </c>
      <c r="BK28" s="30">
        <v>5.9649999999999999</v>
      </c>
      <c r="BL28" s="30">
        <v>5.2439999999999998</v>
      </c>
      <c r="BM28" s="30">
        <v>5.2290000000000001</v>
      </c>
      <c r="BN28" s="30">
        <v>5.5529999999999999</v>
      </c>
      <c r="BO28" s="30">
        <v>7.8639999999999999</v>
      </c>
      <c r="BP28" s="30">
        <v>8.8083910000000003</v>
      </c>
      <c r="BQ28" s="30">
        <v>8.74573</v>
      </c>
      <c r="BR28" s="31" t="s">
        <v>37</v>
      </c>
      <c r="BS28" s="30" t="s">
        <v>37</v>
      </c>
      <c r="BT28" s="30">
        <v>0.223</v>
      </c>
      <c r="BU28" s="30">
        <v>0.34627599999999997</v>
      </c>
      <c r="BV28" s="30">
        <v>1.3819999999999999</v>
      </c>
      <c r="BW28" s="30" t="s">
        <v>37</v>
      </c>
      <c r="BX28" s="30" t="s">
        <v>37</v>
      </c>
      <c r="BY28" s="30" t="s">
        <v>45</v>
      </c>
      <c r="BZ28" s="30" t="s">
        <v>45</v>
      </c>
      <c r="CA28" s="30" t="s">
        <v>45</v>
      </c>
      <c r="CB28" s="30" t="s">
        <v>45</v>
      </c>
      <c r="CC28" s="30" t="s">
        <v>45</v>
      </c>
      <c r="CD28" s="30" t="s">
        <v>45</v>
      </c>
      <c r="CE28" s="30" t="s">
        <v>45</v>
      </c>
      <c r="CF28" s="30" t="s">
        <v>45</v>
      </c>
      <c r="CG28" s="26">
        <f t="shared" si="71"/>
        <v>8.0009999999999994</v>
      </c>
      <c r="CH28" s="27">
        <f t="shared" si="72"/>
        <v>9.4939999999999998</v>
      </c>
      <c r="CI28" s="27">
        <f t="shared" si="73"/>
        <v>10.11</v>
      </c>
      <c r="CJ28" s="27">
        <f t="shared" si="74"/>
        <v>10.304</v>
      </c>
      <c r="CK28" s="27">
        <f t="shared" si="75"/>
        <v>10.125999999999999</v>
      </c>
      <c r="CL28" s="27">
        <f t="shared" si="76"/>
        <v>10.222</v>
      </c>
      <c r="CM28" s="27">
        <f t="shared" si="77"/>
        <v>10.548</v>
      </c>
      <c r="CN28" s="27">
        <f t="shared" si="78"/>
        <v>12.087</v>
      </c>
      <c r="CO28" s="27">
        <f t="shared" si="79"/>
        <v>13.442</v>
      </c>
      <c r="CP28" s="27">
        <f t="shared" si="80"/>
        <v>15.824</v>
      </c>
      <c r="CQ28" s="27">
        <f t="shared" si="81"/>
        <v>17.492000000000001</v>
      </c>
      <c r="CR28" s="27">
        <f t="shared" si="82"/>
        <v>19.263999999999999</v>
      </c>
      <c r="CS28" s="27">
        <f t="shared" si="83"/>
        <v>22.0884</v>
      </c>
      <c r="CT28" s="27">
        <f t="shared" si="84"/>
        <v>29.248000000000001</v>
      </c>
      <c r="CU28" s="27">
        <f t="shared" si="85"/>
        <v>33.475999999999999</v>
      </c>
      <c r="CV28" s="27">
        <f t="shared" si="86"/>
        <v>42.905000000000001</v>
      </c>
      <c r="CW28" s="27">
        <f t="shared" si="87"/>
        <v>42.9054</v>
      </c>
      <c r="CX28" s="27">
        <f t="shared" si="88"/>
        <v>42.905000000000001</v>
      </c>
      <c r="CY28" s="27">
        <f t="shared" si="89"/>
        <v>49.557000000000002</v>
      </c>
      <c r="CZ28" s="27">
        <f t="shared" si="90"/>
        <v>46.238000000000007</v>
      </c>
      <c r="DA28" s="27">
        <f t="shared" si="91"/>
        <v>51.130999999999993</v>
      </c>
      <c r="DB28" s="27">
        <f t="shared" si="92"/>
        <v>48.660000000000004</v>
      </c>
      <c r="DC28" s="27">
        <f t="shared" si="60"/>
        <v>55.115904</v>
      </c>
      <c r="DD28" s="27">
        <f t="shared" si="61"/>
        <v>62.918999999999997</v>
      </c>
      <c r="DE28" s="27">
        <f t="shared" si="62"/>
        <v>70.438000000000002</v>
      </c>
      <c r="DF28" s="27">
        <f t="shared" si="63"/>
        <v>78.141999999999996</v>
      </c>
      <c r="DG28" s="27">
        <f t="shared" si="64"/>
        <v>76.498000000000005</v>
      </c>
      <c r="DH28" s="27">
        <f t="shared" si="65"/>
        <v>76.569999999999993</v>
      </c>
      <c r="DI28" s="27">
        <f t="shared" si="66"/>
        <v>74.343999999999994</v>
      </c>
      <c r="DJ28" s="27">
        <f t="shared" si="67"/>
        <v>74.721999999999994</v>
      </c>
      <c r="DK28" s="27">
        <f t="shared" si="68"/>
        <v>79.165999999999997</v>
      </c>
      <c r="DL28" s="27">
        <f t="shared" si="69"/>
        <v>110.11</v>
      </c>
      <c r="DM28" s="27">
        <f t="shared" si="70"/>
        <v>124.59618900000001</v>
      </c>
      <c r="DN28" s="27">
        <f t="shared" si="70"/>
        <v>124.530022</v>
      </c>
      <c r="EO28" s="22"/>
      <c r="EP28" s="22"/>
      <c r="EQ28" s="22"/>
      <c r="ER28" s="22"/>
      <c r="ES28" s="22"/>
    </row>
    <row r="29" spans="1:149">
      <c r="A29" s="23" t="s">
        <v>59</v>
      </c>
      <c r="B29" s="30">
        <v>0.49299999999999999</v>
      </c>
      <c r="C29" s="30">
        <v>0.49299999999999999</v>
      </c>
      <c r="D29" s="30">
        <v>0.49299999999999999</v>
      </c>
      <c r="E29" s="30">
        <v>0.59699999999999998</v>
      </c>
      <c r="F29" s="30">
        <v>0.73399999999999999</v>
      </c>
      <c r="G29" s="30">
        <v>0.59799999999999998</v>
      </c>
      <c r="H29" s="30">
        <v>0.755</v>
      </c>
      <c r="I29" s="30">
        <v>0.61099999999999999</v>
      </c>
      <c r="J29" s="30">
        <v>0.66100000000000003</v>
      </c>
      <c r="K29" s="30">
        <v>0.72399999999999998</v>
      </c>
      <c r="L29" s="30">
        <v>0.748</v>
      </c>
      <c r="M29" s="30">
        <v>0.73199999999999998</v>
      </c>
      <c r="N29" s="30">
        <v>0.499</v>
      </c>
      <c r="O29" s="30">
        <v>0.379</v>
      </c>
      <c r="P29" s="30">
        <v>0.58899999999999997</v>
      </c>
      <c r="Q29" s="30">
        <v>0.49299999999999999</v>
      </c>
      <c r="R29" s="30">
        <v>0.49</v>
      </c>
      <c r="S29" s="30">
        <v>0.53500000000000003</v>
      </c>
      <c r="T29" s="30">
        <v>0.53100000000000003</v>
      </c>
      <c r="U29" s="30">
        <v>0.40799999999999997</v>
      </c>
      <c r="V29" s="30">
        <v>0.40799999999999997</v>
      </c>
      <c r="W29" s="30">
        <v>0.41799999999999998</v>
      </c>
      <c r="X29" s="30">
        <v>0.40995599999999999</v>
      </c>
      <c r="Y29" s="30">
        <v>0.40799999999999997</v>
      </c>
      <c r="Z29" s="30">
        <v>0.40799999999999997</v>
      </c>
      <c r="AA29" s="30">
        <v>1.9079999999999999</v>
      </c>
      <c r="AB29" s="30">
        <v>3.4079999999999999</v>
      </c>
      <c r="AC29" s="30">
        <v>3.339</v>
      </c>
      <c r="AD29" s="30">
        <v>3.774</v>
      </c>
      <c r="AE29" s="30">
        <v>3.2249999999999996</v>
      </c>
      <c r="AF29" s="30">
        <v>3.7830000000000004</v>
      </c>
      <c r="AG29" s="30">
        <v>3.5900000000000003</v>
      </c>
      <c r="AH29" s="30">
        <v>3.2669100000000002</v>
      </c>
      <c r="AI29" s="30">
        <v>3.2849890000000004</v>
      </c>
      <c r="AJ29" s="31" t="s">
        <v>37</v>
      </c>
      <c r="AK29" s="30" t="s">
        <v>37</v>
      </c>
      <c r="AL29" s="30" t="s">
        <v>37</v>
      </c>
      <c r="AM29" s="30" t="s">
        <v>37</v>
      </c>
      <c r="AN29" s="30" t="s">
        <v>37</v>
      </c>
      <c r="AO29" s="30" t="s">
        <v>37</v>
      </c>
      <c r="AP29" s="30" t="s">
        <v>37</v>
      </c>
      <c r="AQ29" s="30" t="s">
        <v>37</v>
      </c>
      <c r="AR29" s="30" t="s">
        <v>37</v>
      </c>
      <c r="AS29" s="30" t="s">
        <v>37</v>
      </c>
      <c r="AT29" s="30" t="s">
        <v>37</v>
      </c>
      <c r="AU29" s="30" t="s">
        <v>37</v>
      </c>
      <c r="AV29" s="30" t="s">
        <v>37</v>
      </c>
      <c r="AW29" s="30" t="s">
        <v>37</v>
      </c>
      <c r="AX29" s="30" t="s">
        <v>37</v>
      </c>
      <c r="AY29" s="30" t="s">
        <v>37</v>
      </c>
      <c r="AZ29" s="30" t="s">
        <v>37</v>
      </c>
      <c r="BA29" s="30" t="s">
        <v>37</v>
      </c>
      <c r="BB29" s="30" t="s">
        <v>37</v>
      </c>
      <c r="BC29" s="30" t="s">
        <v>37</v>
      </c>
      <c r="BD29" s="30" t="s">
        <v>37</v>
      </c>
      <c r="BE29" s="30" t="s">
        <v>37</v>
      </c>
      <c r="BF29" s="30" t="s">
        <v>37</v>
      </c>
      <c r="BG29" s="30" t="s">
        <v>37</v>
      </c>
      <c r="BH29" s="30" t="s">
        <v>37</v>
      </c>
      <c r="BI29" s="30" t="s">
        <v>37</v>
      </c>
      <c r="BJ29" s="30" t="s">
        <v>45</v>
      </c>
      <c r="BK29" s="30" t="s">
        <v>45</v>
      </c>
      <c r="BL29" s="30" t="s">
        <v>45</v>
      </c>
      <c r="BM29" s="30" t="s">
        <v>45</v>
      </c>
      <c r="BN29" s="30" t="s">
        <v>45</v>
      </c>
      <c r="BO29" s="30" t="s">
        <v>45</v>
      </c>
      <c r="BP29" s="30" t="s">
        <v>45</v>
      </c>
      <c r="BQ29" s="30" t="s">
        <v>45</v>
      </c>
      <c r="BR29" s="31">
        <v>1.2</v>
      </c>
      <c r="BS29" s="30" t="s">
        <v>37</v>
      </c>
      <c r="BT29" s="30" t="s">
        <v>37</v>
      </c>
      <c r="BU29" s="30" t="s">
        <v>37</v>
      </c>
      <c r="BV29" s="30" t="s">
        <v>37</v>
      </c>
      <c r="BW29" s="30" t="s">
        <v>37</v>
      </c>
      <c r="BX29" s="30" t="s">
        <v>37</v>
      </c>
      <c r="BY29" s="30" t="s">
        <v>45</v>
      </c>
      <c r="BZ29" s="30" t="s">
        <v>45</v>
      </c>
      <c r="CA29" s="30" t="s">
        <v>45</v>
      </c>
      <c r="CB29" s="30" t="s">
        <v>45</v>
      </c>
      <c r="CC29" s="30" t="s">
        <v>45</v>
      </c>
      <c r="CD29" s="30" t="s">
        <v>45</v>
      </c>
      <c r="CE29" s="30" t="s">
        <v>45</v>
      </c>
      <c r="CF29" s="30" t="s">
        <v>45</v>
      </c>
      <c r="CG29" s="26">
        <f t="shared" si="71"/>
        <v>0.49299999999999999</v>
      </c>
      <c r="CH29" s="27">
        <f t="shared" si="72"/>
        <v>0.49299999999999999</v>
      </c>
      <c r="CI29" s="27">
        <f t="shared" si="73"/>
        <v>0.49299999999999999</v>
      </c>
      <c r="CJ29" s="27">
        <f t="shared" si="74"/>
        <v>0.59699999999999998</v>
      </c>
      <c r="CK29" s="27">
        <f t="shared" si="75"/>
        <v>0.73399999999999999</v>
      </c>
      <c r="CL29" s="27">
        <f t="shared" si="76"/>
        <v>0.59799999999999998</v>
      </c>
      <c r="CM29" s="27">
        <f t="shared" si="77"/>
        <v>0.755</v>
      </c>
      <c r="CN29" s="27">
        <f t="shared" si="78"/>
        <v>0.61099999999999999</v>
      </c>
      <c r="CO29" s="27">
        <f t="shared" si="79"/>
        <v>0.66100000000000003</v>
      </c>
      <c r="CP29" s="27">
        <f t="shared" si="80"/>
        <v>0.72399999999999998</v>
      </c>
      <c r="CQ29" s="27">
        <f t="shared" si="81"/>
        <v>0.748</v>
      </c>
      <c r="CR29" s="27">
        <f t="shared" si="82"/>
        <v>0.73199999999999998</v>
      </c>
      <c r="CS29" s="27">
        <f t="shared" si="83"/>
        <v>0.499</v>
      </c>
      <c r="CT29" s="27">
        <f t="shared" si="84"/>
        <v>0.379</v>
      </c>
      <c r="CU29" s="27">
        <f t="shared" si="85"/>
        <v>0.58899999999999997</v>
      </c>
      <c r="CV29" s="27">
        <f t="shared" si="86"/>
        <v>0.49299999999999999</v>
      </c>
      <c r="CW29" s="27">
        <f t="shared" si="87"/>
        <v>0.49</v>
      </c>
      <c r="CX29" s="27">
        <f t="shared" si="88"/>
        <v>0.53500000000000003</v>
      </c>
      <c r="CY29" s="27">
        <f t="shared" si="89"/>
        <v>0.53100000000000003</v>
      </c>
      <c r="CZ29" s="27">
        <f t="shared" si="90"/>
        <v>1.6079999999999999</v>
      </c>
      <c r="DA29" s="27">
        <f t="shared" si="91"/>
        <v>0.40799999999999997</v>
      </c>
      <c r="DB29" s="27">
        <f t="shared" si="92"/>
        <v>0.41799999999999998</v>
      </c>
      <c r="DC29" s="27">
        <f t="shared" si="60"/>
        <v>0.40995599999999999</v>
      </c>
      <c r="DD29" s="27">
        <f t="shared" si="61"/>
        <v>0.40799999999999997</v>
      </c>
      <c r="DE29" s="27">
        <f t="shared" si="62"/>
        <v>0.40799999999999997</v>
      </c>
      <c r="DF29" s="27">
        <f t="shared" si="63"/>
        <v>1.9079999999999999</v>
      </c>
      <c r="DG29" s="27">
        <f t="shared" si="64"/>
        <v>3.4079999999999999</v>
      </c>
      <c r="DH29" s="27">
        <f t="shared" si="65"/>
        <v>3.339</v>
      </c>
      <c r="DI29" s="27">
        <f t="shared" si="66"/>
        <v>3.774</v>
      </c>
      <c r="DJ29" s="27">
        <f t="shared" si="67"/>
        <v>3.2249999999999996</v>
      </c>
      <c r="DK29" s="27">
        <f t="shared" si="68"/>
        <v>3.7830000000000004</v>
      </c>
      <c r="DL29" s="27">
        <f t="shared" si="69"/>
        <v>3.5900000000000003</v>
      </c>
      <c r="DM29" s="27">
        <f t="shared" si="70"/>
        <v>3.2669100000000002</v>
      </c>
      <c r="DN29" s="27">
        <f t="shared" si="70"/>
        <v>3.2849890000000004</v>
      </c>
      <c r="EO29" s="22"/>
      <c r="EP29" s="22"/>
      <c r="EQ29" s="22"/>
      <c r="ER29" s="22"/>
      <c r="ES29" s="22"/>
    </row>
    <row r="30" spans="1:149">
      <c r="A30" s="23" t="s">
        <v>60</v>
      </c>
      <c r="B30" s="30">
        <v>0.379</v>
      </c>
      <c r="C30" s="30">
        <v>0.47799999999999998</v>
      </c>
      <c r="D30" s="30">
        <v>0.50900000000000001</v>
      </c>
      <c r="E30" s="30">
        <v>0.48699999999999999</v>
      </c>
      <c r="F30" s="30">
        <v>0.34300000000000003</v>
      </c>
      <c r="G30" s="30">
        <v>0.34799999999999998</v>
      </c>
      <c r="H30" s="30">
        <v>0.34599999999999997</v>
      </c>
      <c r="I30" s="30">
        <v>0.34200000000000003</v>
      </c>
      <c r="J30" s="30">
        <v>0.37</v>
      </c>
      <c r="K30" s="30">
        <v>0.57999999999999996</v>
      </c>
      <c r="L30" s="30">
        <v>0.63400000000000001</v>
      </c>
      <c r="M30" s="30">
        <v>0.77900000000000003</v>
      </c>
      <c r="N30" s="30">
        <v>0.76300000000000001</v>
      </c>
      <c r="O30" s="30">
        <v>0.71399999999999997</v>
      </c>
      <c r="P30" s="30">
        <v>0.71399999999999997</v>
      </c>
      <c r="Q30" s="30">
        <v>0.75600000000000001</v>
      </c>
      <c r="R30" s="30">
        <v>0.83</v>
      </c>
      <c r="S30" s="30">
        <v>0.7</v>
      </c>
      <c r="T30" s="30">
        <v>0.81399999999999995</v>
      </c>
      <c r="U30" s="30">
        <v>0.874</v>
      </c>
      <c r="V30" s="30">
        <v>0.82299999999999995</v>
      </c>
      <c r="W30" s="30">
        <v>0.97599999999999998</v>
      </c>
      <c r="X30" s="30">
        <v>0.96408199999999999</v>
      </c>
      <c r="Y30" s="30">
        <v>0.97199999999999998</v>
      </c>
      <c r="Z30" s="30">
        <v>2.0350000000000001</v>
      </c>
      <c r="AA30" s="30">
        <v>2.5939999999999999</v>
      </c>
      <c r="AB30" s="30">
        <v>1.841</v>
      </c>
      <c r="AC30" s="30">
        <v>1.321</v>
      </c>
      <c r="AD30" s="30">
        <v>1.7809999999999999</v>
      </c>
      <c r="AE30" s="30">
        <v>1.101</v>
      </c>
      <c r="AF30" s="30">
        <v>1.42</v>
      </c>
      <c r="AG30" s="30">
        <v>4.8899999999999997</v>
      </c>
      <c r="AH30" s="30">
        <v>5.0918479999999997</v>
      </c>
      <c r="AI30" s="30">
        <v>9.9195489999999999</v>
      </c>
      <c r="AJ30" s="31">
        <v>2.4E-2</v>
      </c>
      <c r="AK30" s="30">
        <v>3.1E-2</v>
      </c>
      <c r="AL30" s="24">
        <f>(($AN$30-$AK$30)/3)+AK30</f>
        <v>6.8666666666666654E-2</v>
      </c>
      <c r="AM30" s="24">
        <f>(($AN$30-$AK$30)/3)+AL30</f>
        <v>0.10633333333333331</v>
      </c>
      <c r="AN30" s="30">
        <v>0.14399999999999999</v>
      </c>
      <c r="AO30" s="30">
        <v>0.14599999999999999</v>
      </c>
      <c r="AP30" s="30">
        <v>0.14499999999999999</v>
      </c>
      <c r="AQ30" s="30">
        <v>0.14299999999999999</v>
      </c>
      <c r="AR30" s="30">
        <v>0.13700000000000001</v>
      </c>
      <c r="AS30" s="30">
        <v>0.16700000000000001</v>
      </c>
      <c r="AT30" s="30">
        <v>0.11600000000000001</v>
      </c>
      <c r="AU30" s="30">
        <v>2.6499999999999999E-2</v>
      </c>
      <c r="AV30" s="30">
        <v>1.2999999999999999E-2</v>
      </c>
      <c r="AW30" s="30">
        <v>0.01</v>
      </c>
      <c r="AX30" s="30">
        <v>0.01</v>
      </c>
      <c r="AY30" s="30" t="s">
        <v>37</v>
      </c>
      <c r="AZ30" s="30" t="s">
        <v>37</v>
      </c>
      <c r="BA30" s="30" t="s">
        <v>37</v>
      </c>
      <c r="BB30" s="30">
        <v>4.1000000000000002E-2</v>
      </c>
      <c r="BC30" s="30">
        <v>8.5999999999999993E-2</v>
      </c>
      <c r="BD30" s="30" t="s">
        <v>37</v>
      </c>
      <c r="BE30" s="30" t="s">
        <v>37</v>
      </c>
      <c r="BF30" s="30" t="s">
        <v>37</v>
      </c>
      <c r="BG30" s="30" t="s">
        <v>37</v>
      </c>
      <c r="BH30" s="30" t="s">
        <v>37</v>
      </c>
      <c r="BI30" s="30" t="s">
        <v>37</v>
      </c>
      <c r="BJ30" s="30" t="s">
        <v>45</v>
      </c>
      <c r="BK30" s="30" t="s">
        <v>45</v>
      </c>
      <c r="BL30" s="30" t="s">
        <v>45</v>
      </c>
      <c r="BM30" s="30" t="s">
        <v>45</v>
      </c>
      <c r="BN30" s="30" t="s">
        <v>45</v>
      </c>
      <c r="BO30" s="30" t="s">
        <v>45</v>
      </c>
      <c r="BP30" s="30" t="s">
        <v>45</v>
      </c>
      <c r="BQ30" s="30" t="s">
        <v>45</v>
      </c>
      <c r="BR30" s="31" t="s">
        <v>37</v>
      </c>
      <c r="BS30" s="30">
        <v>0.15</v>
      </c>
      <c r="BT30" s="24">
        <f>(($BW$30-$BS$30)/4)+BS30</f>
        <v>0.32799999999999996</v>
      </c>
      <c r="BU30" s="24">
        <f>(($BW$30-$BS$30)/4)+BT30</f>
        <v>0.50600000000000001</v>
      </c>
      <c r="BV30" s="24">
        <f>(($BW$30-$BS$30)/4)+BU30</f>
        <v>0.68399999999999994</v>
      </c>
      <c r="BW30" s="30">
        <v>0.86199999999999999</v>
      </c>
      <c r="BX30" s="30">
        <v>0.14599999999999999</v>
      </c>
      <c r="BY30" s="30" t="s">
        <v>45</v>
      </c>
      <c r="BZ30" s="30" t="s">
        <v>45</v>
      </c>
      <c r="CA30" s="30" t="s">
        <v>45</v>
      </c>
      <c r="CB30" s="30" t="s">
        <v>45</v>
      </c>
      <c r="CC30" s="30" t="s">
        <v>45</v>
      </c>
      <c r="CD30" s="30" t="s">
        <v>45</v>
      </c>
      <c r="CE30" s="30" t="s">
        <v>45</v>
      </c>
      <c r="CF30" s="30" t="s">
        <v>45</v>
      </c>
      <c r="CG30" s="26">
        <f t="shared" si="71"/>
        <v>0.40300000000000002</v>
      </c>
      <c r="CH30" s="27">
        <f t="shared" si="72"/>
        <v>0.50900000000000001</v>
      </c>
      <c r="CI30" s="27">
        <f t="shared" si="73"/>
        <v>0.57766666666666666</v>
      </c>
      <c r="CJ30" s="27">
        <f t="shared" si="74"/>
        <v>0.59333333333333327</v>
      </c>
      <c r="CK30" s="27">
        <f t="shared" si="75"/>
        <v>0.48699999999999999</v>
      </c>
      <c r="CL30" s="27">
        <f t="shared" si="76"/>
        <v>0.49399999999999999</v>
      </c>
      <c r="CM30" s="27">
        <f t="shared" si="77"/>
        <v>0.49099999999999999</v>
      </c>
      <c r="CN30" s="27">
        <f t="shared" si="78"/>
        <v>0.48499999999999999</v>
      </c>
      <c r="CO30" s="27">
        <f t="shared" si="79"/>
        <v>0.50700000000000001</v>
      </c>
      <c r="CP30" s="27">
        <f t="shared" si="80"/>
        <v>0.747</v>
      </c>
      <c r="CQ30" s="27">
        <f t="shared" si="81"/>
        <v>0.75</v>
      </c>
      <c r="CR30" s="27">
        <f t="shared" si="82"/>
        <v>0.80549999999999999</v>
      </c>
      <c r="CS30" s="27">
        <f t="shared" si="83"/>
        <v>0.77600000000000002</v>
      </c>
      <c r="CT30" s="27">
        <f t="shared" si="84"/>
        <v>0.72399999999999998</v>
      </c>
      <c r="CU30" s="27">
        <f t="shared" si="85"/>
        <v>0.72399999999999998</v>
      </c>
      <c r="CV30" s="27">
        <f t="shared" si="86"/>
        <v>0.75600000000000001</v>
      </c>
      <c r="CW30" s="27">
        <f t="shared" si="87"/>
        <v>0.83</v>
      </c>
      <c r="CX30" s="27">
        <f t="shared" si="88"/>
        <v>0.7</v>
      </c>
      <c r="CY30" s="27">
        <f t="shared" si="89"/>
        <v>0.85499999999999998</v>
      </c>
      <c r="CZ30" s="27">
        <f t="shared" si="90"/>
        <v>0.96</v>
      </c>
      <c r="DA30" s="27">
        <f t="shared" si="91"/>
        <v>0.97299999999999998</v>
      </c>
      <c r="DB30" s="27">
        <f t="shared" si="92"/>
        <v>1.3039999999999998</v>
      </c>
      <c r="DC30" s="27">
        <f t="shared" si="60"/>
        <v>1.4700820000000001</v>
      </c>
      <c r="DD30" s="27">
        <f t="shared" si="61"/>
        <v>1.6559999999999999</v>
      </c>
      <c r="DE30" s="27">
        <f t="shared" si="62"/>
        <v>2.8970000000000002</v>
      </c>
      <c r="DF30" s="27">
        <f t="shared" si="63"/>
        <v>2.7399999999999998</v>
      </c>
      <c r="DG30" s="27">
        <f t="shared" si="64"/>
        <v>1.841</v>
      </c>
      <c r="DH30" s="27">
        <f t="shared" si="65"/>
        <v>1.321</v>
      </c>
      <c r="DI30" s="27">
        <f t="shared" si="66"/>
        <v>1.7809999999999999</v>
      </c>
      <c r="DJ30" s="27">
        <f t="shared" si="67"/>
        <v>1.101</v>
      </c>
      <c r="DK30" s="27">
        <f t="shared" si="68"/>
        <v>1.42</v>
      </c>
      <c r="DL30" s="27">
        <f t="shared" si="69"/>
        <v>4.8899999999999997</v>
      </c>
      <c r="DM30" s="27">
        <f t="shared" si="70"/>
        <v>5.0918479999999997</v>
      </c>
      <c r="DN30" s="27">
        <f t="shared" si="70"/>
        <v>9.9195489999999999</v>
      </c>
      <c r="EO30" s="22"/>
      <c r="EP30" s="22"/>
      <c r="EQ30" s="22"/>
      <c r="ER30" s="22"/>
      <c r="ES30" s="22"/>
    </row>
    <row r="31" spans="1:149">
      <c r="A31" s="23" t="s">
        <v>61</v>
      </c>
      <c r="B31" s="30">
        <v>0.33100000000000002</v>
      </c>
      <c r="C31" s="30">
        <v>0.4</v>
      </c>
      <c r="D31" s="30">
        <v>0.39300000000000002</v>
      </c>
      <c r="E31" s="30">
        <v>0.40100000000000002</v>
      </c>
      <c r="F31" s="30">
        <v>0.42</v>
      </c>
      <c r="G31" s="30">
        <v>0.42</v>
      </c>
      <c r="H31" s="30">
        <v>0.41699999999999998</v>
      </c>
      <c r="I31" s="30">
        <v>0.38300000000000001</v>
      </c>
      <c r="J31" s="30">
        <v>0.39500000000000002</v>
      </c>
      <c r="K31" s="30">
        <v>0.41799999999999998</v>
      </c>
      <c r="L31" s="30">
        <v>0.40100000000000002</v>
      </c>
      <c r="M31" s="30">
        <v>0.41899999999999998</v>
      </c>
      <c r="N31" s="30">
        <v>0.39300000000000002</v>
      </c>
      <c r="O31" s="30">
        <v>0.314</v>
      </c>
      <c r="P31" s="30">
        <v>0.45500000000000002</v>
      </c>
      <c r="Q31" s="30">
        <v>0.47399999999999998</v>
      </c>
      <c r="R31" s="30">
        <v>1.99</v>
      </c>
      <c r="S31" s="30">
        <v>2.2040000000000002</v>
      </c>
      <c r="T31" s="30">
        <v>2.81</v>
      </c>
      <c r="U31" s="30">
        <v>2.8239999999999998</v>
      </c>
      <c r="V31" s="30">
        <v>2.5409999999999999</v>
      </c>
      <c r="W31" s="30">
        <v>3.0180000000000002</v>
      </c>
      <c r="X31" s="30">
        <v>3.5891070000000003</v>
      </c>
      <c r="Y31" s="30">
        <v>4.5640000000000001</v>
      </c>
      <c r="Z31" s="30">
        <v>4.367</v>
      </c>
      <c r="AA31" s="30">
        <v>5.1379999999999999</v>
      </c>
      <c r="AB31" s="30">
        <v>4.3070000000000004</v>
      </c>
      <c r="AC31" s="30">
        <v>4.4250000000000007</v>
      </c>
      <c r="AD31" s="30">
        <v>5.0780000000000003</v>
      </c>
      <c r="AE31" s="30">
        <v>4.1619999999999999</v>
      </c>
      <c r="AF31" s="30">
        <v>3.7050000000000001</v>
      </c>
      <c r="AG31" s="30">
        <v>3.7</v>
      </c>
      <c r="AH31" s="30">
        <v>0.56703899999999996</v>
      </c>
      <c r="AI31" s="30">
        <v>0.40023199999999998</v>
      </c>
      <c r="AJ31" s="31" t="s">
        <v>37</v>
      </c>
      <c r="AK31" s="30" t="s">
        <v>37</v>
      </c>
      <c r="AL31" s="30" t="s">
        <v>37</v>
      </c>
      <c r="AM31" s="30" t="s">
        <v>37</v>
      </c>
      <c r="AN31" s="30" t="s">
        <v>37</v>
      </c>
      <c r="AO31" s="30" t="s">
        <v>37</v>
      </c>
      <c r="AP31" s="30" t="s">
        <v>37</v>
      </c>
      <c r="AQ31" s="30" t="s">
        <v>37</v>
      </c>
      <c r="AR31" s="30" t="s">
        <v>37</v>
      </c>
      <c r="AS31" s="30" t="s">
        <v>37</v>
      </c>
      <c r="AT31" s="30" t="s">
        <v>37</v>
      </c>
      <c r="AU31" s="30" t="s">
        <v>37</v>
      </c>
      <c r="AV31" s="30" t="s">
        <v>37</v>
      </c>
      <c r="AW31" s="30" t="s">
        <v>37</v>
      </c>
      <c r="AX31" s="30" t="s">
        <v>37</v>
      </c>
      <c r="AY31" s="30" t="s">
        <v>37</v>
      </c>
      <c r="AZ31" s="30" t="s">
        <v>37</v>
      </c>
      <c r="BA31" s="30" t="s">
        <v>37</v>
      </c>
      <c r="BB31" s="30" t="s">
        <v>37</v>
      </c>
      <c r="BC31" s="30" t="s">
        <v>37</v>
      </c>
      <c r="BD31" s="30" t="s">
        <v>37</v>
      </c>
      <c r="BE31" s="30" t="s">
        <v>37</v>
      </c>
      <c r="BF31" s="30" t="s">
        <v>37</v>
      </c>
      <c r="BG31" s="30" t="s">
        <v>37</v>
      </c>
      <c r="BH31" s="30" t="s">
        <v>37</v>
      </c>
      <c r="BI31" s="30" t="s">
        <v>37</v>
      </c>
      <c r="BJ31" s="30" t="s">
        <v>45</v>
      </c>
      <c r="BK31" s="30" t="s">
        <v>45</v>
      </c>
      <c r="BL31" s="30" t="s">
        <v>45</v>
      </c>
      <c r="BM31" s="30" t="s">
        <v>45</v>
      </c>
      <c r="BN31" s="30" t="s">
        <v>45</v>
      </c>
      <c r="BO31" s="30" t="s">
        <v>45</v>
      </c>
      <c r="BP31" s="30" t="s">
        <v>45</v>
      </c>
      <c r="BQ31" s="30" t="s">
        <v>45</v>
      </c>
      <c r="BR31" s="31" t="s">
        <v>37</v>
      </c>
      <c r="BS31" s="30" t="s">
        <v>37</v>
      </c>
      <c r="BT31" s="30" t="s">
        <v>37</v>
      </c>
      <c r="BU31" s="30" t="s">
        <v>37</v>
      </c>
      <c r="BV31" s="30" t="s">
        <v>37</v>
      </c>
      <c r="BW31" s="30" t="s">
        <v>37</v>
      </c>
      <c r="BX31" s="30" t="s">
        <v>37</v>
      </c>
      <c r="BY31" s="30" t="s">
        <v>45</v>
      </c>
      <c r="BZ31" s="30" t="s">
        <v>45</v>
      </c>
      <c r="CA31" s="30" t="s">
        <v>45</v>
      </c>
      <c r="CB31" s="30" t="s">
        <v>45</v>
      </c>
      <c r="CC31" s="30" t="s">
        <v>45</v>
      </c>
      <c r="CD31" s="30" t="s">
        <v>45</v>
      </c>
      <c r="CE31" s="30" t="s">
        <v>45</v>
      </c>
      <c r="CF31" s="30" t="s">
        <v>45</v>
      </c>
      <c r="CG31" s="26">
        <f t="shared" si="71"/>
        <v>0.33100000000000002</v>
      </c>
      <c r="CH31" s="27">
        <f t="shared" si="72"/>
        <v>0.4</v>
      </c>
      <c r="CI31" s="27">
        <f t="shared" si="73"/>
        <v>0.39300000000000002</v>
      </c>
      <c r="CJ31" s="27">
        <f t="shared" si="74"/>
        <v>0.40100000000000002</v>
      </c>
      <c r="CK31" s="27">
        <f t="shared" si="75"/>
        <v>0.42</v>
      </c>
      <c r="CL31" s="27">
        <f t="shared" si="76"/>
        <v>0.42</v>
      </c>
      <c r="CM31" s="27">
        <f t="shared" si="77"/>
        <v>0.41699999999999998</v>
      </c>
      <c r="CN31" s="27">
        <f t="shared" si="78"/>
        <v>0.38300000000000001</v>
      </c>
      <c r="CO31" s="27">
        <f t="shared" si="79"/>
        <v>0.39500000000000002</v>
      </c>
      <c r="CP31" s="27">
        <f t="shared" si="80"/>
        <v>0.41799999999999998</v>
      </c>
      <c r="CQ31" s="27">
        <f t="shared" si="81"/>
        <v>0.40100000000000002</v>
      </c>
      <c r="CR31" s="27">
        <f t="shared" si="82"/>
        <v>0.41899999999999998</v>
      </c>
      <c r="CS31" s="27">
        <f t="shared" si="83"/>
        <v>0.39300000000000002</v>
      </c>
      <c r="CT31" s="27">
        <f t="shared" si="84"/>
        <v>0.314</v>
      </c>
      <c r="CU31" s="27">
        <f t="shared" si="85"/>
        <v>0.45500000000000002</v>
      </c>
      <c r="CV31" s="27">
        <f t="shared" si="86"/>
        <v>0.47399999999999998</v>
      </c>
      <c r="CW31" s="27">
        <f t="shared" si="87"/>
        <v>1.99</v>
      </c>
      <c r="CX31" s="27">
        <f t="shared" si="88"/>
        <v>2.2040000000000002</v>
      </c>
      <c r="CY31" s="27">
        <f t="shared" si="89"/>
        <v>2.81</v>
      </c>
      <c r="CZ31" s="27">
        <f t="shared" si="90"/>
        <v>2.8239999999999998</v>
      </c>
      <c r="DA31" s="27">
        <f t="shared" si="91"/>
        <v>2.5409999999999999</v>
      </c>
      <c r="DB31" s="27">
        <f t="shared" si="92"/>
        <v>3.0180000000000002</v>
      </c>
      <c r="DC31" s="27">
        <f t="shared" si="60"/>
        <v>3.5891070000000003</v>
      </c>
      <c r="DD31" s="27">
        <f t="shared" si="61"/>
        <v>4.5640000000000001</v>
      </c>
      <c r="DE31" s="27">
        <f t="shared" si="62"/>
        <v>4.367</v>
      </c>
      <c r="DF31" s="27">
        <f t="shared" si="63"/>
        <v>5.1379999999999999</v>
      </c>
      <c r="DG31" s="27">
        <f t="shared" si="64"/>
        <v>4.3070000000000004</v>
      </c>
      <c r="DH31" s="27">
        <f t="shared" si="65"/>
        <v>4.4250000000000007</v>
      </c>
      <c r="DI31" s="27">
        <f t="shared" si="66"/>
        <v>5.0780000000000003</v>
      </c>
      <c r="DJ31" s="27">
        <f t="shared" si="67"/>
        <v>4.1619999999999999</v>
      </c>
      <c r="DK31" s="27">
        <f t="shared" si="68"/>
        <v>3.7050000000000001</v>
      </c>
      <c r="DL31" s="27">
        <f t="shared" si="69"/>
        <v>3.7</v>
      </c>
      <c r="DM31" s="27">
        <f t="shared" si="70"/>
        <v>0.56703899999999996</v>
      </c>
      <c r="DN31" s="27">
        <f t="shared" si="70"/>
        <v>0.40023199999999998</v>
      </c>
      <c r="EO31" s="22"/>
      <c r="EP31" s="22"/>
      <c r="EQ31" s="22"/>
      <c r="ER31" s="22"/>
      <c r="ES31" s="22"/>
    </row>
    <row r="32" spans="1:149">
      <c r="A32" s="23" t="s">
        <v>62</v>
      </c>
      <c r="B32" s="30">
        <v>0.32700000000000001</v>
      </c>
      <c r="C32" s="30">
        <v>0.41399999999999998</v>
      </c>
      <c r="D32" s="30">
        <v>0.41399999999999998</v>
      </c>
      <c r="E32" s="30">
        <v>0.41399999999999998</v>
      </c>
      <c r="F32" s="30">
        <v>0.35199999999999998</v>
      </c>
      <c r="G32" s="30">
        <v>0.35199999999999998</v>
      </c>
      <c r="H32" s="30">
        <v>0.35199999999999998</v>
      </c>
      <c r="I32" s="30">
        <v>0.35199999999999998</v>
      </c>
      <c r="J32" s="30">
        <v>0.33200000000000002</v>
      </c>
      <c r="K32" s="30">
        <v>0.34100000000000003</v>
      </c>
      <c r="L32" s="30">
        <v>0.34200000000000003</v>
      </c>
      <c r="M32" s="30">
        <v>0.34200000000000003</v>
      </c>
      <c r="N32" s="30">
        <v>2.5950000000000002</v>
      </c>
      <c r="O32" s="30">
        <v>3.18</v>
      </c>
      <c r="P32" s="30">
        <v>5.9</v>
      </c>
      <c r="Q32" s="30">
        <v>5.9</v>
      </c>
      <c r="R32" s="30">
        <v>6.0830000000000002</v>
      </c>
      <c r="S32" s="30">
        <v>6.5289999999999999</v>
      </c>
      <c r="T32" s="30">
        <v>3.0659999999999998</v>
      </c>
      <c r="U32" s="24">
        <f>((V32-T32)/2)+T32</f>
        <v>5.4104999999999999</v>
      </c>
      <c r="V32" s="30">
        <v>7.7549999999999999</v>
      </c>
      <c r="W32" s="30">
        <v>9.9989999999999988</v>
      </c>
      <c r="X32" s="30">
        <v>11.199403999999999</v>
      </c>
      <c r="Y32" s="30">
        <v>12.962</v>
      </c>
      <c r="Z32" s="30">
        <v>13.41</v>
      </c>
      <c r="AA32" s="30">
        <v>14.257</v>
      </c>
      <c r="AB32" s="30">
        <v>16.627000000000002</v>
      </c>
      <c r="AC32" s="30">
        <v>23.77</v>
      </c>
      <c r="AD32" s="30">
        <v>27.725000000000001</v>
      </c>
      <c r="AE32" s="30">
        <v>29.548999999999999</v>
      </c>
      <c r="AF32" s="30">
        <v>9.7639999999999993</v>
      </c>
      <c r="AG32" s="30">
        <v>10.073</v>
      </c>
      <c r="AH32" s="30">
        <v>12.629478000000001</v>
      </c>
      <c r="AI32" s="30">
        <v>10.195046</v>
      </c>
      <c r="AJ32" s="31" t="s">
        <v>37</v>
      </c>
      <c r="AK32" s="30" t="s">
        <v>37</v>
      </c>
      <c r="AL32" s="30" t="s">
        <v>37</v>
      </c>
      <c r="AM32" s="30" t="s">
        <v>37</v>
      </c>
      <c r="AN32" s="30">
        <v>4.8000000000000001E-2</v>
      </c>
      <c r="AO32" s="30">
        <v>4.8000000000000001E-2</v>
      </c>
      <c r="AP32" s="30">
        <v>4.8000000000000001E-2</v>
      </c>
      <c r="AQ32" s="30">
        <v>4.8000000000000001E-2</v>
      </c>
      <c r="AR32" s="30">
        <v>4.4999999999999998E-2</v>
      </c>
      <c r="AS32" s="30">
        <v>0.06</v>
      </c>
      <c r="AT32" s="30">
        <v>0.06</v>
      </c>
      <c r="AU32" s="30">
        <v>0.06</v>
      </c>
      <c r="AV32" s="30">
        <v>9.1999999999999998E-2</v>
      </c>
      <c r="AW32" s="30">
        <v>1.0169999999999999</v>
      </c>
      <c r="AX32" s="30">
        <v>1.3180000000000001</v>
      </c>
      <c r="AY32" s="30">
        <v>1.3180000000000001</v>
      </c>
      <c r="AZ32" s="30">
        <v>0.72899999999999998</v>
      </c>
      <c r="BA32" s="30">
        <v>0.91900000000000004</v>
      </c>
      <c r="BB32" s="24">
        <f>(($BE$32-$BA$32)/4)+BA32</f>
        <v>0.71975</v>
      </c>
      <c r="BC32" s="24">
        <f>(($BE$32-$BA$32)/4)+BB32</f>
        <v>0.52049999999999996</v>
      </c>
      <c r="BD32" s="24">
        <f>(($BE$32-$BA$32)/4)+BC32</f>
        <v>0.32124999999999992</v>
      </c>
      <c r="BE32" s="30">
        <v>0.122</v>
      </c>
      <c r="BF32" s="30">
        <v>2.282969</v>
      </c>
      <c r="BG32" s="30">
        <v>2.6509999999999998</v>
      </c>
      <c r="BH32" s="30">
        <v>3.0819999999999999</v>
      </c>
      <c r="BI32" s="30">
        <v>3.5169999999999999</v>
      </c>
      <c r="BJ32" s="30">
        <v>4.5149999999999997</v>
      </c>
      <c r="BK32" s="30">
        <v>4.7049999999999992</v>
      </c>
      <c r="BL32" s="30">
        <v>6.0780000000000003</v>
      </c>
      <c r="BM32" s="30">
        <v>6.72</v>
      </c>
      <c r="BN32" s="30">
        <v>0.63300000000000001</v>
      </c>
      <c r="BO32" s="30">
        <v>0.56699999999999995</v>
      </c>
      <c r="BP32" s="30">
        <v>0.61766200000000004</v>
      </c>
      <c r="BQ32" s="30">
        <v>0.61401700000000003</v>
      </c>
      <c r="BR32" s="31">
        <v>11.032</v>
      </c>
      <c r="BS32" s="24">
        <f>((BT32-BR32)/2)+BR32</f>
        <v>5.5294999999999996</v>
      </c>
      <c r="BT32" s="30">
        <v>2.7E-2</v>
      </c>
      <c r="BU32" s="30" t="s">
        <v>37</v>
      </c>
      <c r="BV32" s="30" t="s">
        <v>37</v>
      </c>
      <c r="BW32" s="30" t="s">
        <v>37</v>
      </c>
      <c r="BX32" s="30" t="s">
        <v>37</v>
      </c>
      <c r="BY32" s="30" t="s">
        <v>45</v>
      </c>
      <c r="BZ32" s="30" t="s">
        <v>45</v>
      </c>
      <c r="CA32" s="30" t="s">
        <v>45</v>
      </c>
      <c r="CB32" s="30" t="s">
        <v>45</v>
      </c>
      <c r="CC32" s="30" t="s">
        <v>45</v>
      </c>
      <c r="CD32" s="30" t="s">
        <v>45</v>
      </c>
      <c r="CE32" s="30" t="s">
        <v>45</v>
      </c>
      <c r="CF32" s="30" t="s">
        <v>45</v>
      </c>
      <c r="CG32" s="26">
        <f t="shared" si="71"/>
        <v>0.32700000000000001</v>
      </c>
      <c r="CH32" s="27">
        <f t="shared" si="72"/>
        <v>0.41399999999999998</v>
      </c>
      <c r="CI32" s="27">
        <f t="shared" si="73"/>
        <v>0.41399999999999998</v>
      </c>
      <c r="CJ32" s="27">
        <f t="shared" si="74"/>
        <v>0.41399999999999998</v>
      </c>
      <c r="CK32" s="27">
        <f t="shared" si="75"/>
        <v>0.39999999999999997</v>
      </c>
      <c r="CL32" s="27">
        <f t="shared" si="76"/>
        <v>0.39999999999999997</v>
      </c>
      <c r="CM32" s="27">
        <f t="shared" si="77"/>
        <v>0.39999999999999997</v>
      </c>
      <c r="CN32" s="27">
        <f t="shared" si="78"/>
        <v>0.39999999999999997</v>
      </c>
      <c r="CO32" s="27">
        <f t="shared" si="79"/>
        <v>0.377</v>
      </c>
      <c r="CP32" s="27">
        <f t="shared" si="80"/>
        <v>0.40100000000000002</v>
      </c>
      <c r="CQ32" s="27">
        <f t="shared" si="81"/>
        <v>0.40200000000000002</v>
      </c>
      <c r="CR32" s="27">
        <f t="shared" si="82"/>
        <v>0.40200000000000002</v>
      </c>
      <c r="CS32" s="27">
        <f t="shared" si="83"/>
        <v>2.6870000000000003</v>
      </c>
      <c r="CT32" s="27">
        <f t="shared" si="84"/>
        <v>4.1970000000000001</v>
      </c>
      <c r="CU32" s="27">
        <f t="shared" si="85"/>
        <v>7.218</v>
      </c>
      <c r="CV32" s="27">
        <f t="shared" si="86"/>
        <v>7.218</v>
      </c>
      <c r="CW32" s="27">
        <f t="shared" si="87"/>
        <v>6.8120000000000003</v>
      </c>
      <c r="CX32" s="27">
        <f t="shared" si="88"/>
        <v>7.4480000000000004</v>
      </c>
      <c r="CY32" s="27">
        <f t="shared" si="89"/>
        <v>3.7857499999999997</v>
      </c>
      <c r="CZ32" s="27">
        <f t="shared" si="90"/>
        <v>16.963000000000001</v>
      </c>
      <c r="DA32" s="27">
        <f t="shared" si="91"/>
        <v>13.60575</v>
      </c>
      <c r="DB32" s="27">
        <f t="shared" si="92"/>
        <v>10.147999999999998</v>
      </c>
      <c r="DC32" s="27">
        <f t="shared" si="60"/>
        <v>13.482372999999999</v>
      </c>
      <c r="DD32" s="27">
        <f t="shared" si="61"/>
        <v>15.613</v>
      </c>
      <c r="DE32" s="27">
        <f t="shared" si="62"/>
        <v>16.492000000000001</v>
      </c>
      <c r="DF32" s="27">
        <f t="shared" si="63"/>
        <v>17.774000000000001</v>
      </c>
      <c r="DG32" s="27">
        <f t="shared" si="64"/>
        <v>21.142000000000003</v>
      </c>
      <c r="DH32" s="27">
        <f t="shared" si="65"/>
        <v>28.474999999999998</v>
      </c>
      <c r="DI32" s="27">
        <f t="shared" si="66"/>
        <v>33.803000000000004</v>
      </c>
      <c r="DJ32" s="27">
        <f t="shared" si="67"/>
        <v>36.268999999999998</v>
      </c>
      <c r="DK32" s="27">
        <f t="shared" si="68"/>
        <v>10.396999999999998</v>
      </c>
      <c r="DL32" s="27">
        <f t="shared" si="69"/>
        <v>10.64</v>
      </c>
      <c r="DM32" s="27">
        <f t="shared" si="70"/>
        <v>13.24714</v>
      </c>
      <c r="DN32" s="27">
        <f t="shared" si="70"/>
        <v>10.809063</v>
      </c>
      <c r="EO32" s="22"/>
      <c r="EP32" s="22"/>
      <c r="EQ32" s="22"/>
      <c r="ER32" s="22"/>
      <c r="ES32" s="22"/>
    </row>
    <row r="33" spans="1:149">
      <c r="A33" s="23" t="s">
        <v>63</v>
      </c>
      <c r="B33" s="30">
        <v>1</v>
      </c>
      <c r="C33" s="30">
        <v>1.0249999999999999</v>
      </c>
      <c r="D33" s="30">
        <v>1.4610000000000001</v>
      </c>
      <c r="E33" s="30">
        <v>1.4610000000000001</v>
      </c>
      <c r="F33" s="30">
        <v>1.4610000000000001</v>
      </c>
      <c r="G33" s="30">
        <v>5.024</v>
      </c>
      <c r="H33" s="30">
        <v>5.024</v>
      </c>
      <c r="I33" s="30">
        <v>6.5350000000000001</v>
      </c>
      <c r="J33" s="30">
        <v>7.2930000000000001</v>
      </c>
      <c r="K33" s="30">
        <v>8.2949999999999999</v>
      </c>
      <c r="L33" s="30">
        <v>9.266</v>
      </c>
      <c r="M33" s="30">
        <v>13.885999999999999</v>
      </c>
      <c r="N33" s="30">
        <v>14.629</v>
      </c>
      <c r="O33" s="30">
        <v>14.289</v>
      </c>
      <c r="P33" s="30">
        <v>14.509</v>
      </c>
      <c r="Q33" s="30">
        <v>16.228999999999999</v>
      </c>
      <c r="R33" s="30">
        <v>15.744999999999999</v>
      </c>
      <c r="S33" s="30">
        <v>17.469000000000001</v>
      </c>
      <c r="T33" s="30">
        <v>684.34199999999998</v>
      </c>
      <c r="U33" s="30">
        <v>12.905999999999999</v>
      </c>
      <c r="V33" s="30">
        <v>2.4239999999999999</v>
      </c>
      <c r="W33" s="30">
        <v>14.266999999999999</v>
      </c>
      <c r="X33" s="30">
        <v>20.993725999999999</v>
      </c>
      <c r="Y33" s="30">
        <v>22.492000000000001</v>
      </c>
      <c r="Z33" s="30">
        <v>21.71</v>
      </c>
      <c r="AA33" s="30">
        <v>22.241</v>
      </c>
      <c r="AB33" s="30">
        <v>21.911000000000001</v>
      </c>
      <c r="AC33" s="30">
        <v>24.862000000000002</v>
      </c>
      <c r="AD33" s="30">
        <v>23.129000000000001</v>
      </c>
      <c r="AE33" s="30">
        <v>12.181000000000001</v>
      </c>
      <c r="AF33" s="30">
        <v>24.673999999999999</v>
      </c>
      <c r="AG33" s="30">
        <v>24.187999999999999</v>
      </c>
      <c r="AH33" s="30">
        <v>27.042825000000001</v>
      </c>
      <c r="AI33" s="30">
        <v>24.372696000000001</v>
      </c>
      <c r="AJ33" s="31" t="s">
        <v>37</v>
      </c>
      <c r="AK33" s="30">
        <v>7.64</v>
      </c>
      <c r="AL33" s="30" t="s">
        <v>45</v>
      </c>
      <c r="AM33" s="30" t="s">
        <v>45</v>
      </c>
      <c r="AN33" s="30" t="s">
        <v>45</v>
      </c>
      <c r="AO33" s="30">
        <v>0.28499999999999998</v>
      </c>
      <c r="AP33" s="30">
        <v>0.28499999999999998</v>
      </c>
      <c r="AQ33" s="30">
        <v>0.72199999999999998</v>
      </c>
      <c r="AR33" s="30">
        <v>0.59499999999999997</v>
      </c>
      <c r="AS33" s="30">
        <v>0.59499999999999997</v>
      </c>
      <c r="AT33" s="30">
        <v>0.622</v>
      </c>
      <c r="AU33" s="30">
        <v>0.79400000000000004</v>
      </c>
      <c r="AV33" s="30">
        <v>0.69199999999999995</v>
      </c>
      <c r="AW33" s="30">
        <v>0.59</v>
      </c>
      <c r="AX33" s="30">
        <v>0.58899999999999997</v>
      </c>
      <c r="AY33" s="30">
        <v>0.66900000000000004</v>
      </c>
      <c r="AZ33" s="30">
        <v>0.63200000000000001</v>
      </c>
      <c r="BA33" s="30">
        <v>0.76700000000000002</v>
      </c>
      <c r="BB33" s="30">
        <v>2.7</v>
      </c>
      <c r="BC33" s="30">
        <v>0.627</v>
      </c>
      <c r="BD33" s="30">
        <v>0.54700000000000004</v>
      </c>
      <c r="BE33" s="30">
        <v>0.60799999999999998</v>
      </c>
      <c r="BF33" s="30">
        <v>0.78711299999999995</v>
      </c>
      <c r="BG33" s="30">
        <v>0.57899999999999996</v>
      </c>
      <c r="BH33" s="30">
        <v>1.7250000000000001</v>
      </c>
      <c r="BI33" s="30">
        <v>1.4929999999999999</v>
      </c>
      <c r="BJ33" s="30">
        <v>2.0939999999999999</v>
      </c>
      <c r="BK33" s="30">
        <v>1.615</v>
      </c>
      <c r="BL33" s="30">
        <v>1.3140000000000001</v>
      </c>
      <c r="BM33" s="30">
        <v>0.42199999999999999</v>
      </c>
      <c r="BN33" s="30">
        <v>0.437</v>
      </c>
      <c r="BO33" s="30">
        <v>0.46100000000000002</v>
      </c>
      <c r="BP33" s="30">
        <v>0.534972</v>
      </c>
      <c r="BQ33" s="30">
        <v>0.46872200000000003</v>
      </c>
      <c r="BR33" s="31" t="s">
        <v>37</v>
      </c>
      <c r="BS33" s="30">
        <v>13.144</v>
      </c>
      <c r="BT33" s="30" t="s">
        <v>37</v>
      </c>
      <c r="BU33" s="30" t="s">
        <v>37</v>
      </c>
      <c r="BV33" s="30" t="s">
        <v>37</v>
      </c>
      <c r="BW33" s="30" t="s">
        <v>37</v>
      </c>
      <c r="BX33" s="30" t="s">
        <v>37</v>
      </c>
      <c r="BY33" s="30" t="s">
        <v>45</v>
      </c>
      <c r="BZ33" s="30" t="s">
        <v>45</v>
      </c>
      <c r="CA33" s="30" t="s">
        <v>45</v>
      </c>
      <c r="CB33" s="30" t="s">
        <v>45</v>
      </c>
      <c r="CC33" s="30" t="s">
        <v>45</v>
      </c>
      <c r="CD33" s="30" t="s">
        <v>45</v>
      </c>
      <c r="CE33" s="30" t="s">
        <v>45</v>
      </c>
      <c r="CF33" s="30" t="s">
        <v>45</v>
      </c>
      <c r="CG33" s="26">
        <f t="shared" si="71"/>
        <v>1</v>
      </c>
      <c r="CH33" s="27">
        <f t="shared" si="72"/>
        <v>8.6649999999999991</v>
      </c>
      <c r="CI33" s="27">
        <f t="shared" si="73"/>
        <v>1.4610000000000001</v>
      </c>
      <c r="CJ33" s="27">
        <f t="shared" si="74"/>
        <v>1.4610000000000001</v>
      </c>
      <c r="CK33" s="27">
        <f t="shared" si="75"/>
        <v>1.4610000000000001</v>
      </c>
      <c r="CL33" s="27">
        <f t="shared" si="76"/>
        <v>5.3090000000000002</v>
      </c>
      <c r="CM33" s="27">
        <f t="shared" si="77"/>
        <v>5.3090000000000002</v>
      </c>
      <c r="CN33" s="27">
        <f t="shared" si="78"/>
        <v>7.2569999999999997</v>
      </c>
      <c r="CO33" s="27">
        <f t="shared" si="79"/>
        <v>7.8879999999999999</v>
      </c>
      <c r="CP33" s="27">
        <f t="shared" si="80"/>
        <v>8.89</v>
      </c>
      <c r="CQ33" s="27">
        <f t="shared" si="81"/>
        <v>9.8879999999999999</v>
      </c>
      <c r="CR33" s="27">
        <f t="shared" si="82"/>
        <v>14.68</v>
      </c>
      <c r="CS33" s="27">
        <f t="shared" si="83"/>
        <v>15.321</v>
      </c>
      <c r="CT33" s="27">
        <f t="shared" si="84"/>
        <v>14.879</v>
      </c>
      <c r="CU33" s="27">
        <f t="shared" si="85"/>
        <v>15.098000000000001</v>
      </c>
      <c r="CV33" s="27">
        <f t="shared" si="86"/>
        <v>16.898</v>
      </c>
      <c r="CW33" s="27">
        <f t="shared" si="87"/>
        <v>16.376999999999999</v>
      </c>
      <c r="CX33" s="27">
        <f t="shared" si="88"/>
        <v>18.236000000000001</v>
      </c>
      <c r="CY33" s="27">
        <f t="shared" si="89"/>
        <v>687.04200000000003</v>
      </c>
      <c r="CZ33" s="27">
        <f t="shared" si="90"/>
        <v>13.532999999999999</v>
      </c>
      <c r="DA33" s="27">
        <f t="shared" si="91"/>
        <v>16.115000000000002</v>
      </c>
      <c r="DB33" s="27">
        <f t="shared" si="92"/>
        <v>14.875</v>
      </c>
      <c r="DC33" s="27">
        <f t="shared" si="60"/>
        <v>21.780839</v>
      </c>
      <c r="DD33" s="27">
        <f t="shared" si="61"/>
        <v>23.071000000000002</v>
      </c>
      <c r="DE33" s="27">
        <f t="shared" si="62"/>
        <v>23.435000000000002</v>
      </c>
      <c r="DF33" s="27">
        <f t="shared" si="63"/>
        <v>23.733999999999998</v>
      </c>
      <c r="DG33" s="27">
        <f t="shared" si="64"/>
        <v>24.005000000000003</v>
      </c>
      <c r="DH33" s="27">
        <f t="shared" si="65"/>
        <v>26.477</v>
      </c>
      <c r="DI33" s="27">
        <f t="shared" si="66"/>
        <v>24.443000000000001</v>
      </c>
      <c r="DJ33" s="27">
        <f t="shared" si="67"/>
        <v>12.603000000000002</v>
      </c>
      <c r="DK33" s="27">
        <f t="shared" si="68"/>
        <v>25.111000000000001</v>
      </c>
      <c r="DL33" s="27">
        <f t="shared" si="69"/>
        <v>24.648999999999997</v>
      </c>
      <c r="DM33" s="27">
        <f t="shared" si="70"/>
        <v>27.577797</v>
      </c>
      <c r="DN33" s="27">
        <f t="shared" si="70"/>
        <v>24.841418000000001</v>
      </c>
      <c r="EO33" s="22"/>
      <c r="EP33" s="22"/>
      <c r="EQ33" s="22"/>
      <c r="ER33" s="22"/>
      <c r="ES33" s="22"/>
    </row>
    <row r="34" spans="1:149">
      <c r="A34" s="23" t="s">
        <v>64</v>
      </c>
      <c r="B34" s="30">
        <v>8.8360000000000003</v>
      </c>
      <c r="C34" s="30">
        <v>9.2929999999999993</v>
      </c>
      <c r="D34" s="30">
        <v>9.3439999999999994</v>
      </c>
      <c r="E34" s="30">
        <v>9.2240000000000002</v>
      </c>
      <c r="F34" s="30">
        <v>10.121</v>
      </c>
      <c r="G34" s="30">
        <v>10.616</v>
      </c>
      <c r="H34" s="30">
        <v>10.77</v>
      </c>
      <c r="I34" s="30">
        <v>11.747999999999999</v>
      </c>
      <c r="J34" s="30">
        <v>11.852</v>
      </c>
      <c r="K34" s="30">
        <v>12.606</v>
      </c>
      <c r="L34" s="30">
        <v>12.903</v>
      </c>
      <c r="M34" s="30">
        <v>13.760999999999999</v>
      </c>
      <c r="N34" s="30">
        <v>13.651</v>
      </c>
      <c r="O34" s="30">
        <v>16.241</v>
      </c>
      <c r="P34" s="30">
        <v>15.795</v>
      </c>
      <c r="Q34" s="30">
        <v>16.027000000000001</v>
      </c>
      <c r="R34" s="30">
        <v>17.890999999999998</v>
      </c>
      <c r="S34" s="30">
        <v>19.710999999999999</v>
      </c>
      <c r="T34" s="30">
        <v>19.866</v>
      </c>
      <c r="U34" s="30">
        <v>17.29</v>
      </c>
      <c r="V34" s="30">
        <v>21.782</v>
      </c>
      <c r="W34" s="30">
        <v>23.137</v>
      </c>
      <c r="X34" s="30">
        <v>29.361141999999997</v>
      </c>
      <c r="Y34" s="30">
        <v>33.118000000000002</v>
      </c>
      <c r="Z34" s="30">
        <v>34.698</v>
      </c>
      <c r="AA34" s="30">
        <v>68.835999999999999</v>
      </c>
      <c r="AB34" s="30">
        <v>77.188000000000002</v>
      </c>
      <c r="AC34" s="30">
        <v>19.285999999999998</v>
      </c>
      <c r="AD34" s="30">
        <v>43.752000000000002</v>
      </c>
      <c r="AE34" s="30">
        <v>52.132999999999996</v>
      </c>
      <c r="AF34" s="30">
        <v>55.374000000000002</v>
      </c>
      <c r="AG34" s="30">
        <v>57.771000000000001</v>
      </c>
      <c r="AH34" s="30">
        <v>64.671089999999992</v>
      </c>
      <c r="AI34" s="30">
        <v>72.11718599999999</v>
      </c>
      <c r="AJ34" s="31">
        <v>8.2000000000000003E-2</v>
      </c>
      <c r="AK34" s="30">
        <v>7.2999999999999995E-2</v>
      </c>
      <c r="AL34" s="30">
        <v>6.3E-2</v>
      </c>
      <c r="AM34" s="30" t="s">
        <v>37</v>
      </c>
      <c r="AN34" s="30" t="s">
        <v>37</v>
      </c>
      <c r="AO34" s="30" t="s">
        <v>37</v>
      </c>
      <c r="AP34" s="30" t="s">
        <v>37</v>
      </c>
      <c r="AQ34" s="30" t="s">
        <v>37</v>
      </c>
      <c r="AR34" s="30" t="s">
        <v>37</v>
      </c>
      <c r="AS34" s="30" t="s">
        <v>37</v>
      </c>
      <c r="AT34" s="30" t="s">
        <v>37</v>
      </c>
      <c r="AU34" s="30" t="s">
        <v>37</v>
      </c>
      <c r="AV34" s="30" t="s">
        <v>37</v>
      </c>
      <c r="AW34" s="30" t="s">
        <v>37</v>
      </c>
      <c r="AX34" s="30" t="s">
        <v>37</v>
      </c>
      <c r="AY34" s="30" t="s">
        <v>37</v>
      </c>
      <c r="AZ34" s="30" t="s">
        <v>37</v>
      </c>
      <c r="BA34" s="30" t="s">
        <v>37</v>
      </c>
      <c r="BB34" s="30" t="s">
        <v>37</v>
      </c>
      <c r="BC34" s="30" t="s">
        <v>37</v>
      </c>
      <c r="BD34" s="30" t="s">
        <v>37</v>
      </c>
      <c r="BE34" s="30" t="s">
        <v>37</v>
      </c>
      <c r="BF34" s="30" t="s">
        <v>37</v>
      </c>
      <c r="BG34" s="30" t="s">
        <v>37</v>
      </c>
      <c r="BH34" s="30" t="s">
        <v>37</v>
      </c>
      <c r="BI34" s="30" t="s">
        <v>37</v>
      </c>
      <c r="BJ34" s="30" t="s">
        <v>45</v>
      </c>
      <c r="BK34" s="30" t="s">
        <v>45</v>
      </c>
      <c r="BL34" s="30" t="s">
        <v>45</v>
      </c>
      <c r="BM34" s="30" t="s">
        <v>45</v>
      </c>
      <c r="BN34" s="30" t="s">
        <v>45</v>
      </c>
      <c r="BO34" s="30" t="s">
        <v>45</v>
      </c>
      <c r="BP34" s="30" t="s">
        <v>45</v>
      </c>
      <c r="BQ34" s="30" t="s">
        <v>45</v>
      </c>
      <c r="BR34" s="31">
        <v>7.9000000000000001E-2</v>
      </c>
      <c r="BS34" s="30" t="s">
        <v>37</v>
      </c>
      <c r="BT34" s="30" t="s">
        <v>37</v>
      </c>
      <c r="BU34" s="30" t="s">
        <v>37</v>
      </c>
      <c r="BV34" s="30" t="s">
        <v>37</v>
      </c>
      <c r="BW34" s="30" t="s">
        <v>37</v>
      </c>
      <c r="BX34" s="30" t="s">
        <v>37</v>
      </c>
      <c r="BY34" s="30" t="s">
        <v>45</v>
      </c>
      <c r="BZ34" s="30" t="s">
        <v>45</v>
      </c>
      <c r="CA34" s="30" t="s">
        <v>45</v>
      </c>
      <c r="CB34" s="30" t="s">
        <v>45</v>
      </c>
      <c r="CC34" s="30" t="s">
        <v>45</v>
      </c>
      <c r="CD34" s="30" t="s">
        <v>45</v>
      </c>
      <c r="CE34" s="30" t="s">
        <v>45</v>
      </c>
      <c r="CF34" s="30" t="s">
        <v>45</v>
      </c>
      <c r="CG34" s="26">
        <f t="shared" si="71"/>
        <v>8.918000000000001</v>
      </c>
      <c r="CH34" s="27">
        <f t="shared" si="72"/>
        <v>9.3659999999999997</v>
      </c>
      <c r="CI34" s="27">
        <f t="shared" si="73"/>
        <v>9.407</v>
      </c>
      <c r="CJ34" s="27">
        <f t="shared" si="74"/>
        <v>9.2240000000000002</v>
      </c>
      <c r="CK34" s="27">
        <f t="shared" si="75"/>
        <v>10.121</v>
      </c>
      <c r="CL34" s="27">
        <f t="shared" si="76"/>
        <v>10.616</v>
      </c>
      <c r="CM34" s="27">
        <f t="shared" si="77"/>
        <v>10.77</v>
      </c>
      <c r="CN34" s="27">
        <f t="shared" si="78"/>
        <v>11.747999999999999</v>
      </c>
      <c r="CO34" s="27">
        <f t="shared" si="79"/>
        <v>11.852</v>
      </c>
      <c r="CP34" s="27">
        <f t="shared" si="80"/>
        <v>12.606</v>
      </c>
      <c r="CQ34" s="27">
        <f t="shared" si="81"/>
        <v>12.903</v>
      </c>
      <c r="CR34" s="27">
        <f t="shared" si="82"/>
        <v>13.760999999999999</v>
      </c>
      <c r="CS34" s="27">
        <f t="shared" si="83"/>
        <v>13.651</v>
      </c>
      <c r="CT34" s="27">
        <f t="shared" si="84"/>
        <v>16.241</v>
      </c>
      <c r="CU34" s="27">
        <f t="shared" si="85"/>
        <v>15.795</v>
      </c>
      <c r="CV34" s="27">
        <f t="shared" si="86"/>
        <v>16.027000000000001</v>
      </c>
      <c r="CW34" s="27">
        <f t="shared" si="87"/>
        <v>17.890999999999998</v>
      </c>
      <c r="CX34" s="27">
        <f t="shared" si="88"/>
        <v>19.710999999999999</v>
      </c>
      <c r="CY34" s="27">
        <f t="shared" si="89"/>
        <v>19.866</v>
      </c>
      <c r="CZ34" s="27">
        <f t="shared" si="90"/>
        <v>17.369</v>
      </c>
      <c r="DA34" s="27">
        <f t="shared" si="91"/>
        <v>21.782</v>
      </c>
      <c r="DB34" s="27">
        <f t="shared" si="92"/>
        <v>23.137</v>
      </c>
      <c r="DC34" s="27">
        <f t="shared" si="60"/>
        <v>29.361141999999997</v>
      </c>
      <c r="DD34" s="27">
        <f t="shared" si="61"/>
        <v>33.118000000000002</v>
      </c>
      <c r="DE34" s="27">
        <f t="shared" si="62"/>
        <v>34.698</v>
      </c>
      <c r="DF34" s="27">
        <f t="shared" si="63"/>
        <v>68.835999999999999</v>
      </c>
      <c r="DG34" s="27">
        <f t="shared" si="64"/>
        <v>77.188000000000002</v>
      </c>
      <c r="DH34" s="27">
        <f t="shared" si="65"/>
        <v>19.285999999999998</v>
      </c>
      <c r="DI34" s="27">
        <f t="shared" si="66"/>
        <v>43.752000000000002</v>
      </c>
      <c r="DJ34" s="27">
        <f t="shared" si="67"/>
        <v>52.132999999999996</v>
      </c>
      <c r="DK34" s="27">
        <f t="shared" si="68"/>
        <v>55.374000000000002</v>
      </c>
      <c r="DL34" s="27">
        <f t="shared" si="69"/>
        <v>57.771000000000001</v>
      </c>
      <c r="DM34" s="27">
        <f t="shared" si="70"/>
        <v>64.671089999999992</v>
      </c>
      <c r="DN34" s="27">
        <f t="shared" si="70"/>
        <v>72.11718599999999</v>
      </c>
      <c r="EO34" s="22"/>
      <c r="EP34" s="22"/>
      <c r="EQ34" s="22"/>
      <c r="ER34" s="22"/>
      <c r="ES34" s="22"/>
    </row>
    <row r="35" spans="1:149">
      <c r="A35" s="23" t="s">
        <v>65</v>
      </c>
      <c r="B35" s="30">
        <v>1.1990000000000001</v>
      </c>
      <c r="C35" s="41">
        <v>1.804</v>
      </c>
      <c r="D35" s="41">
        <v>1.6319999999999999</v>
      </c>
      <c r="E35" s="41">
        <v>1.641</v>
      </c>
      <c r="F35" s="41">
        <v>1.08</v>
      </c>
      <c r="G35" s="41">
        <v>1.081</v>
      </c>
      <c r="H35" s="41">
        <v>1.0680000000000001</v>
      </c>
      <c r="I35" s="41">
        <v>1.0009999999999999</v>
      </c>
      <c r="J35" s="41">
        <v>1.042</v>
      </c>
      <c r="K35" s="41">
        <v>1.115</v>
      </c>
      <c r="L35" s="41">
        <v>1.1319999999999999</v>
      </c>
      <c r="M35" s="41">
        <v>1.129</v>
      </c>
      <c r="N35" s="41">
        <v>1.1970000000000001</v>
      </c>
      <c r="O35" s="41">
        <v>2.17</v>
      </c>
      <c r="P35" s="41">
        <v>1.962</v>
      </c>
      <c r="Q35" s="41">
        <v>1.9570000000000001</v>
      </c>
      <c r="R35" s="41">
        <v>2.6560000000000001</v>
      </c>
      <c r="S35" s="41">
        <v>2.5110000000000001</v>
      </c>
      <c r="T35" s="41">
        <v>4.069</v>
      </c>
      <c r="U35" s="41">
        <v>3.7789999999999999</v>
      </c>
      <c r="V35" s="41">
        <v>3.7130000000000001</v>
      </c>
      <c r="W35" s="41">
        <v>6.7050000000000001</v>
      </c>
      <c r="X35" s="41">
        <v>6.6041419999999995</v>
      </c>
      <c r="Y35" s="41">
        <v>7.3580000000000005</v>
      </c>
      <c r="Z35" s="41">
        <v>9.0419999999999998</v>
      </c>
      <c r="AA35" s="41">
        <v>7.4109999999999996</v>
      </c>
      <c r="AB35" s="41">
        <v>4.76</v>
      </c>
      <c r="AC35" s="41">
        <v>4.0990000000000002</v>
      </c>
      <c r="AD35" s="41">
        <v>2.9910000000000001</v>
      </c>
      <c r="AE35" s="30">
        <v>3.484</v>
      </c>
      <c r="AF35" s="30">
        <v>2.7709999999999999</v>
      </c>
      <c r="AG35" s="30">
        <v>2.5509999999999997</v>
      </c>
      <c r="AH35" s="30">
        <v>2.445827</v>
      </c>
      <c r="AI35" s="30">
        <v>2.5861450000000001</v>
      </c>
      <c r="AJ35" s="42">
        <v>1E-3</v>
      </c>
      <c r="AK35" s="41">
        <v>2E-3</v>
      </c>
      <c r="AL35" s="41" t="s">
        <v>37</v>
      </c>
      <c r="AM35" s="41" t="s">
        <v>37</v>
      </c>
      <c r="AN35" s="41" t="s">
        <v>37</v>
      </c>
      <c r="AO35" s="41" t="s">
        <v>37</v>
      </c>
      <c r="AP35" s="41" t="s">
        <v>37</v>
      </c>
      <c r="AQ35" s="41" t="s">
        <v>37</v>
      </c>
      <c r="AR35" s="41" t="s">
        <v>37</v>
      </c>
      <c r="AS35" s="41" t="s">
        <v>37</v>
      </c>
      <c r="AT35" s="41" t="s">
        <v>37</v>
      </c>
      <c r="AU35" s="41" t="s">
        <v>37</v>
      </c>
      <c r="AV35" s="41" t="s">
        <v>37</v>
      </c>
      <c r="AW35" s="41" t="s">
        <v>37</v>
      </c>
      <c r="AX35" s="41" t="s">
        <v>37</v>
      </c>
      <c r="AY35" s="41" t="s">
        <v>37</v>
      </c>
      <c r="AZ35" s="41" t="s">
        <v>37</v>
      </c>
      <c r="BA35" s="41" t="s">
        <v>37</v>
      </c>
      <c r="BB35" s="41">
        <v>8.5999999999999993E-2</v>
      </c>
      <c r="BC35" s="41" t="s">
        <v>37</v>
      </c>
      <c r="BD35" s="41" t="s">
        <v>37</v>
      </c>
      <c r="BE35" s="41">
        <v>2.5999999999999999E-2</v>
      </c>
      <c r="BF35" s="41" t="s">
        <v>37</v>
      </c>
      <c r="BG35" s="41">
        <v>0.01</v>
      </c>
      <c r="BH35" s="41">
        <v>8.0000000000000002E-3</v>
      </c>
      <c r="BI35" s="41">
        <v>4.0000000000000001E-3</v>
      </c>
      <c r="BJ35" s="30" t="s">
        <v>45</v>
      </c>
      <c r="BK35" s="41" t="s">
        <v>45</v>
      </c>
      <c r="BL35" s="41" t="s">
        <v>45</v>
      </c>
      <c r="BM35" s="41" t="s">
        <v>45</v>
      </c>
      <c r="BN35" s="41" t="s">
        <v>45</v>
      </c>
      <c r="BO35" s="41" t="s">
        <v>45</v>
      </c>
      <c r="BP35" s="41" t="s">
        <v>45</v>
      </c>
      <c r="BQ35" s="41" t="s">
        <v>45</v>
      </c>
      <c r="BR35" s="42">
        <v>0.80400000000000005</v>
      </c>
      <c r="BS35" s="41">
        <v>1.875</v>
      </c>
      <c r="BT35" s="41" t="s">
        <v>37</v>
      </c>
      <c r="BU35" s="41" t="s">
        <v>37</v>
      </c>
      <c r="BV35" s="41" t="s">
        <v>37</v>
      </c>
      <c r="BW35" s="41" t="s">
        <v>37</v>
      </c>
      <c r="BX35" s="41" t="s">
        <v>37</v>
      </c>
      <c r="BY35" s="30" t="s">
        <v>45</v>
      </c>
      <c r="BZ35" s="30" t="s">
        <v>45</v>
      </c>
      <c r="CA35" s="30" t="s">
        <v>45</v>
      </c>
      <c r="CB35" s="30" t="s">
        <v>45</v>
      </c>
      <c r="CC35" s="30" t="s">
        <v>45</v>
      </c>
      <c r="CD35" s="30" t="s">
        <v>45</v>
      </c>
      <c r="CE35" s="30" t="s">
        <v>45</v>
      </c>
      <c r="CF35" s="30" t="s">
        <v>45</v>
      </c>
      <c r="CG35" s="43">
        <f t="shared" si="71"/>
        <v>1.2</v>
      </c>
      <c r="CH35" s="44">
        <f t="shared" si="72"/>
        <v>1.806</v>
      </c>
      <c r="CI35" s="44">
        <f t="shared" si="73"/>
        <v>1.6319999999999999</v>
      </c>
      <c r="CJ35" s="44">
        <f t="shared" si="74"/>
        <v>1.641</v>
      </c>
      <c r="CK35" s="44">
        <f t="shared" si="75"/>
        <v>1.08</v>
      </c>
      <c r="CL35" s="44">
        <f t="shared" si="76"/>
        <v>1.081</v>
      </c>
      <c r="CM35" s="44">
        <f t="shared" si="77"/>
        <v>1.0680000000000001</v>
      </c>
      <c r="CN35" s="44">
        <f t="shared" si="78"/>
        <v>1.0009999999999999</v>
      </c>
      <c r="CO35" s="44">
        <f t="shared" si="79"/>
        <v>1.042</v>
      </c>
      <c r="CP35" s="44">
        <f t="shared" si="80"/>
        <v>1.115</v>
      </c>
      <c r="CQ35" s="44">
        <f t="shared" si="81"/>
        <v>1.1319999999999999</v>
      </c>
      <c r="CR35" s="44">
        <f t="shared" si="82"/>
        <v>1.129</v>
      </c>
      <c r="CS35" s="44">
        <f t="shared" si="83"/>
        <v>1.1970000000000001</v>
      </c>
      <c r="CT35" s="44">
        <f t="shared" si="84"/>
        <v>2.17</v>
      </c>
      <c r="CU35" s="44">
        <f t="shared" si="85"/>
        <v>1.962</v>
      </c>
      <c r="CV35" s="44">
        <f t="shared" si="86"/>
        <v>1.9570000000000001</v>
      </c>
      <c r="CW35" s="44">
        <f t="shared" si="87"/>
        <v>2.6560000000000001</v>
      </c>
      <c r="CX35" s="44">
        <f t="shared" si="88"/>
        <v>2.5110000000000001</v>
      </c>
      <c r="CY35" s="44">
        <f t="shared" si="89"/>
        <v>4.1550000000000002</v>
      </c>
      <c r="CZ35" s="44">
        <f t="shared" si="90"/>
        <v>4.5830000000000002</v>
      </c>
      <c r="DA35" s="44">
        <f t="shared" si="91"/>
        <v>5.5880000000000001</v>
      </c>
      <c r="DB35" s="44">
        <f t="shared" si="92"/>
        <v>6.7309999999999999</v>
      </c>
      <c r="DC35" s="44">
        <f t="shared" si="60"/>
        <v>6.6041419999999995</v>
      </c>
      <c r="DD35" s="44">
        <f t="shared" si="61"/>
        <v>7.3680000000000003</v>
      </c>
      <c r="DE35" s="44">
        <f t="shared" si="62"/>
        <v>9.0499999999999989</v>
      </c>
      <c r="DF35" s="44">
        <f t="shared" si="63"/>
        <v>7.4149999999999991</v>
      </c>
      <c r="DG35" s="44">
        <f t="shared" si="64"/>
        <v>4.76</v>
      </c>
      <c r="DH35" s="44">
        <f t="shared" si="65"/>
        <v>4.0990000000000002</v>
      </c>
      <c r="DI35" s="44">
        <f t="shared" si="66"/>
        <v>2.9910000000000001</v>
      </c>
      <c r="DJ35" s="44">
        <f t="shared" si="67"/>
        <v>3.484</v>
      </c>
      <c r="DK35" s="44">
        <f t="shared" si="68"/>
        <v>2.7709999999999999</v>
      </c>
      <c r="DL35" s="44">
        <f t="shared" si="69"/>
        <v>2.5509999999999997</v>
      </c>
      <c r="DM35" s="44">
        <f t="shared" si="70"/>
        <v>2.445827</v>
      </c>
      <c r="DN35" s="44">
        <f t="shared" si="70"/>
        <v>2.5861450000000001</v>
      </c>
      <c r="EO35" s="22"/>
      <c r="EP35" s="22"/>
      <c r="EQ35" s="22"/>
      <c r="ER35" s="22"/>
      <c r="ES35" s="22"/>
    </row>
    <row r="36" spans="1:149">
      <c r="A36" s="23" t="s">
        <v>66</v>
      </c>
      <c r="B36" s="30">
        <v>7.3979999999999997</v>
      </c>
      <c r="C36" s="30">
        <v>7.0949999999999998</v>
      </c>
      <c r="D36" s="30">
        <v>9.7639999999999993</v>
      </c>
      <c r="E36" s="30">
        <v>10.491</v>
      </c>
      <c r="F36" s="30">
        <v>12.975</v>
      </c>
      <c r="G36" s="30">
        <v>12.901</v>
      </c>
      <c r="H36" s="30">
        <v>13.624000000000001</v>
      </c>
      <c r="I36" s="30">
        <v>21.145</v>
      </c>
      <c r="J36" s="30">
        <v>23.483000000000001</v>
      </c>
      <c r="K36" s="30">
        <v>23.571000000000002</v>
      </c>
      <c r="L36" s="30">
        <v>46.616999999999997</v>
      </c>
      <c r="M36" s="30">
        <v>53.369</v>
      </c>
      <c r="N36" s="30">
        <v>56.573</v>
      </c>
      <c r="O36" s="30">
        <v>58.149000000000001</v>
      </c>
      <c r="P36" s="30">
        <v>69.427000000000007</v>
      </c>
      <c r="Q36" s="30">
        <v>74.159000000000006</v>
      </c>
      <c r="R36" s="30">
        <v>76.581000000000003</v>
      </c>
      <c r="S36" s="30">
        <v>90.650999999999996</v>
      </c>
      <c r="T36" s="30">
        <v>101.247</v>
      </c>
      <c r="U36" s="30">
        <v>113.345</v>
      </c>
      <c r="V36" s="30">
        <v>126.096</v>
      </c>
      <c r="W36" s="30">
        <v>138.94300000000001</v>
      </c>
      <c r="X36" s="30">
        <v>167.338493</v>
      </c>
      <c r="Y36" s="30">
        <v>181.81</v>
      </c>
      <c r="Z36" s="30">
        <v>202.51500000000001</v>
      </c>
      <c r="AA36" s="30">
        <v>219.01100000000002</v>
      </c>
      <c r="AB36" s="30">
        <v>235.23400000000001</v>
      </c>
      <c r="AC36" s="30">
        <v>230.505</v>
      </c>
      <c r="AD36" s="30">
        <v>290.54500000000002</v>
      </c>
      <c r="AE36" s="30">
        <v>343.84699999999998</v>
      </c>
      <c r="AF36" s="30">
        <v>354.24700000000001</v>
      </c>
      <c r="AG36" s="30">
        <v>368.15300000000002</v>
      </c>
      <c r="AH36" s="30">
        <v>356.44470699999999</v>
      </c>
      <c r="AI36" s="30">
        <v>328.66710900000004</v>
      </c>
      <c r="AJ36" s="31" t="s">
        <v>37</v>
      </c>
      <c r="AK36" s="30" t="s">
        <v>37</v>
      </c>
      <c r="AL36" s="30" t="s">
        <v>37</v>
      </c>
      <c r="AM36" s="30" t="s">
        <v>37</v>
      </c>
      <c r="AN36" s="30" t="s">
        <v>37</v>
      </c>
      <c r="AO36" s="30">
        <v>1E-3</v>
      </c>
      <c r="AP36" s="30">
        <v>1E-3</v>
      </c>
      <c r="AQ36" s="30">
        <v>1E-3</v>
      </c>
      <c r="AR36" s="30" t="s">
        <v>45</v>
      </c>
      <c r="AS36" s="30" t="s">
        <v>45</v>
      </c>
      <c r="AT36" s="30">
        <v>3.0000000000000001E-3</v>
      </c>
      <c r="AU36" s="30">
        <v>5.0000000000000001E-3</v>
      </c>
      <c r="AV36" s="30">
        <v>1.0999999999999999E-2</v>
      </c>
      <c r="AW36" s="30">
        <v>1.4E-2</v>
      </c>
      <c r="AX36" s="30">
        <v>1.0999999999999999E-2</v>
      </c>
      <c r="AY36" s="30">
        <v>1.4E-2</v>
      </c>
      <c r="AZ36" s="30">
        <v>7.0000000000000001E-3</v>
      </c>
      <c r="BA36" s="30">
        <v>1.2999999999999999E-2</v>
      </c>
      <c r="BB36" s="30">
        <v>1.0999999999999999E-2</v>
      </c>
      <c r="BC36" s="30">
        <v>1.2E-2</v>
      </c>
      <c r="BD36" s="30" t="s">
        <v>45</v>
      </c>
      <c r="BE36" s="30">
        <v>6.0000000000000001E-3</v>
      </c>
      <c r="BF36" s="30">
        <v>7.0499999999999998E-3</v>
      </c>
      <c r="BG36" s="30">
        <v>1.4999999999999999E-2</v>
      </c>
      <c r="BH36" s="30">
        <v>8.9999999999999993E-3</v>
      </c>
      <c r="BI36" s="30">
        <v>2E-3</v>
      </c>
      <c r="BJ36" s="30">
        <v>8.0000000000000002E-3</v>
      </c>
      <c r="BK36" s="30">
        <v>5.0000000000000001E-3</v>
      </c>
      <c r="BL36" s="30">
        <v>4.0000000000000001E-3</v>
      </c>
      <c r="BM36" s="30">
        <v>4.0000000000000001E-3</v>
      </c>
      <c r="BN36" s="30">
        <v>8.0000000000000002E-3</v>
      </c>
      <c r="BO36" s="30">
        <v>5.0000000000000001E-3</v>
      </c>
      <c r="BP36" s="30">
        <v>1.6000000000000001E-3</v>
      </c>
      <c r="BQ36" s="30">
        <v>1.6000000000000001E-3</v>
      </c>
      <c r="BR36" s="31">
        <v>7.8</v>
      </c>
      <c r="BS36" s="30" t="s">
        <v>37</v>
      </c>
      <c r="BT36" s="30" t="s">
        <v>37</v>
      </c>
      <c r="BU36" s="30" t="s">
        <v>37</v>
      </c>
      <c r="BV36" s="30" t="s">
        <v>37</v>
      </c>
      <c r="BW36" s="30" t="s">
        <v>37</v>
      </c>
      <c r="BX36" s="30" t="s">
        <v>37</v>
      </c>
      <c r="BY36" s="30" t="s">
        <v>45</v>
      </c>
      <c r="BZ36" s="30" t="s">
        <v>45</v>
      </c>
      <c r="CA36" s="30" t="s">
        <v>45</v>
      </c>
      <c r="CB36" s="30" t="s">
        <v>45</v>
      </c>
      <c r="CC36" s="30" t="s">
        <v>45</v>
      </c>
      <c r="CD36" s="30" t="s">
        <v>45</v>
      </c>
      <c r="CE36" s="30" t="s">
        <v>45</v>
      </c>
      <c r="CF36" s="30">
        <v>0.46825</v>
      </c>
      <c r="CG36" s="26">
        <f t="shared" si="71"/>
        <v>7.3979999999999997</v>
      </c>
      <c r="CH36" s="27">
        <f t="shared" si="72"/>
        <v>7.0949999999999998</v>
      </c>
      <c r="CI36" s="27">
        <f t="shared" si="73"/>
        <v>9.7639999999999993</v>
      </c>
      <c r="CJ36" s="27">
        <f t="shared" si="74"/>
        <v>10.491</v>
      </c>
      <c r="CK36" s="27">
        <f t="shared" si="75"/>
        <v>12.975</v>
      </c>
      <c r="CL36" s="27">
        <f t="shared" si="76"/>
        <v>12.901999999999999</v>
      </c>
      <c r="CM36" s="27">
        <f t="shared" si="77"/>
        <v>13.625</v>
      </c>
      <c r="CN36" s="27">
        <f t="shared" si="78"/>
        <v>21.146000000000001</v>
      </c>
      <c r="CO36" s="27">
        <f t="shared" si="79"/>
        <v>23.483000000000001</v>
      </c>
      <c r="CP36" s="27">
        <f t="shared" si="80"/>
        <v>23.571000000000002</v>
      </c>
      <c r="CQ36" s="27">
        <f t="shared" si="81"/>
        <v>46.62</v>
      </c>
      <c r="CR36" s="27">
        <f t="shared" si="82"/>
        <v>53.374000000000002</v>
      </c>
      <c r="CS36" s="27">
        <f t="shared" si="83"/>
        <v>56.584000000000003</v>
      </c>
      <c r="CT36" s="27">
        <f t="shared" si="84"/>
        <v>58.163000000000004</v>
      </c>
      <c r="CU36" s="27">
        <f t="shared" si="85"/>
        <v>69.438000000000002</v>
      </c>
      <c r="CV36" s="27">
        <f t="shared" si="86"/>
        <v>74.173000000000002</v>
      </c>
      <c r="CW36" s="27">
        <f t="shared" si="87"/>
        <v>76.588000000000008</v>
      </c>
      <c r="CX36" s="27">
        <f t="shared" si="88"/>
        <v>90.664000000000001</v>
      </c>
      <c r="CY36" s="27">
        <f t="shared" si="89"/>
        <v>101.258</v>
      </c>
      <c r="CZ36" s="27">
        <f t="shared" si="90"/>
        <v>121.157</v>
      </c>
      <c r="DA36" s="27">
        <f t="shared" si="91"/>
        <v>126.096</v>
      </c>
      <c r="DB36" s="27">
        <f t="shared" si="92"/>
        <v>138.94900000000001</v>
      </c>
      <c r="DC36" s="27">
        <f t="shared" si="60"/>
        <v>167.34554299999999</v>
      </c>
      <c r="DD36" s="27">
        <f t="shared" si="61"/>
        <v>181.82499999999999</v>
      </c>
      <c r="DE36" s="27">
        <f t="shared" si="62"/>
        <v>202.524</v>
      </c>
      <c r="DF36" s="27">
        <f t="shared" si="63"/>
        <v>219.01300000000003</v>
      </c>
      <c r="DG36" s="27">
        <f t="shared" si="64"/>
        <v>235.24200000000002</v>
      </c>
      <c r="DH36" s="27">
        <f t="shared" si="65"/>
        <v>230.51</v>
      </c>
      <c r="DI36" s="27">
        <f t="shared" si="66"/>
        <v>290.54900000000004</v>
      </c>
      <c r="DJ36" s="27">
        <f t="shared" si="67"/>
        <v>343.851</v>
      </c>
      <c r="DK36" s="27">
        <f t="shared" si="68"/>
        <v>354.255</v>
      </c>
      <c r="DL36" s="27">
        <f t="shared" si="69"/>
        <v>368.15800000000002</v>
      </c>
      <c r="DM36" s="27">
        <f t="shared" si="70"/>
        <v>356.44630699999999</v>
      </c>
      <c r="DN36" s="27">
        <f t="shared" si="70"/>
        <v>329.13695900000005</v>
      </c>
      <c r="EO36" s="22"/>
      <c r="EP36" s="22"/>
      <c r="EQ36" s="22"/>
      <c r="ER36" s="22"/>
      <c r="ES36" s="22"/>
    </row>
    <row r="37" spans="1:149">
      <c r="A37" s="32" t="s">
        <v>67</v>
      </c>
      <c r="B37" s="33">
        <v>0.20399999999999999</v>
      </c>
      <c r="C37" s="33">
        <v>0.20399999999999999</v>
      </c>
      <c r="D37" s="33">
        <v>0.20399999999999999</v>
      </c>
      <c r="E37" s="33">
        <v>0.20399999999999999</v>
      </c>
      <c r="F37" s="33">
        <v>0.20399999999999999</v>
      </c>
      <c r="G37" s="33">
        <v>0.25</v>
      </c>
      <c r="H37" s="33">
        <v>0.24099999999999999</v>
      </c>
      <c r="I37" s="33">
        <v>0.24099999999999999</v>
      </c>
      <c r="J37" s="33">
        <v>0.22</v>
      </c>
      <c r="K37" s="33">
        <v>0.22500000000000001</v>
      </c>
      <c r="L37" s="33">
        <v>0.25</v>
      </c>
      <c r="M37" s="33">
        <v>0.22500000000000001</v>
      </c>
      <c r="N37" s="33">
        <v>0.219</v>
      </c>
      <c r="O37" s="33">
        <v>0.16</v>
      </c>
      <c r="P37" s="33">
        <v>0.19800000000000001</v>
      </c>
      <c r="Q37" s="33">
        <v>0.155</v>
      </c>
      <c r="R37" s="33">
        <v>0.155</v>
      </c>
      <c r="S37" s="33">
        <f>((T37-R37)/2)+R37</f>
        <v>0.159</v>
      </c>
      <c r="T37" s="33">
        <v>0.16300000000000001</v>
      </c>
      <c r="U37" s="33">
        <v>0.161</v>
      </c>
      <c r="V37" s="33">
        <v>0.16300000000000001</v>
      </c>
      <c r="W37" s="33">
        <v>0.16700000000000001</v>
      </c>
      <c r="X37" s="33">
        <v>0.16293099999999999</v>
      </c>
      <c r="Y37" s="33">
        <v>0.16300000000000001</v>
      </c>
      <c r="Z37" s="33">
        <v>0.16200000000000001</v>
      </c>
      <c r="AA37" s="33">
        <v>0.16300000000000001</v>
      </c>
      <c r="AB37" s="33">
        <v>0.16300000000000001</v>
      </c>
      <c r="AC37" s="33">
        <v>0.16700000000000001</v>
      </c>
      <c r="AD37" s="30">
        <v>0</v>
      </c>
      <c r="AE37" s="30">
        <v>0</v>
      </c>
      <c r="AF37" s="30">
        <v>15.15</v>
      </c>
      <c r="AG37" s="264">
        <v>14.512</v>
      </c>
      <c r="AH37" s="33">
        <v>0</v>
      </c>
      <c r="AI37" s="33">
        <v>0</v>
      </c>
      <c r="AJ37" s="34">
        <v>3.5999999999999997E-2</v>
      </c>
      <c r="AK37" s="33">
        <v>3.5999999999999997E-2</v>
      </c>
      <c r="AL37" s="33">
        <v>3.5999999999999997E-2</v>
      </c>
      <c r="AM37" s="33">
        <v>3.5999999999999997E-2</v>
      </c>
      <c r="AN37" s="33">
        <v>3.5999999999999997E-2</v>
      </c>
      <c r="AO37" s="33" t="s">
        <v>37</v>
      </c>
      <c r="AP37" s="33" t="s">
        <v>37</v>
      </c>
      <c r="AQ37" s="33" t="s">
        <v>37</v>
      </c>
      <c r="AR37" s="33" t="s">
        <v>37</v>
      </c>
      <c r="AS37" s="33" t="s">
        <v>37</v>
      </c>
      <c r="AT37" s="33" t="s">
        <v>37</v>
      </c>
      <c r="AU37" s="33" t="s">
        <v>37</v>
      </c>
      <c r="AV37" s="33" t="s">
        <v>37</v>
      </c>
      <c r="AW37" s="33" t="s">
        <v>37</v>
      </c>
      <c r="AX37" s="33" t="s">
        <v>37</v>
      </c>
      <c r="AY37" s="33" t="s">
        <v>37</v>
      </c>
      <c r="AZ37" s="33" t="s">
        <v>37</v>
      </c>
      <c r="BA37" s="33" t="s">
        <v>37</v>
      </c>
      <c r="BB37" s="33" t="s">
        <v>37</v>
      </c>
      <c r="BC37" s="33" t="s">
        <v>37</v>
      </c>
      <c r="BD37" s="33" t="s">
        <v>37</v>
      </c>
      <c r="BE37" s="33" t="s">
        <v>37</v>
      </c>
      <c r="BF37" s="33" t="s">
        <v>37</v>
      </c>
      <c r="BG37" s="33" t="s">
        <v>37</v>
      </c>
      <c r="BH37" s="33" t="s">
        <v>37</v>
      </c>
      <c r="BI37" s="33" t="s">
        <v>37</v>
      </c>
      <c r="BJ37" s="33" t="s">
        <v>45</v>
      </c>
      <c r="BK37" s="33" t="s">
        <v>45</v>
      </c>
      <c r="BL37" s="33" t="s">
        <v>45</v>
      </c>
      <c r="BM37" s="33" t="s">
        <v>45</v>
      </c>
      <c r="BN37" s="33" t="s">
        <v>45</v>
      </c>
      <c r="BO37" s="264" t="s">
        <v>45</v>
      </c>
      <c r="BP37" s="33" t="s">
        <v>45</v>
      </c>
      <c r="BQ37" s="33" t="s">
        <v>45</v>
      </c>
      <c r="BR37" s="34" t="s">
        <v>37</v>
      </c>
      <c r="BS37" s="33" t="s">
        <v>37</v>
      </c>
      <c r="BT37" s="33" t="s">
        <v>37</v>
      </c>
      <c r="BU37" s="33" t="s">
        <v>37</v>
      </c>
      <c r="BV37" s="33" t="s">
        <v>37</v>
      </c>
      <c r="BW37" s="33" t="s">
        <v>37</v>
      </c>
      <c r="BX37" s="33" t="s">
        <v>37</v>
      </c>
      <c r="BY37" s="33">
        <v>13.622</v>
      </c>
      <c r="BZ37" s="33">
        <v>14.965</v>
      </c>
      <c r="CA37" s="33">
        <v>15.487</v>
      </c>
      <c r="CB37" s="33">
        <v>15.47</v>
      </c>
      <c r="CC37" s="33" t="s">
        <v>45</v>
      </c>
      <c r="CD37" s="264" t="s">
        <v>45</v>
      </c>
      <c r="CE37" s="33">
        <v>16.265561000000002</v>
      </c>
      <c r="CF37" s="33">
        <v>17.032619</v>
      </c>
      <c r="CG37" s="35">
        <f t="shared" si="71"/>
        <v>0.24</v>
      </c>
      <c r="CH37" s="36">
        <f t="shared" si="72"/>
        <v>0.24</v>
      </c>
      <c r="CI37" s="36">
        <f t="shared" si="73"/>
        <v>0.24</v>
      </c>
      <c r="CJ37" s="36">
        <f t="shared" si="74"/>
        <v>0.24</v>
      </c>
      <c r="CK37" s="36">
        <f t="shared" si="75"/>
        <v>0.24</v>
      </c>
      <c r="CL37" s="36">
        <f t="shared" si="76"/>
        <v>0.25</v>
      </c>
      <c r="CM37" s="36">
        <f t="shared" si="77"/>
        <v>0.24099999999999999</v>
      </c>
      <c r="CN37" s="36">
        <f t="shared" si="78"/>
        <v>0.24099999999999999</v>
      </c>
      <c r="CO37" s="36">
        <f t="shared" si="79"/>
        <v>0.22</v>
      </c>
      <c r="CP37" s="36">
        <f t="shared" si="80"/>
        <v>0.22500000000000001</v>
      </c>
      <c r="CQ37" s="36">
        <f t="shared" si="81"/>
        <v>0.25</v>
      </c>
      <c r="CR37" s="36">
        <f t="shared" si="82"/>
        <v>0.22500000000000001</v>
      </c>
      <c r="CS37" s="36">
        <f t="shared" si="83"/>
        <v>0.219</v>
      </c>
      <c r="CT37" s="36">
        <f t="shared" si="84"/>
        <v>0.16</v>
      </c>
      <c r="CU37" s="36">
        <f t="shared" si="85"/>
        <v>0.19800000000000001</v>
      </c>
      <c r="CV37" s="36">
        <f t="shared" si="86"/>
        <v>0.155</v>
      </c>
      <c r="CW37" s="36">
        <f t="shared" si="87"/>
        <v>0.155</v>
      </c>
      <c r="CX37" s="36">
        <f t="shared" si="88"/>
        <v>0.159</v>
      </c>
      <c r="CY37" s="36">
        <f t="shared" si="89"/>
        <v>0.16300000000000001</v>
      </c>
      <c r="CZ37" s="36">
        <f t="shared" si="90"/>
        <v>0.161</v>
      </c>
      <c r="DA37" s="36">
        <f t="shared" si="91"/>
        <v>0.16300000000000001</v>
      </c>
      <c r="DB37" s="36">
        <f t="shared" si="92"/>
        <v>0.16700000000000001</v>
      </c>
      <c r="DC37" s="36">
        <f t="shared" si="60"/>
        <v>0.16293099999999999</v>
      </c>
      <c r="DD37" s="36">
        <f t="shared" si="61"/>
        <v>0.16300000000000001</v>
      </c>
      <c r="DE37" s="36">
        <f t="shared" si="62"/>
        <v>0.16200000000000001</v>
      </c>
      <c r="DF37" s="36">
        <f t="shared" si="63"/>
        <v>0.16300000000000001</v>
      </c>
      <c r="DG37" s="36">
        <f t="shared" si="64"/>
        <v>13.785</v>
      </c>
      <c r="DH37" s="36">
        <f t="shared" si="65"/>
        <v>15.132</v>
      </c>
      <c r="DI37" s="36">
        <f t="shared" si="66"/>
        <v>15.487</v>
      </c>
      <c r="DJ37" s="36">
        <f t="shared" si="67"/>
        <v>15.47</v>
      </c>
      <c r="DK37" s="36">
        <f t="shared" si="68"/>
        <v>15.15</v>
      </c>
      <c r="DL37" s="36">
        <f t="shared" si="69"/>
        <v>14.512</v>
      </c>
      <c r="DM37" s="36">
        <f t="shared" si="70"/>
        <v>16.265561000000002</v>
      </c>
      <c r="DN37" s="36">
        <f t="shared" si="70"/>
        <v>17.032619</v>
      </c>
      <c r="EO37" s="22"/>
      <c r="EP37" s="22"/>
      <c r="EQ37" s="22"/>
      <c r="ER37" s="22"/>
      <c r="ES37" s="22"/>
    </row>
    <row r="38" spans="1:149">
      <c r="A38" s="7" t="s">
        <v>68</v>
      </c>
      <c r="B38" s="37">
        <f>SUM(B40:B51)</f>
        <v>300.42999999999995</v>
      </c>
      <c r="C38" s="37">
        <f t="shared" ref="C38:CI38" si="93">SUM(C40:C51)</f>
        <v>338.15999999999997</v>
      </c>
      <c r="D38" s="37">
        <f t="shared" si="93"/>
        <v>385.59500000000003</v>
      </c>
      <c r="E38" s="37">
        <f t="shared" si="93"/>
        <v>419.82400000000001</v>
      </c>
      <c r="F38" s="37">
        <f t="shared" si="93"/>
        <v>437.34600000000006</v>
      </c>
      <c r="G38" s="37">
        <f t="shared" si="93"/>
        <v>468.46999999999997</v>
      </c>
      <c r="H38" s="37">
        <f t="shared" si="93"/>
        <v>524.02200000000016</v>
      </c>
      <c r="I38" s="37">
        <f t="shared" si="93"/>
        <v>527.24400000000003</v>
      </c>
      <c r="J38" s="37">
        <f t="shared" si="93"/>
        <v>550.16100000000006</v>
      </c>
      <c r="K38" s="37">
        <f t="shared" si="93"/>
        <v>585.62099999999998</v>
      </c>
      <c r="L38" s="37">
        <f t="shared" si="93"/>
        <v>638.02300000000014</v>
      </c>
      <c r="M38" s="37">
        <f t="shared" si="93"/>
        <v>694.75800000000004</v>
      </c>
      <c r="N38" s="37">
        <f t="shared" si="93"/>
        <v>700.24400000000003</v>
      </c>
      <c r="O38" s="37">
        <f t="shared" si="93"/>
        <v>736.63800000000015</v>
      </c>
      <c r="P38" s="37">
        <f t="shared" si="93"/>
        <v>780.32400000000007</v>
      </c>
      <c r="Q38" s="37">
        <f t="shared" si="93"/>
        <v>854.28199999999993</v>
      </c>
      <c r="R38" s="37">
        <f t="shared" si="93"/>
        <v>889.50200000000007</v>
      </c>
      <c r="S38" s="37">
        <f t="shared" si="93"/>
        <v>956.76800000000003</v>
      </c>
      <c r="T38" s="37">
        <f t="shared" si="93"/>
        <v>1016.124</v>
      </c>
      <c r="U38" s="37">
        <f t="shared" si="93"/>
        <v>986.85899999999992</v>
      </c>
      <c r="V38" s="37">
        <f t="shared" si="93"/>
        <v>1017.3569999999999</v>
      </c>
      <c r="W38" s="37">
        <f t="shared" si="93"/>
        <v>1060.576</v>
      </c>
      <c r="X38" s="37">
        <f t="shared" si="93"/>
        <v>1104.8356289999999</v>
      </c>
      <c r="Y38" s="37">
        <f t="shared" si="93"/>
        <v>1239.116</v>
      </c>
      <c r="Z38" s="37">
        <f t="shared" si="93"/>
        <v>1311.7</v>
      </c>
      <c r="AA38" s="37">
        <f t="shared" si="93"/>
        <v>1393.625</v>
      </c>
      <c r="AB38" s="37">
        <f t="shared" si="93"/>
        <v>1204.903</v>
      </c>
      <c r="AC38" s="37">
        <f t="shared" si="93"/>
        <v>1201.82</v>
      </c>
      <c r="AD38" s="225">
        <f t="shared" si="93"/>
        <v>1241</v>
      </c>
      <c r="AE38" s="263">
        <f t="shared" si="93"/>
        <v>1257.1660000000002</v>
      </c>
      <c r="AF38" s="263">
        <f t="shared" si="93"/>
        <v>1288.9530000000002</v>
      </c>
      <c r="AG38" s="37">
        <f>SUM(AG40:AG51)</f>
        <v>1312.8600000000001</v>
      </c>
      <c r="AH38" s="37">
        <f>SUM(AH40:AH51)</f>
        <v>1286.7632470000001</v>
      </c>
      <c r="AI38" s="37">
        <f>SUM(AI40:AI51)</f>
        <v>1346.1170940000002</v>
      </c>
      <c r="AJ38" s="38">
        <f t="shared" si="93"/>
        <v>1.377</v>
      </c>
      <c r="AK38" s="37">
        <f t="shared" si="93"/>
        <v>1.3460000000000001</v>
      </c>
      <c r="AL38" s="37">
        <f t="shared" si="93"/>
        <v>2.16</v>
      </c>
      <c r="AM38" s="37">
        <f t="shared" si="93"/>
        <v>3.351</v>
      </c>
      <c r="AN38" s="37">
        <f t="shared" si="93"/>
        <v>2.9990000000000001</v>
      </c>
      <c r="AO38" s="37">
        <f t="shared" si="93"/>
        <v>3.5649999999999999</v>
      </c>
      <c r="AP38" s="37">
        <f t="shared" si="93"/>
        <v>3.2719999999999998</v>
      </c>
      <c r="AQ38" s="37">
        <f t="shared" si="93"/>
        <v>3.3410000000000002</v>
      </c>
      <c r="AR38" s="37">
        <f t="shared" si="93"/>
        <v>3.4319999999999999</v>
      </c>
      <c r="AS38" s="37">
        <f t="shared" si="93"/>
        <v>3.2280000000000002</v>
      </c>
      <c r="AT38" s="37">
        <f t="shared" si="93"/>
        <v>3.226</v>
      </c>
      <c r="AU38" s="37">
        <f t="shared" si="93"/>
        <v>4.6959999999999997</v>
      </c>
      <c r="AV38" s="37">
        <f t="shared" si="93"/>
        <v>3.4433333333333334</v>
      </c>
      <c r="AW38" s="37">
        <f t="shared" si="93"/>
        <v>5.336666666666666</v>
      </c>
      <c r="AX38" s="37">
        <f t="shared" si="93"/>
        <v>4.944</v>
      </c>
      <c r="AY38" s="37">
        <f t="shared" si="93"/>
        <v>4.1059999999999999</v>
      </c>
      <c r="AZ38" s="37">
        <f t="shared" si="93"/>
        <v>3.7654000000000001</v>
      </c>
      <c r="BA38" s="37">
        <f t="shared" si="93"/>
        <v>4.5600000000000005</v>
      </c>
      <c r="BB38" s="37">
        <f t="shared" si="93"/>
        <v>5.407</v>
      </c>
      <c r="BC38" s="37">
        <f t="shared" si="93"/>
        <v>9.9409999999999989</v>
      </c>
      <c r="BD38" s="37">
        <f t="shared" si="93"/>
        <v>8.2249999999999996</v>
      </c>
      <c r="BE38" s="37">
        <f t="shared" si="93"/>
        <v>4.1579999999999995</v>
      </c>
      <c r="BF38" s="37">
        <f t="shared" si="93"/>
        <v>3.7676769999999999</v>
      </c>
      <c r="BG38" s="37">
        <f t="shared" si="93"/>
        <v>4.2130000000000001</v>
      </c>
      <c r="BH38" s="37">
        <f t="shared" si="93"/>
        <v>4.3709999999999996</v>
      </c>
      <c r="BI38" s="37">
        <f t="shared" si="93"/>
        <v>4.7510000000000003</v>
      </c>
      <c r="BJ38" s="37">
        <f t="shared" si="93"/>
        <v>0.21600000000000003</v>
      </c>
      <c r="BK38" s="37">
        <f t="shared" si="93"/>
        <v>0.23099999999999998</v>
      </c>
      <c r="BL38" s="37">
        <f t="shared" si="93"/>
        <v>0.188</v>
      </c>
      <c r="BM38" s="37">
        <f t="shared" si="93"/>
        <v>0.318</v>
      </c>
      <c r="BN38" s="37">
        <f t="shared" si="93"/>
        <v>0.34599999999999997</v>
      </c>
      <c r="BO38" s="37">
        <f t="shared" si="93"/>
        <v>0.40199999999999997</v>
      </c>
      <c r="BP38" s="37">
        <f t="shared" ref="BP38:BQ38" si="94">SUM(BP40:BP51)</f>
        <v>0.51548099999999997</v>
      </c>
      <c r="BQ38" s="37">
        <f t="shared" si="94"/>
        <v>0.37428800000000001</v>
      </c>
      <c r="BR38" s="38">
        <f t="shared" si="93"/>
        <v>102.39999999999999</v>
      </c>
      <c r="BS38" s="37">
        <f t="shared" si="93"/>
        <v>89.886499999999998</v>
      </c>
      <c r="BT38" s="37">
        <f t="shared" si="93"/>
        <v>104.703</v>
      </c>
      <c r="BU38" s="37">
        <f t="shared" si="93"/>
        <v>104.702584</v>
      </c>
      <c r="BV38" s="37">
        <f t="shared" si="93"/>
        <v>131.56700000000001</v>
      </c>
      <c r="BW38" s="37" t="str">
        <f t="shared" ref="BW38:CA38" si="95">IF(SUM(BW40:BW51)&gt;0,SUM(BW40:BW51),"NA")</f>
        <v>NA</v>
      </c>
      <c r="BX38" s="37" t="str">
        <f t="shared" si="95"/>
        <v>NA</v>
      </c>
      <c r="BY38" s="37" t="str">
        <f>IF(SUM(BY40:BY51)&gt;0,SUM(BY40:BY51),"—")</f>
        <v>—</v>
      </c>
      <c r="BZ38" s="37" t="str">
        <f>IF(SUM(BZ40:BZ51)&gt;0,SUM(BZ40:BZ51),"—")</f>
        <v>—</v>
      </c>
      <c r="CA38" s="37">
        <f t="shared" si="95"/>
        <v>0.76300000000000001</v>
      </c>
      <c r="CB38" s="37" t="str">
        <f>IF(SUM(CB40:CB51)&gt;0,SUM(CB40:CB51),"—")</f>
        <v>—</v>
      </c>
      <c r="CC38" s="37" t="str">
        <f>IF(SUM(CC40:CC51)&gt;0,SUM(CC40:CC51),"—")</f>
        <v>—</v>
      </c>
      <c r="CD38" s="37" t="str">
        <f>IF(SUM(CD40:CD51)&gt;0,SUM(CD40:CD51),"—")</f>
        <v>—</v>
      </c>
      <c r="CE38" s="37" t="str">
        <f>IF(SUM(CE40:CE51)&gt;0,SUM(CE40:CE51),"—")</f>
        <v>—</v>
      </c>
      <c r="CF38" s="37" t="str">
        <f>IF(SUM(CF40:CF51)&gt;0,SUM(CF40:CF51),"—")</f>
        <v>—</v>
      </c>
      <c r="CG38" s="39">
        <f t="shared" si="93"/>
        <v>301.80699999999996</v>
      </c>
      <c r="CH38" s="40">
        <f t="shared" si="93"/>
        <v>339.50599999999997</v>
      </c>
      <c r="CI38" s="40">
        <f t="shared" si="93"/>
        <v>387.75500000000005</v>
      </c>
      <c r="CJ38" s="40">
        <f t="shared" ref="CJ38:DG38" si="96">SUM(CJ40:CJ51)</f>
        <v>423.17500000000001</v>
      </c>
      <c r="CK38" s="40">
        <f t="shared" si="96"/>
        <v>440.34500000000003</v>
      </c>
      <c r="CL38" s="40">
        <f t="shared" si="96"/>
        <v>472.03499999999997</v>
      </c>
      <c r="CM38" s="40">
        <f t="shared" si="96"/>
        <v>527.2940000000001</v>
      </c>
      <c r="CN38" s="40">
        <f t="shared" si="96"/>
        <v>530.58500000000004</v>
      </c>
      <c r="CO38" s="40">
        <f t="shared" si="96"/>
        <v>553.59300000000007</v>
      </c>
      <c r="CP38" s="40">
        <f t="shared" si="96"/>
        <v>588.84900000000005</v>
      </c>
      <c r="CQ38" s="40">
        <f t="shared" si="96"/>
        <v>641.24899999999991</v>
      </c>
      <c r="CR38" s="40">
        <f t="shared" si="96"/>
        <v>699.45400000000006</v>
      </c>
      <c r="CS38" s="40">
        <f t="shared" si="96"/>
        <v>703.6873333333333</v>
      </c>
      <c r="CT38" s="40">
        <f t="shared" si="96"/>
        <v>741.97466666666674</v>
      </c>
      <c r="CU38" s="40">
        <f t="shared" si="96"/>
        <v>785.26800000000026</v>
      </c>
      <c r="CV38" s="40">
        <f t="shared" si="96"/>
        <v>858.38799999999992</v>
      </c>
      <c r="CW38" s="40">
        <f t="shared" si="96"/>
        <v>893.26740000000007</v>
      </c>
      <c r="CX38" s="40">
        <f t="shared" si="96"/>
        <v>961.32799999999997</v>
      </c>
      <c r="CY38" s="40">
        <f t="shared" si="96"/>
        <v>1021.5310000000001</v>
      </c>
      <c r="CZ38" s="40">
        <f t="shared" si="96"/>
        <v>1099.2</v>
      </c>
      <c r="DA38" s="40">
        <f t="shared" si="96"/>
        <v>1115.4684999999997</v>
      </c>
      <c r="DB38" s="40">
        <f t="shared" si="96"/>
        <v>1169.4370000000001</v>
      </c>
      <c r="DC38" s="40">
        <f t="shared" si="96"/>
        <v>1213.3058899999999</v>
      </c>
      <c r="DD38" s="40">
        <f t="shared" si="96"/>
        <v>1374.896</v>
      </c>
      <c r="DE38" s="40">
        <f t="shared" si="96"/>
        <v>1316.0710000000001</v>
      </c>
      <c r="DF38" s="40">
        <f t="shared" si="96"/>
        <v>1398.3759999999997</v>
      </c>
      <c r="DG38" s="40">
        <f t="shared" si="96"/>
        <v>1205.1189999999999</v>
      </c>
      <c r="DH38" s="40">
        <f>SUM(DH40:DH51)</f>
        <v>1202.0510000000002</v>
      </c>
      <c r="DI38" s="40">
        <f>SUM(DI40:DI51)</f>
        <v>1241.951</v>
      </c>
      <c r="DJ38" s="40">
        <f t="shared" ref="DJ38:DK38" si="97">SUM(DJ40:DJ51)</f>
        <v>1257.4840000000002</v>
      </c>
      <c r="DK38" s="40">
        <f t="shared" si="97"/>
        <v>1289.2990000000002</v>
      </c>
      <c r="DL38" s="40">
        <f t="shared" ref="DL38" si="98">SUM(DL40:DL51)</f>
        <v>1313.2619999999999</v>
      </c>
      <c r="DM38" s="40">
        <f t="shared" ref="DM38" si="99">SUM(DM40:DM51)</f>
        <v>1287.2787280000002</v>
      </c>
      <c r="DN38" s="40">
        <f t="shared" ref="DN38" si="100">SUM(DN40:DN51)</f>
        <v>1346.4913820000002</v>
      </c>
    </row>
    <row r="39" spans="1:149">
      <c r="A39" s="7" t="s">
        <v>35</v>
      </c>
      <c r="AJ39" s="28"/>
      <c r="BR39" s="28"/>
      <c r="CG39" s="29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</row>
    <row r="40" spans="1:149">
      <c r="A40" s="23" t="s">
        <v>69</v>
      </c>
      <c r="B40" s="30">
        <v>104.589</v>
      </c>
      <c r="C40" s="30">
        <v>111.1</v>
      </c>
      <c r="D40" s="30">
        <v>123.202</v>
      </c>
      <c r="E40" s="30">
        <v>132.86199999999999</v>
      </c>
      <c r="F40" s="30">
        <v>135.77199999999999</v>
      </c>
      <c r="G40" s="30">
        <v>147.303</v>
      </c>
      <c r="H40" s="30">
        <v>180.8</v>
      </c>
      <c r="I40" s="30">
        <v>180.65</v>
      </c>
      <c r="J40" s="30">
        <v>184.70699999999999</v>
      </c>
      <c r="K40" s="30">
        <v>203.53200000000001</v>
      </c>
      <c r="L40" s="30">
        <v>214.809</v>
      </c>
      <c r="M40" s="30">
        <v>244.352</v>
      </c>
      <c r="N40" s="30">
        <v>256.87200000000001</v>
      </c>
      <c r="O40" s="30">
        <v>272.89800000000002</v>
      </c>
      <c r="P40" s="30">
        <v>288.87200000000001</v>
      </c>
      <c r="Q40" s="30">
        <v>315.65699999999998</v>
      </c>
      <c r="R40" s="30">
        <v>337.00299999999999</v>
      </c>
      <c r="S40" s="30">
        <v>359.93200000000002</v>
      </c>
      <c r="T40" s="30">
        <v>384.47699999999998</v>
      </c>
      <c r="U40" s="30">
        <v>343.262</v>
      </c>
      <c r="V40" s="30">
        <v>339.62400000000002</v>
      </c>
      <c r="W40" s="30">
        <v>338.19200000000001</v>
      </c>
      <c r="X40" s="30">
        <v>355.36684099999997</v>
      </c>
      <c r="Y40" s="30">
        <v>418.77</v>
      </c>
      <c r="Z40" s="30">
        <v>393.18200000000002</v>
      </c>
      <c r="AA40" s="30">
        <v>392.827</v>
      </c>
      <c r="AB40" s="30">
        <v>396.2</v>
      </c>
      <c r="AC40" s="30">
        <v>404.51299999999998</v>
      </c>
      <c r="AD40" s="30">
        <v>411.68</v>
      </c>
      <c r="AE40" s="30">
        <v>370.858</v>
      </c>
      <c r="AF40" s="30">
        <v>372.27300000000002</v>
      </c>
      <c r="AG40" s="30">
        <v>357.24700000000001</v>
      </c>
      <c r="AH40" s="30">
        <v>319.90788700000002</v>
      </c>
      <c r="AI40" s="30">
        <v>346.53306600000002</v>
      </c>
      <c r="AJ40" s="31" t="s">
        <v>37</v>
      </c>
      <c r="AK40" s="30" t="s">
        <v>37</v>
      </c>
      <c r="AL40" s="30" t="s">
        <v>37</v>
      </c>
      <c r="AM40" s="30" t="s">
        <v>37</v>
      </c>
      <c r="AN40" s="30" t="s">
        <v>37</v>
      </c>
      <c r="AO40" s="30" t="s">
        <v>37</v>
      </c>
      <c r="AP40" s="30" t="s">
        <v>37</v>
      </c>
      <c r="AQ40" s="30" t="s">
        <v>37</v>
      </c>
      <c r="AR40" s="30" t="s">
        <v>37</v>
      </c>
      <c r="AS40" s="30" t="s">
        <v>37</v>
      </c>
      <c r="AT40" s="30" t="s">
        <v>37</v>
      </c>
      <c r="AU40" s="30" t="s">
        <v>37</v>
      </c>
      <c r="AV40" s="30" t="s">
        <v>37</v>
      </c>
      <c r="AW40" s="30" t="s">
        <v>37</v>
      </c>
      <c r="AX40" s="30" t="s">
        <v>37</v>
      </c>
      <c r="AY40" s="30" t="s">
        <v>37</v>
      </c>
      <c r="AZ40" s="30" t="s">
        <v>37</v>
      </c>
      <c r="BA40" s="30">
        <v>0.59699999999999998</v>
      </c>
      <c r="BB40" s="30">
        <v>0.66100000000000003</v>
      </c>
      <c r="BC40" s="30" t="s">
        <v>37</v>
      </c>
      <c r="BD40" s="30">
        <v>0.05</v>
      </c>
      <c r="BE40" s="30">
        <v>0.05</v>
      </c>
      <c r="BF40" s="30">
        <v>0.05</v>
      </c>
      <c r="BG40" s="30">
        <v>0.05</v>
      </c>
      <c r="BH40" s="30">
        <v>0.05</v>
      </c>
      <c r="BI40" s="30">
        <v>0.05</v>
      </c>
      <c r="BJ40" s="30">
        <v>0.05</v>
      </c>
      <c r="BK40" s="30">
        <v>0.05</v>
      </c>
      <c r="BL40" s="30">
        <v>0.05</v>
      </c>
      <c r="BM40" s="30">
        <v>0.05</v>
      </c>
      <c r="BN40" s="30">
        <v>0.05</v>
      </c>
      <c r="BO40" s="30">
        <v>0.05</v>
      </c>
      <c r="BP40" s="30">
        <v>0.05</v>
      </c>
      <c r="BQ40" s="30" t="s">
        <v>45</v>
      </c>
      <c r="BR40" s="31" t="s">
        <v>37</v>
      </c>
      <c r="BS40" s="30" t="s">
        <v>37</v>
      </c>
      <c r="BT40" s="30" t="s">
        <v>37</v>
      </c>
      <c r="BU40" s="30" t="s">
        <v>37</v>
      </c>
      <c r="BV40" s="30" t="s">
        <v>37</v>
      </c>
      <c r="BW40" s="30" t="s">
        <v>37</v>
      </c>
      <c r="BX40" s="30" t="s">
        <v>37</v>
      </c>
      <c r="BY40" s="30" t="s">
        <v>45</v>
      </c>
      <c r="BZ40" s="30" t="s">
        <v>45</v>
      </c>
      <c r="CA40" s="30" t="s">
        <v>45</v>
      </c>
      <c r="CB40" s="30" t="s">
        <v>45</v>
      </c>
      <c r="CC40" s="30" t="s">
        <v>45</v>
      </c>
      <c r="CD40" s="30" t="s">
        <v>45</v>
      </c>
      <c r="CE40" s="30" t="s">
        <v>45</v>
      </c>
      <c r="CF40" s="30" t="s">
        <v>45</v>
      </c>
      <c r="CG40" s="26">
        <f t="shared" ref="CG40:CG51" si="101">SUM(B40,AJ40)</f>
        <v>104.589</v>
      </c>
      <c r="CH40" s="27">
        <f t="shared" ref="CH40:CH51" si="102">SUM(C40,AK40)</f>
        <v>111.1</v>
      </c>
      <c r="CI40" s="27">
        <f t="shared" ref="CI40:CI51" si="103">SUM(D40,AL40)</f>
        <v>123.202</v>
      </c>
      <c r="CJ40" s="27">
        <f t="shared" ref="CJ40:CJ51" si="104">SUM(E40,AM40)</f>
        <v>132.86199999999999</v>
      </c>
      <c r="CK40" s="27">
        <f t="shared" ref="CK40:CK51" si="105">SUM(F40,AN40)</f>
        <v>135.77199999999999</v>
      </c>
      <c r="CL40" s="27">
        <f t="shared" ref="CL40:CL51" si="106">SUM(G40,AO40)</f>
        <v>147.303</v>
      </c>
      <c r="CM40" s="27">
        <f t="shared" ref="CM40:CM51" si="107">SUM(H40,AP40)</f>
        <v>180.8</v>
      </c>
      <c r="CN40" s="27">
        <f t="shared" ref="CN40:CN51" si="108">SUM(I40,AQ40)</f>
        <v>180.65</v>
      </c>
      <c r="CO40" s="27">
        <f t="shared" ref="CO40:CO51" si="109">SUM(J40,AR40)</f>
        <v>184.70699999999999</v>
      </c>
      <c r="CP40" s="27">
        <f t="shared" ref="CP40:CP51" si="110">SUM(K40,AS40)</f>
        <v>203.53200000000001</v>
      </c>
      <c r="CQ40" s="27">
        <f t="shared" ref="CQ40:CQ51" si="111">SUM(L40,AT40)</f>
        <v>214.809</v>
      </c>
      <c r="CR40" s="27">
        <f t="shared" ref="CR40:CR51" si="112">SUM(M40,AU40)</f>
        <v>244.352</v>
      </c>
      <c r="CS40" s="27">
        <f t="shared" ref="CS40:CS51" si="113">SUM(N40,AV40)</f>
        <v>256.87200000000001</v>
      </c>
      <c r="CT40" s="27">
        <f t="shared" ref="CT40:CT51" si="114">SUM(O40,AW40)</f>
        <v>272.89800000000002</v>
      </c>
      <c r="CU40" s="27">
        <f t="shared" ref="CU40:CU51" si="115">SUM(P40,AX40)</f>
        <v>288.87200000000001</v>
      </c>
      <c r="CV40" s="27">
        <f t="shared" ref="CV40:CV51" si="116">SUM(Q40,AY40)</f>
        <v>315.65699999999998</v>
      </c>
      <c r="CW40" s="27">
        <f t="shared" ref="CW40:CW51" si="117">SUM(R40,AZ40)</f>
        <v>337.00299999999999</v>
      </c>
      <c r="CX40" s="27">
        <f t="shared" ref="CX40:CX51" si="118">SUM(S40,BA40)</f>
        <v>360.529</v>
      </c>
      <c r="CY40" s="27">
        <f t="shared" ref="CY40:CY51" si="119">SUM(T40,BB40)</f>
        <v>385.13799999999998</v>
      </c>
      <c r="CZ40" s="27">
        <f t="shared" ref="CZ40:CZ51" si="120">SUM(U40,BC40,BR40)</f>
        <v>343.262</v>
      </c>
      <c r="DA40" s="27">
        <f t="shared" ref="DA40:DA51" si="121">SUM(V40,BD40,BS40)</f>
        <v>339.67400000000004</v>
      </c>
      <c r="DB40" s="27">
        <f t="shared" ref="DB40:DB51" si="122">SUM(W40,BE40,BT40)</f>
        <v>338.24200000000002</v>
      </c>
      <c r="DC40" s="27">
        <f t="shared" ref="DC40:DC51" si="123">SUM(X40,BF40,BU40)</f>
        <v>355.41684099999998</v>
      </c>
      <c r="DD40" s="27">
        <f t="shared" ref="DD40:DD51" si="124">SUM(Y40,BG40,BV40)</f>
        <v>418.82</v>
      </c>
      <c r="DE40" s="27">
        <f t="shared" ref="DE40:DE51" si="125">SUM(Z40,BH40,BW40)</f>
        <v>393.23200000000003</v>
      </c>
      <c r="DF40" s="27">
        <f t="shared" ref="DF40:DF51" si="126">SUM(AA40,BI40,BX40)</f>
        <v>392.87700000000001</v>
      </c>
      <c r="DG40" s="27">
        <f t="shared" ref="DG40:DG51" si="127">SUM(AB40,BJ40,BY40)</f>
        <v>396.25</v>
      </c>
      <c r="DH40" s="27">
        <f t="shared" ref="DH40:DH51" si="128">SUM(AC40,BK40,BZ40)</f>
        <v>404.56299999999999</v>
      </c>
      <c r="DI40" s="27">
        <f t="shared" ref="DI40:DI51" si="129">SUM(AD40,BL40,CA40)</f>
        <v>411.73</v>
      </c>
      <c r="DJ40" s="27">
        <f t="shared" ref="DJ40:DJ51" si="130">SUM(AE40,BM40,CB40)</f>
        <v>370.90800000000002</v>
      </c>
      <c r="DK40" s="27">
        <f t="shared" ref="DK40:DK51" si="131">SUM(AF40,BN40,CC40)</f>
        <v>372.32300000000004</v>
      </c>
      <c r="DL40" s="27">
        <f t="shared" ref="DL40:DL51" si="132">SUM(AG40,BO40,CD40)</f>
        <v>357.29700000000003</v>
      </c>
      <c r="DM40" s="27">
        <f t="shared" ref="DM40:DN51" si="133">SUM(AH40,BP40,CE40)</f>
        <v>319.95788700000003</v>
      </c>
      <c r="DN40" s="27">
        <f t="shared" si="133"/>
        <v>346.53306600000002</v>
      </c>
      <c r="EO40" s="22"/>
      <c r="EP40" s="22"/>
      <c r="EQ40" s="22"/>
      <c r="ER40" s="22"/>
      <c r="ES40" s="22"/>
    </row>
    <row r="41" spans="1:149">
      <c r="A41" s="23" t="s">
        <v>70</v>
      </c>
      <c r="B41" s="30">
        <v>22.629000000000001</v>
      </c>
      <c r="C41" s="30">
        <v>32.697000000000003</v>
      </c>
      <c r="D41" s="30">
        <v>34.661000000000001</v>
      </c>
      <c r="E41" s="30">
        <v>40.491999999999997</v>
      </c>
      <c r="F41" s="30">
        <v>45.408000000000001</v>
      </c>
      <c r="G41" s="30">
        <v>51.654000000000003</v>
      </c>
      <c r="H41" s="30">
        <v>58.395000000000003</v>
      </c>
      <c r="I41" s="30">
        <v>46.488</v>
      </c>
      <c r="J41" s="30">
        <v>50.054000000000002</v>
      </c>
      <c r="K41" s="30">
        <v>55.814</v>
      </c>
      <c r="L41" s="30">
        <v>55.814</v>
      </c>
      <c r="M41" s="30">
        <v>67.742000000000004</v>
      </c>
      <c r="N41" s="30">
        <v>68.34</v>
      </c>
      <c r="O41" s="30">
        <v>77.834000000000003</v>
      </c>
      <c r="P41" s="30">
        <v>85.034999999999997</v>
      </c>
      <c r="Q41" s="30">
        <v>99.49</v>
      </c>
      <c r="R41" s="30">
        <v>104.73699999999999</v>
      </c>
      <c r="S41" s="30">
        <v>110.14700000000001</v>
      </c>
      <c r="T41" s="30">
        <v>114.708</v>
      </c>
      <c r="U41" s="30">
        <v>135.892</v>
      </c>
      <c r="V41" s="30">
        <v>150.70599999999999</v>
      </c>
      <c r="W41" s="30">
        <v>160.81300000000002</v>
      </c>
      <c r="X41" s="30">
        <v>176.366499</v>
      </c>
      <c r="Y41" s="30">
        <v>191.37299999999999</v>
      </c>
      <c r="Z41" s="30">
        <v>213.62700000000001</v>
      </c>
      <c r="AA41" s="30">
        <v>233.08699999999999</v>
      </c>
      <c r="AB41" s="30">
        <v>218.095</v>
      </c>
      <c r="AC41" s="30">
        <v>238.77199999999999</v>
      </c>
      <c r="AD41" s="30">
        <v>250.327</v>
      </c>
      <c r="AE41" s="30">
        <v>252.595</v>
      </c>
      <c r="AF41" s="30">
        <v>269.39600000000002</v>
      </c>
      <c r="AG41" s="30">
        <v>288.63499999999999</v>
      </c>
      <c r="AH41" s="30">
        <v>290.74330299999997</v>
      </c>
      <c r="AI41" s="30">
        <v>297.922999</v>
      </c>
      <c r="AJ41" s="31" t="s">
        <v>37</v>
      </c>
      <c r="AK41" s="30" t="s">
        <v>37</v>
      </c>
      <c r="AL41" s="30" t="s">
        <v>37</v>
      </c>
      <c r="AM41" s="30" t="s">
        <v>37</v>
      </c>
      <c r="AN41" s="30" t="s">
        <v>37</v>
      </c>
      <c r="AO41" s="30" t="s">
        <v>37</v>
      </c>
      <c r="AP41" s="30" t="s">
        <v>37</v>
      </c>
      <c r="AQ41" s="30" t="s">
        <v>37</v>
      </c>
      <c r="AR41" s="30" t="s">
        <v>37</v>
      </c>
      <c r="AS41" s="30" t="s">
        <v>37</v>
      </c>
      <c r="AT41" s="30" t="s">
        <v>37</v>
      </c>
      <c r="AU41" s="30" t="s">
        <v>37</v>
      </c>
      <c r="AV41" s="30" t="s">
        <v>37</v>
      </c>
      <c r="AW41" s="30" t="s">
        <v>37</v>
      </c>
      <c r="AX41" s="30" t="s">
        <v>37</v>
      </c>
      <c r="AY41" s="30" t="s">
        <v>37</v>
      </c>
      <c r="AZ41" s="30" t="s">
        <v>37</v>
      </c>
      <c r="BA41" s="30">
        <v>2.5000000000000001E-2</v>
      </c>
      <c r="BB41" s="30">
        <v>2.5000000000000001E-2</v>
      </c>
      <c r="BC41" s="30" t="s">
        <v>37</v>
      </c>
      <c r="BD41" s="30" t="s">
        <v>37</v>
      </c>
      <c r="BE41" s="30" t="s">
        <v>37</v>
      </c>
      <c r="BF41" s="30" t="s">
        <v>37</v>
      </c>
      <c r="BG41" s="30" t="s">
        <v>37</v>
      </c>
      <c r="BH41" s="30" t="s">
        <v>37</v>
      </c>
      <c r="BI41" s="30" t="s">
        <v>37</v>
      </c>
      <c r="BJ41" s="30" t="s">
        <v>45</v>
      </c>
      <c r="BK41" s="30" t="s">
        <v>45</v>
      </c>
      <c r="BL41" s="30" t="s">
        <v>45</v>
      </c>
      <c r="BM41" s="30" t="s">
        <v>45</v>
      </c>
      <c r="BN41" s="30" t="s">
        <v>45</v>
      </c>
      <c r="BO41" s="30" t="s">
        <v>45</v>
      </c>
      <c r="BP41" s="30" t="s">
        <v>45</v>
      </c>
      <c r="BQ41" s="30" t="s">
        <v>45</v>
      </c>
      <c r="BR41" s="31">
        <v>71.319999999999993</v>
      </c>
      <c r="BS41" s="24">
        <f>((BT41-BR41)/2)+BR41</f>
        <v>88.011499999999998</v>
      </c>
      <c r="BT41" s="30">
        <v>104.703</v>
      </c>
      <c r="BU41" s="30">
        <v>104.702584</v>
      </c>
      <c r="BV41" s="30">
        <v>131.56700000000001</v>
      </c>
      <c r="BW41" s="30" t="s">
        <v>37</v>
      </c>
      <c r="BX41" s="30" t="s">
        <v>37</v>
      </c>
      <c r="BY41" s="30" t="s">
        <v>45</v>
      </c>
      <c r="BZ41" s="30" t="s">
        <v>45</v>
      </c>
      <c r="CA41" s="30" t="s">
        <v>45</v>
      </c>
      <c r="CB41" s="30" t="s">
        <v>45</v>
      </c>
      <c r="CC41" s="30" t="s">
        <v>45</v>
      </c>
      <c r="CD41" s="30" t="s">
        <v>45</v>
      </c>
      <c r="CE41" s="30" t="s">
        <v>45</v>
      </c>
      <c r="CF41" s="30" t="s">
        <v>45</v>
      </c>
      <c r="CG41" s="26">
        <f t="shared" si="101"/>
        <v>22.629000000000001</v>
      </c>
      <c r="CH41" s="27">
        <f t="shared" si="102"/>
        <v>32.697000000000003</v>
      </c>
      <c r="CI41" s="27">
        <f t="shared" si="103"/>
        <v>34.661000000000001</v>
      </c>
      <c r="CJ41" s="27">
        <f t="shared" si="104"/>
        <v>40.491999999999997</v>
      </c>
      <c r="CK41" s="27">
        <f t="shared" si="105"/>
        <v>45.408000000000001</v>
      </c>
      <c r="CL41" s="27">
        <f t="shared" si="106"/>
        <v>51.654000000000003</v>
      </c>
      <c r="CM41" s="27">
        <f t="shared" si="107"/>
        <v>58.395000000000003</v>
      </c>
      <c r="CN41" s="27">
        <f t="shared" si="108"/>
        <v>46.488</v>
      </c>
      <c r="CO41" s="27">
        <f t="shared" si="109"/>
        <v>50.054000000000002</v>
      </c>
      <c r="CP41" s="27">
        <f t="shared" si="110"/>
        <v>55.814</v>
      </c>
      <c r="CQ41" s="27">
        <f t="shared" si="111"/>
        <v>55.814</v>
      </c>
      <c r="CR41" s="27">
        <f t="shared" si="112"/>
        <v>67.742000000000004</v>
      </c>
      <c r="CS41" s="27">
        <f t="shared" si="113"/>
        <v>68.34</v>
      </c>
      <c r="CT41" s="27">
        <f t="shared" si="114"/>
        <v>77.834000000000003</v>
      </c>
      <c r="CU41" s="27">
        <f t="shared" si="115"/>
        <v>85.034999999999997</v>
      </c>
      <c r="CV41" s="27">
        <f t="shared" si="116"/>
        <v>99.49</v>
      </c>
      <c r="CW41" s="27">
        <f t="shared" si="117"/>
        <v>104.73699999999999</v>
      </c>
      <c r="CX41" s="27">
        <f t="shared" si="118"/>
        <v>110.17200000000001</v>
      </c>
      <c r="CY41" s="27">
        <f t="shared" si="119"/>
        <v>114.733</v>
      </c>
      <c r="CZ41" s="27">
        <f t="shared" si="120"/>
        <v>207.21199999999999</v>
      </c>
      <c r="DA41" s="27">
        <f t="shared" si="121"/>
        <v>238.71749999999997</v>
      </c>
      <c r="DB41" s="27">
        <f t="shared" si="122"/>
        <v>265.51600000000002</v>
      </c>
      <c r="DC41" s="27">
        <f t="shared" si="123"/>
        <v>281.06908299999998</v>
      </c>
      <c r="DD41" s="27">
        <f t="shared" si="124"/>
        <v>322.94</v>
      </c>
      <c r="DE41" s="27">
        <f t="shared" si="125"/>
        <v>213.62700000000001</v>
      </c>
      <c r="DF41" s="27">
        <f t="shared" si="126"/>
        <v>233.08699999999999</v>
      </c>
      <c r="DG41" s="27">
        <f t="shared" si="127"/>
        <v>218.095</v>
      </c>
      <c r="DH41" s="27">
        <f t="shared" si="128"/>
        <v>238.77199999999999</v>
      </c>
      <c r="DI41" s="27">
        <f t="shared" si="129"/>
        <v>250.327</v>
      </c>
      <c r="DJ41" s="27">
        <f t="shared" si="130"/>
        <v>252.595</v>
      </c>
      <c r="DK41" s="27">
        <f t="shared" si="131"/>
        <v>269.39600000000002</v>
      </c>
      <c r="DL41" s="27">
        <f t="shared" si="132"/>
        <v>288.63499999999999</v>
      </c>
      <c r="DM41" s="27">
        <f t="shared" si="133"/>
        <v>290.74330299999997</v>
      </c>
      <c r="DN41" s="27">
        <f t="shared" si="133"/>
        <v>297.922999</v>
      </c>
      <c r="EO41" s="22"/>
      <c r="EP41" s="22"/>
      <c r="EQ41" s="22"/>
      <c r="ER41" s="22"/>
      <c r="ES41" s="22"/>
    </row>
    <row r="42" spans="1:149">
      <c r="A42" s="23" t="s">
        <v>71</v>
      </c>
      <c r="B42" s="30">
        <v>20.268000000000001</v>
      </c>
      <c r="C42" s="30">
        <v>22.422999999999998</v>
      </c>
      <c r="D42" s="30">
        <v>22.533000000000001</v>
      </c>
      <c r="E42" s="30">
        <v>22.498000000000001</v>
      </c>
      <c r="F42" s="30">
        <v>26.157</v>
      </c>
      <c r="G42" s="30">
        <v>30.914999999999999</v>
      </c>
      <c r="H42" s="30">
        <v>32.100999999999999</v>
      </c>
      <c r="I42" s="30">
        <v>37.648000000000003</v>
      </c>
      <c r="J42" s="30">
        <v>34.872999999999998</v>
      </c>
      <c r="K42" s="30">
        <v>34.067</v>
      </c>
      <c r="L42" s="30">
        <v>34.718000000000004</v>
      </c>
      <c r="M42" s="30">
        <v>35.642000000000003</v>
      </c>
      <c r="N42" s="30">
        <v>38.953000000000003</v>
      </c>
      <c r="O42" s="30">
        <v>41.938000000000002</v>
      </c>
      <c r="P42" s="30">
        <v>44.896999999999998</v>
      </c>
      <c r="Q42" s="30">
        <v>48.241999999999997</v>
      </c>
      <c r="R42" s="30">
        <v>51.350999999999999</v>
      </c>
      <c r="S42" s="30">
        <v>52.631999999999998</v>
      </c>
      <c r="T42" s="30">
        <v>51.191000000000003</v>
      </c>
      <c r="U42" s="30">
        <v>49.62</v>
      </c>
      <c r="V42" s="30">
        <v>48.838000000000001</v>
      </c>
      <c r="W42" s="30">
        <v>50.847000000000001</v>
      </c>
      <c r="X42" s="30">
        <v>53.446465000000003</v>
      </c>
      <c r="Y42" s="30">
        <v>55.534999999999997</v>
      </c>
      <c r="Z42" s="30">
        <v>59.116999999999997</v>
      </c>
      <c r="AA42" s="30">
        <v>60.981999999999999</v>
      </c>
      <c r="AB42" s="30">
        <v>53.062000000000005</v>
      </c>
      <c r="AC42" s="30">
        <v>54.363999999999997</v>
      </c>
      <c r="AD42" s="30">
        <v>52.406999999999996</v>
      </c>
      <c r="AE42" s="30">
        <v>57.61</v>
      </c>
      <c r="AF42" s="30">
        <v>59.569000000000003</v>
      </c>
      <c r="AG42" s="30">
        <v>60.804000000000002</v>
      </c>
      <c r="AH42" s="30">
        <v>60.528477999999993</v>
      </c>
      <c r="AI42" s="30">
        <v>61.175661000000005</v>
      </c>
      <c r="AJ42" s="31" t="s">
        <v>37</v>
      </c>
      <c r="AK42" s="30" t="s">
        <v>37</v>
      </c>
      <c r="AL42" s="30" t="s">
        <v>37</v>
      </c>
      <c r="AM42" s="30" t="s">
        <v>37</v>
      </c>
      <c r="AN42" s="30" t="s">
        <v>37</v>
      </c>
      <c r="AO42" s="30" t="s">
        <v>37</v>
      </c>
      <c r="AP42" s="30" t="s">
        <v>37</v>
      </c>
      <c r="AQ42" s="30">
        <v>0.1</v>
      </c>
      <c r="AR42" s="30" t="s">
        <v>37</v>
      </c>
      <c r="AS42" s="30" t="s">
        <v>37</v>
      </c>
      <c r="AT42" s="30" t="s">
        <v>37</v>
      </c>
      <c r="AU42" s="30" t="s">
        <v>37</v>
      </c>
      <c r="AV42" s="30" t="s">
        <v>37</v>
      </c>
      <c r="AW42" s="30" t="s">
        <v>37</v>
      </c>
      <c r="AX42" s="30" t="s">
        <v>37</v>
      </c>
      <c r="AY42" s="30" t="s">
        <v>37</v>
      </c>
      <c r="AZ42" s="30" t="s">
        <v>37</v>
      </c>
      <c r="BA42" s="30" t="s">
        <v>37</v>
      </c>
      <c r="BB42" s="30" t="s">
        <v>37</v>
      </c>
      <c r="BC42" s="30" t="s">
        <v>37</v>
      </c>
      <c r="BD42" s="30" t="s">
        <v>37</v>
      </c>
      <c r="BE42" s="30" t="s">
        <v>37</v>
      </c>
      <c r="BF42" s="30" t="s">
        <v>37</v>
      </c>
      <c r="BG42" s="30" t="s">
        <v>37</v>
      </c>
      <c r="BH42" s="30" t="s">
        <v>37</v>
      </c>
      <c r="BI42" s="30" t="s">
        <v>37</v>
      </c>
      <c r="BJ42" s="30" t="s">
        <v>45</v>
      </c>
      <c r="BK42" s="30" t="s">
        <v>45</v>
      </c>
      <c r="BL42" s="30" t="s">
        <v>45</v>
      </c>
      <c r="BM42" s="30" t="s">
        <v>45</v>
      </c>
      <c r="BN42" s="30" t="s">
        <v>45</v>
      </c>
      <c r="BO42" s="30" t="s">
        <v>45</v>
      </c>
      <c r="BP42" s="30" t="s">
        <v>45</v>
      </c>
      <c r="BQ42" s="30" t="s">
        <v>45</v>
      </c>
      <c r="BR42" s="31" t="s">
        <v>37</v>
      </c>
      <c r="BS42" s="30" t="s">
        <v>37</v>
      </c>
      <c r="BT42" s="30" t="s">
        <v>37</v>
      </c>
      <c r="BU42" s="30" t="s">
        <v>37</v>
      </c>
      <c r="BV42" s="30" t="s">
        <v>37</v>
      </c>
      <c r="BW42" s="30" t="s">
        <v>37</v>
      </c>
      <c r="BX42" s="30" t="s">
        <v>37</v>
      </c>
      <c r="BY42" s="30" t="s">
        <v>45</v>
      </c>
      <c r="BZ42" s="30" t="s">
        <v>45</v>
      </c>
      <c r="CA42" s="30" t="s">
        <v>45</v>
      </c>
      <c r="CB42" s="30" t="s">
        <v>45</v>
      </c>
      <c r="CC42" s="30" t="s">
        <v>45</v>
      </c>
      <c r="CD42" s="30" t="s">
        <v>45</v>
      </c>
      <c r="CE42" s="30" t="s">
        <v>45</v>
      </c>
      <c r="CF42" s="30" t="s">
        <v>45</v>
      </c>
      <c r="CG42" s="26">
        <f t="shared" si="101"/>
        <v>20.268000000000001</v>
      </c>
      <c r="CH42" s="27">
        <f t="shared" si="102"/>
        <v>22.422999999999998</v>
      </c>
      <c r="CI42" s="27">
        <f t="shared" si="103"/>
        <v>22.533000000000001</v>
      </c>
      <c r="CJ42" s="27">
        <f t="shared" si="104"/>
        <v>22.498000000000001</v>
      </c>
      <c r="CK42" s="27">
        <f t="shared" si="105"/>
        <v>26.157</v>
      </c>
      <c r="CL42" s="27">
        <f t="shared" si="106"/>
        <v>30.914999999999999</v>
      </c>
      <c r="CM42" s="27">
        <f t="shared" si="107"/>
        <v>32.100999999999999</v>
      </c>
      <c r="CN42" s="27">
        <f t="shared" si="108"/>
        <v>37.748000000000005</v>
      </c>
      <c r="CO42" s="27">
        <f t="shared" si="109"/>
        <v>34.872999999999998</v>
      </c>
      <c r="CP42" s="27">
        <f t="shared" si="110"/>
        <v>34.067</v>
      </c>
      <c r="CQ42" s="27">
        <f t="shared" si="111"/>
        <v>34.718000000000004</v>
      </c>
      <c r="CR42" s="27">
        <f t="shared" si="112"/>
        <v>35.642000000000003</v>
      </c>
      <c r="CS42" s="27">
        <f t="shared" si="113"/>
        <v>38.953000000000003</v>
      </c>
      <c r="CT42" s="27">
        <f t="shared" si="114"/>
        <v>41.938000000000002</v>
      </c>
      <c r="CU42" s="27">
        <f t="shared" si="115"/>
        <v>44.896999999999998</v>
      </c>
      <c r="CV42" s="27">
        <f t="shared" si="116"/>
        <v>48.241999999999997</v>
      </c>
      <c r="CW42" s="27">
        <f t="shared" si="117"/>
        <v>51.350999999999999</v>
      </c>
      <c r="CX42" s="27">
        <f t="shared" si="118"/>
        <v>52.631999999999998</v>
      </c>
      <c r="CY42" s="27">
        <f t="shared" si="119"/>
        <v>51.191000000000003</v>
      </c>
      <c r="CZ42" s="27">
        <f t="shared" si="120"/>
        <v>49.62</v>
      </c>
      <c r="DA42" s="27">
        <f t="shared" si="121"/>
        <v>48.838000000000001</v>
      </c>
      <c r="DB42" s="27">
        <f t="shared" si="122"/>
        <v>50.847000000000001</v>
      </c>
      <c r="DC42" s="27">
        <f t="shared" si="123"/>
        <v>53.446465000000003</v>
      </c>
      <c r="DD42" s="27">
        <f t="shared" si="124"/>
        <v>55.534999999999997</v>
      </c>
      <c r="DE42" s="27">
        <f t="shared" si="125"/>
        <v>59.116999999999997</v>
      </c>
      <c r="DF42" s="27">
        <f t="shared" si="126"/>
        <v>60.981999999999999</v>
      </c>
      <c r="DG42" s="27">
        <f t="shared" si="127"/>
        <v>53.062000000000005</v>
      </c>
      <c r="DH42" s="27">
        <f t="shared" si="128"/>
        <v>54.363999999999997</v>
      </c>
      <c r="DI42" s="27">
        <f t="shared" si="129"/>
        <v>52.406999999999996</v>
      </c>
      <c r="DJ42" s="27">
        <f t="shared" si="130"/>
        <v>57.61</v>
      </c>
      <c r="DK42" s="27">
        <f t="shared" si="131"/>
        <v>59.569000000000003</v>
      </c>
      <c r="DL42" s="27">
        <f t="shared" si="132"/>
        <v>60.804000000000002</v>
      </c>
      <c r="DM42" s="27">
        <f t="shared" si="133"/>
        <v>60.528477999999993</v>
      </c>
      <c r="DN42" s="27">
        <f t="shared" si="133"/>
        <v>61.175661000000005</v>
      </c>
      <c r="EO42" s="22"/>
      <c r="EP42" s="22"/>
      <c r="EQ42" s="22"/>
      <c r="ER42" s="22"/>
      <c r="ES42" s="22"/>
    </row>
    <row r="43" spans="1:149">
      <c r="A43" s="23" t="s">
        <v>72</v>
      </c>
      <c r="B43" s="30">
        <v>4.6639999999999997</v>
      </c>
      <c r="C43" s="30">
        <v>4.8410000000000002</v>
      </c>
      <c r="D43" s="30">
        <v>5.3419999999999996</v>
      </c>
      <c r="E43" s="30">
        <v>5.43</v>
      </c>
      <c r="F43" s="30">
        <v>5.43</v>
      </c>
      <c r="G43" s="30">
        <v>5.68</v>
      </c>
      <c r="H43" s="30">
        <v>7.1289999999999996</v>
      </c>
      <c r="I43" s="30">
        <v>6.585</v>
      </c>
      <c r="J43" s="30">
        <v>6.5519999999999996</v>
      </c>
      <c r="K43" s="30">
        <v>6.8940000000000001</v>
      </c>
      <c r="L43" s="30">
        <v>9.06</v>
      </c>
      <c r="M43" s="30">
        <v>9.8019999999999996</v>
      </c>
      <c r="N43" s="30">
        <v>9.5259999999999998</v>
      </c>
      <c r="O43" s="30">
        <v>10.170999999999999</v>
      </c>
      <c r="P43" s="30">
        <v>10.311</v>
      </c>
      <c r="Q43" s="30">
        <v>11.669</v>
      </c>
      <c r="R43" s="30">
        <v>12.265000000000001</v>
      </c>
      <c r="S43" s="30">
        <v>12.692</v>
      </c>
      <c r="T43" s="30">
        <v>12.974</v>
      </c>
      <c r="U43" s="30" t="s">
        <v>37</v>
      </c>
      <c r="V43" s="30">
        <v>14.073</v>
      </c>
      <c r="W43" s="30">
        <v>15.061</v>
      </c>
      <c r="X43" s="30">
        <v>15.047324</v>
      </c>
      <c r="Y43" s="30">
        <v>16.378</v>
      </c>
      <c r="Z43" s="30">
        <v>18.963999999999999</v>
      </c>
      <c r="AA43" s="30">
        <v>18.502000000000002</v>
      </c>
      <c r="AB43" s="30">
        <v>18.112000000000002</v>
      </c>
      <c r="AC43" s="30">
        <v>17.436</v>
      </c>
      <c r="AD43" s="30">
        <v>17.826000000000001</v>
      </c>
      <c r="AE43" s="30">
        <v>17.816000000000003</v>
      </c>
      <c r="AF43" s="30">
        <v>18.141999999999999</v>
      </c>
      <c r="AG43" s="30">
        <v>18.428999999999998</v>
      </c>
      <c r="AH43" s="30">
        <v>17.604310000000002</v>
      </c>
      <c r="AI43" s="30">
        <v>17.250646</v>
      </c>
      <c r="AJ43" s="31" t="s">
        <v>37</v>
      </c>
      <c r="AK43" s="30" t="s">
        <v>37</v>
      </c>
      <c r="AL43" s="30" t="s">
        <v>37</v>
      </c>
      <c r="AM43" s="30" t="s">
        <v>37</v>
      </c>
      <c r="AN43" s="30" t="s">
        <v>37</v>
      </c>
      <c r="AO43" s="30" t="s">
        <v>37</v>
      </c>
      <c r="AP43" s="30" t="s">
        <v>37</v>
      </c>
      <c r="AQ43" s="30" t="s">
        <v>37</v>
      </c>
      <c r="AR43" s="30" t="s">
        <v>37</v>
      </c>
      <c r="AS43" s="30" t="s">
        <v>37</v>
      </c>
      <c r="AT43" s="30" t="s">
        <v>37</v>
      </c>
      <c r="AU43" s="30">
        <v>0.40600000000000003</v>
      </c>
      <c r="AV43" s="24">
        <f>(($AX$43-$AU$43)/3)+AU43</f>
        <v>0.31333333333333335</v>
      </c>
      <c r="AW43" s="24">
        <f>(($AX$43-$AU$43)/3)+AV43</f>
        <v>0.22066666666666668</v>
      </c>
      <c r="AX43" s="30">
        <v>0.128</v>
      </c>
      <c r="AY43" s="30" t="s">
        <v>37</v>
      </c>
      <c r="AZ43" s="30" t="s">
        <v>37</v>
      </c>
      <c r="BA43" s="30" t="s">
        <v>37</v>
      </c>
      <c r="BB43" s="30" t="s">
        <v>37</v>
      </c>
      <c r="BC43" s="30" t="s">
        <v>37</v>
      </c>
      <c r="BD43" s="30" t="s">
        <v>37</v>
      </c>
      <c r="BE43" s="30" t="s">
        <v>37</v>
      </c>
      <c r="BF43" s="30" t="s">
        <v>37</v>
      </c>
      <c r="BG43" s="30" t="s">
        <v>37</v>
      </c>
      <c r="BH43" s="30" t="s">
        <v>37</v>
      </c>
      <c r="BI43" s="30" t="s">
        <v>37</v>
      </c>
      <c r="BJ43" s="30" t="s">
        <v>45</v>
      </c>
      <c r="BK43" s="30" t="s">
        <v>45</v>
      </c>
      <c r="BL43" s="30" t="s">
        <v>45</v>
      </c>
      <c r="BM43" s="30" t="s">
        <v>45</v>
      </c>
      <c r="BN43" s="30" t="s">
        <v>45</v>
      </c>
      <c r="BO43" s="30" t="s">
        <v>45</v>
      </c>
      <c r="BP43" s="30" t="s">
        <v>45</v>
      </c>
      <c r="BQ43" s="30" t="s">
        <v>45</v>
      </c>
      <c r="BR43" s="31">
        <v>12.907</v>
      </c>
      <c r="BS43" s="30" t="s">
        <v>37</v>
      </c>
      <c r="BT43" s="30" t="s">
        <v>37</v>
      </c>
      <c r="BU43" s="30" t="s">
        <v>37</v>
      </c>
      <c r="BV43" s="30" t="s">
        <v>37</v>
      </c>
      <c r="BW43" s="30" t="s">
        <v>37</v>
      </c>
      <c r="BX43" s="30" t="s">
        <v>37</v>
      </c>
      <c r="BY43" s="30" t="s">
        <v>45</v>
      </c>
      <c r="BZ43" s="30" t="s">
        <v>45</v>
      </c>
      <c r="CA43" s="30" t="s">
        <v>45</v>
      </c>
      <c r="CB43" s="30" t="s">
        <v>45</v>
      </c>
      <c r="CC43" s="30" t="s">
        <v>45</v>
      </c>
      <c r="CD43" s="30" t="s">
        <v>45</v>
      </c>
      <c r="CE43" s="30" t="s">
        <v>45</v>
      </c>
      <c r="CF43" s="30" t="s">
        <v>45</v>
      </c>
      <c r="CG43" s="26">
        <f t="shared" si="101"/>
        <v>4.6639999999999997</v>
      </c>
      <c r="CH43" s="27">
        <f t="shared" si="102"/>
        <v>4.8410000000000002</v>
      </c>
      <c r="CI43" s="27">
        <f t="shared" si="103"/>
        <v>5.3419999999999996</v>
      </c>
      <c r="CJ43" s="27">
        <f t="shared" si="104"/>
        <v>5.43</v>
      </c>
      <c r="CK43" s="27">
        <f t="shared" si="105"/>
        <v>5.43</v>
      </c>
      <c r="CL43" s="27">
        <f t="shared" si="106"/>
        <v>5.68</v>
      </c>
      <c r="CM43" s="27">
        <f t="shared" si="107"/>
        <v>7.1289999999999996</v>
      </c>
      <c r="CN43" s="27">
        <f t="shared" si="108"/>
        <v>6.585</v>
      </c>
      <c r="CO43" s="27">
        <f t="shared" si="109"/>
        <v>6.5519999999999996</v>
      </c>
      <c r="CP43" s="27">
        <f t="shared" si="110"/>
        <v>6.8940000000000001</v>
      </c>
      <c r="CQ43" s="27">
        <f t="shared" si="111"/>
        <v>9.06</v>
      </c>
      <c r="CR43" s="27">
        <f t="shared" si="112"/>
        <v>10.208</v>
      </c>
      <c r="CS43" s="27">
        <f t="shared" si="113"/>
        <v>9.8393333333333324</v>
      </c>
      <c r="CT43" s="27">
        <f t="shared" si="114"/>
        <v>10.391666666666666</v>
      </c>
      <c r="CU43" s="27">
        <f t="shared" si="115"/>
        <v>10.439</v>
      </c>
      <c r="CV43" s="27">
        <f t="shared" si="116"/>
        <v>11.669</v>
      </c>
      <c r="CW43" s="27">
        <f t="shared" si="117"/>
        <v>12.265000000000001</v>
      </c>
      <c r="CX43" s="27">
        <f t="shared" si="118"/>
        <v>12.692</v>
      </c>
      <c r="CY43" s="27">
        <f t="shared" si="119"/>
        <v>12.974</v>
      </c>
      <c r="CZ43" s="27">
        <f t="shared" si="120"/>
        <v>12.907</v>
      </c>
      <c r="DA43" s="27">
        <f t="shared" si="121"/>
        <v>14.073</v>
      </c>
      <c r="DB43" s="27">
        <f t="shared" si="122"/>
        <v>15.061</v>
      </c>
      <c r="DC43" s="27">
        <f t="shared" si="123"/>
        <v>15.047324</v>
      </c>
      <c r="DD43" s="27">
        <f t="shared" si="124"/>
        <v>16.378</v>
      </c>
      <c r="DE43" s="27">
        <f t="shared" si="125"/>
        <v>18.963999999999999</v>
      </c>
      <c r="DF43" s="27">
        <f t="shared" si="126"/>
        <v>18.502000000000002</v>
      </c>
      <c r="DG43" s="27">
        <f t="shared" si="127"/>
        <v>18.112000000000002</v>
      </c>
      <c r="DH43" s="27">
        <f t="shared" si="128"/>
        <v>17.436</v>
      </c>
      <c r="DI43" s="27">
        <f t="shared" si="129"/>
        <v>17.826000000000001</v>
      </c>
      <c r="DJ43" s="27">
        <f t="shared" si="130"/>
        <v>17.816000000000003</v>
      </c>
      <c r="DK43" s="27">
        <f t="shared" si="131"/>
        <v>18.141999999999999</v>
      </c>
      <c r="DL43" s="27">
        <f t="shared" si="132"/>
        <v>18.428999999999998</v>
      </c>
      <c r="DM43" s="27">
        <f t="shared" si="133"/>
        <v>17.604310000000002</v>
      </c>
      <c r="DN43" s="27">
        <f t="shared" si="133"/>
        <v>17.250646</v>
      </c>
      <c r="EO43" s="22"/>
      <c r="EP43" s="22"/>
      <c r="EQ43" s="22"/>
      <c r="ER43" s="22"/>
      <c r="ES43" s="22"/>
    </row>
    <row r="44" spans="1:149">
      <c r="A44" s="23" t="s">
        <v>73</v>
      </c>
      <c r="B44" s="30">
        <v>30.632000000000001</v>
      </c>
      <c r="C44" s="30">
        <v>34.476999999999997</v>
      </c>
      <c r="D44" s="30">
        <v>59.43</v>
      </c>
      <c r="E44" s="30">
        <v>66.942999999999998</v>
      </c>
      <c r="F44" s="30">
        <v>68.38</v>
      </c>
      <c r="G44" s="30">
        <v>69.662000000000006</v>
      </c>
      <c r="H44" s="30">
        <v>72.820999999999998</v>
      </c>
      <c r="I44" s="30">
        <v>69.918999999999997</v>
      </c>
      <c r="J44" s="30">
        <v>78.144999999999996</v>
      </c>
      <c r="K44" s="30">
        <v>75.468999999999994</v>
      </c>
      <c r="L44" s="30">
        <v>79.734999999999999</v>
      </c>
      <c r="M44" s="30">
        <v>81.34</v>
      </c>
      <c r="N44" s="30">
        <v>84.153999999999996</v>
      </c>
      <c r="O44" s="30">
        <v>85.872</v>
      </c>
      <c r="P44" s="30">
        <v>90.474999999999994</v>
      </c>
      <c r="Q44" s="30">
        <v>92.299000000000007</v>
      </c>
      <c r="R44" s="30">
        <v>91.108999999999995</v>
      </c>
      <c r="S44" s="30">
        <v>102.164</v>
      </c>
      <c r="T44" s="30">
        <v>106.244</v>
      </c>
      <c r="U44" s="30">
        <v>95.718999999999994</v>
      </c>
      <c r="V44" s="30">
        <v>91.781999999999996</v>
      </c>
      <c r="W44" s="30">
        <v>91.972000000000008</v>
      </c>
      <c r="X44" s="30">
        <v>86.667369000000008</v>
      </c>
      <c r="Y44" s="30">
        <v>88.701999999999998</v>
      </c>
      <c r="Z44" s="30">
        <v>90.679000000000002</v>
      </c>
      <c r="AA44" s="30">
        <v>93.465000000000003</v>
      </c>
      <c r="AB44" s="30">
        <v>46.858000000000004</v>
      </c>
      <c r="AC44" s="30">
        <v>84.596000000000004</v>
      </c>
      <c r="AD44" s="30">
        <v>87.299000000000007</v>
      </c>
      <c r="AE44" s="30">
        <v>91.700999999999993</v>
      </c>
      <c r="AF44" s="30">
        <v>95.156999999999996</v>
      </c>
      <c r="AG44" s="30">
        <v>100.324</v>
      </c>
      <c r="AH44" s="30">
        <v>103.305555</v>
      </c>
      <c r="AI44" s="30">
        <v>107.24404800000001</v>
      </c>
      <c r="AJ44" s="31">
        <v>1.3680000000000001</v>
      </c>
      <c r="AK44" s="30">
        <v>1.3460000000000001</v>
      </c>
      <c r="AL44" s="30">
        <v>2.16</v>
      </c>
      <c r="AM44" s="30">
        <v>3.351</v>
      </c>
      <c r="AN44" s="30">
        <v>2.9990000000000001</v>
      </c>
      <c r="AO44" s="30">
        <v>3.5649999999999999</v>
      </c>
      <c r="AP44" s="30">
        <v>3.2719999999999998</v>
      </c>
      <c r="AQ44" s="30">
        <v>3.2410000000000001</v>
      </c>
      <c r="AR44" s="30">
        <v>3.4319999999999999</v>
      </c>
      <c r="AS44" s="30">
        <v>3.22</v>
      </c>
      <c r="AT44" s="30">
        <v>3.21</v>
      </c>
      <c r="AU44" s="30">
        <v>4.266</v>
      </c>
      <c r="AV44" s="30">
        <v>3.13</v>
      </c>
      <c r="AW44" s="30">
        <v>5.1159999999999997</v>
      </c>
      <c r="AX44" s="30">
        <v>4.8159999999999998</v>
      </c>
      <c r="AY44" s="30">
        <v>4.1059999999999999</v>
      </c>
      <c r="AZ44" s="30">
        <v>3.7654000000000001</v>
      </c>
      <c r="BA44" s="30">
        <v>3.9380000000000002</v>
      </c>
      <c r="BB44" s="30">
        <v>3.7930000000000001</v>
      </c>
      <c r="BC44" s="30">
        <v>4.6890000000000001</v>
      </c>
      <c r="BD44" s="30">
        <v>5.5469999999999997</v>
      </c>
      <c r="BE44" s="30">
        <v>4.1040000000000001</v>
      </c>
      <c r="BF44" s="30">
        <v>3.7091470000000002</v>
      </c>
      <c r="BG44" s="30">
        <v>4.01</v>
      </c>
      <c r="BH44" s="30">
        <v>4.1929999999999996</v>
      </c>
      <c r="BI44" s="30">
        <v>4.5730000000000004</v>
      </c>
      <c r="BJ44" s="30" t="s">
        <v>45</v>
      </c>
      <c r="BK44" s="30" t="s">
        <v>45</v>
      </c>
      <c r="BL44" s="30" t="s">
        <v>45</v>
      </c>
      <c r="BM44" s="30" t="s">
        <v>45</v>
      </c>
      <c r="BN44" s="30" t="s">
        <v>45</v>
      </c>
      <c r="BO44" s="30" t="s">
        <v>45</v>
      </c>
      <c r="BP44" s="30" t="s">
        <v>45</v>
      </c>
      <c r="BQ44" s="30" t="s">
        <v>45</v>
      </c>
      <c r="BR44" s="31">
        <v>4.9560000000000004</v>
      </c>
      <c r="BS44" s="30" t="s">
        <v>37</v>
      </c>
      <c r="BT44" s="30" t="s">
        <v>37</v>
      </c>
      <c r="BU44" s="30" t="s">
        <v>37</v>
      </c>
      <c r="BV44" s="30" t="s">
        <v>37</v>
      </c>
      <c r="BW44" s="30" t="s">
        <v>37</v>
      </c>
      <c r="BX44" s="30" t="s">
        <v>37</v>
      </c>
      <c r="BY44" s="30" t="s">
        <v>45</v>
      </c>
      <c r="BZ44" s="30" t="s">
        <v>45</v>
      </c>
      <c r="CA44" s="30" t="s">
        <v>45</v>
      </c>
      <c r="CB44" s="30" t="s">
        <v>45</v>
      </c>
      <c r="CC44" s="30" t="s">
        <v>45</v>
      </c>
      <c r="CD44" s="30" t="s">
        <v>45</v>
      </c>
      <c r="CE44" s="30" t="s">
        <v>45</v>
      </c>
      <c r="CF44" s="30" t="s">
        <v>45</v>
      </c>
      <c r="CG44" s="26">
        <f t="shared" si="101"/>
        <v>32</v>
      </c>
      <c r="CH44" s="27">
        <f t="shared" si="102"/>
        <v>35.822999999999993</v>
      </c>
      <c r="CI44" s="27">
        <f t="shared" si="103"/>
        <v>61.59</v>
      </c>
      <c r="CJ44" s="27">
        <f t="shared" si="104"/>
        <v>70.293999999999997</v>
      </c>
      <c r="CK44" s="27">
        <f t="shared" si="105"/>
        <v>71.378999999999991</v>
      </c>
      <c r="CL44" s="27">
        <f t="shared" si="106"/>
        <v>73.227000000000004</v>
      </c>
      <c r="CM44" s="27">
        <f t="shared" si="107"/>
        <v>76.093000000000004</v>
      </c>
      <c r="CN44" s="27">
        <f t="shared" si="108"/>
        <v>73.16</v>
      </c>
      <c r="CO44" s="27">
        <f t="shared" si="109"/>
        <v>81.576999999999998</v>
      </c>
      <c r="CP44" s="27">
        <f t="shared" si="110"/>
        <v>78.688999999999993</v>
      </c>
      <c r="CQ44" s="27">
        <f t="shared" si="111"/>
        <v>82.944999999999993</v>
      </c>
      <c r="CR44" s="27">
        <f t="shared" si="112"/>
        <v>85.606000000000009</v>
      </c>
      <c r="CS44" s="27">
        <f t="shared" si="113"/>
        <v>87.283999999999992</v>
      </c>
      <c r="CT44" s="27">
        <f t="shared" si="114"/>
        <v>90.988</v>
      </c>
      <c r="CU44" s="27">
        <f t="shared" si="115"/>
        <v>95.290999999999997</v>
      </c>
      <c r="CV44" s="27">
        <f t="shared" si="116"/>
        <v>96.405000000000001</v>
      </c>
      <c r="CW44" s="27">
        <f t="shared" si="117"/>
        <v>94.874399999999994</v>
      </c>
      <c r="CX44" s="27">
        <f t="shared" si="118"/>
        <v>106.102</v>
      </c>
      <c r="CY44" s="27">
        <f t="shared" si="119"/>
        <v>110.03700000000001</v>
      </c>
      <c r="CZ44" s="27">
        <f t="shared" si="120"/>
        <v>105.36399999999999</v>
      </c>
      <c r="DA44" s="27">
        <f t="shared" si="121"/>
        <v>97.328999999999994</v>
      </c>
      <c r="DB44" s="27">
        <f t="shared" si="122"/>
        <v>96.076000000000008</v>
      </c>
      <c r="DC44" s="27">
        <f t="shared" si="123"/>
        <v>90.376516000000009</v>
      </c>
      <c r="DD44" s="27">
        <f t="shared" si="124"/>
        <v>92.712000000000003</v>
      </c>
      <c r="DE44" s="27">
        <f t="shared" si="125"/>
        <v>94.872</v>
      </c>
      <c r="DF44" s="27">
        <f t="shared" si="126"/>
        <v>98.038000000000011</v>
      </c>
      <c r="DG44" s="27">
        <f t="shared" si="127"/>
        <v>46.858000000000004</v>
      </c>
      <c r="DH44" s="27">
        <f t="shared" si="128"/>
        <v>84.596000000000004</v>
      </c>
      <c r="DI44" s="27">
        <f t="shared" si="129"/>
        <v>87.299000000000007</v>
      </c>
      <c r="DJ44" s="27">
        <f t="shared" si="130"/>
        <v>91.700999999999993</v>
      </c>
      <c r="DK44" s="27">
        <f t="shared" si="131"/>
        <v>95.156999999999996</v>
      </c>
      <c r="DL44" s="27">
        <f t="shared" si="132"/>
        <v>100.324</v>
      </c>
      <c r="DM44" s="27">
        <f t="shared" si="133"/>
        <v>103.305555</v>
      </c>
      <c r="DN44" s="27">
        <f t="shared" si="133"/>
        <v>107.24404800000001</v>
      </c>
      <c r="EO44" s="22"/>
      <c r="EP44" s="22"/>
      <c r="EQ44" s="22"/>
      <c r="ER44" s="22"/>
      <c r="ES44" s="22"/>
    </row>
    <row r="45" spans="1:149">
      <c r="A45" s="23" t="s">
        <v>74</v>
      </c>
      <c r="B45" s="30">
        <v>43.533999999999999</v>
      </c>
      <c r="C45" s="30">
        <v>50.7</v>
      </c>
      <c r="D45" s="30">
        <v>52.8</v>
      </c>
      <c r="E45" s="30">
        <v>59.706000000000003</v>
      </c>
      <c r="F45" s="30">
        <v>60</v>
      </c>
      <c r="G45" s="30">
        <v>62</v>
      </c>
      <c r="H45" s="30">
        <v>68</v>
      </c>
      <c r="I45" s="30">
        <v>76.073999999999998</v>
      </c>
      <c r="J45" s="30">
        <v>77.677999999999997</v>
      </c>
      <c r="K45" s="30">
        <v>83.17</v>
      </c>
      <c r="L45" s="30">
        <v>102.92</v>
      </c>
      <c r="M45" s="30">
        <v>97.92</v>
      </c>
      <c r="N45" s="30">
        <v>92.069000000000003</v>
      </c>
      <c r="O45" s="30">
        <v>92.706999999999994</v>
      </c>
      <c r="P45" s="30">
        <v>96.397999999999996</v>
      </c>
      <c r="Q45" s="30">
        <v>113.381</v>
      </c>
      <c r="R45" s="30">
        <v>113.714</v>
      </c>
      <c r="S45" s="30">
        <v>120.426</v>
      </c>
      <c r="T45" s="30">
        <v>130.37</v>
      </c>
      <c r="U45" s="30">
        <v>133.58600000000001</v>
      </c>
      <c r="V45" s="30">
        <v>119.583</v>
      </c>
      <c r="W45" s="30">
        <v>130.98599999999999</v>
      </c>
      <c r="X45" s="30">
        <v>130.92102500000001</v>
      </c>
      <c r="Y45" s="30">
        <v>162.84</v>
      </c>
      <c r="Z45" s="30">
        <v>156.38500000000002</v>
      </c>
      <c r="AA45" s="30">
        <v>153.32600000000002</v>
      </c>
      <c r="AB45" s="30">
        <v>185.84799999999998</v>
      </c>
      <c r="AC45" s="30">
        <v>129.42600000000002</v>
      </c>
      <c r="AD45" s="30">
        <v>150.15199999999999</v>
      </c>
      <c r="AE45" s="30">
        <v>169.19900000000001</v>
      </c>
      <c r="AF45" s="30">
        <v>179.93600000000001</v>
      </c>
      <c r="AG45" s="30">
        <v>185.94199999999998</v>
      </c>
      <c r="AH45" s="30">
        <v>181.02432999999999</v>
      </c>
      <c r="AI45" s="30">
        <v>194.21466699999999</v>
      </c>
      <c r="AJ45" s="31" t="s">
        <v>37</v>
      </c>
      <c r="AK45" s="30" t="s">
        <v>37</v>
      </c>
      <c r="AL45" s="30" t="s">
        <v>37</v>
      </c>
      <c r="AM45" s="30" t="s">
        <v>37</v>
      </c>
      <c r="AN45" s="30" t="s">
        <v>37</v>
      </c>
      <c r="AO45" s="30" t="s">
        <v>37</v>
      </c>
      <c r="AP45" s="30" t="s">
        <v>37</v>
      </c>
      <c r="AQ45" s="30" t="s">
        <v>37</v>
      </c>
      <c r="AR45" s="30" t="s">
        <v>37</v>
      </c>
      <c r="AS45" s="30" t="s">
        <v>37</v>
      </c>
      <c r="AT45" s="30" t="s">
        <v>37</v>
      </c>
      <c r="AU45" s="30" t="s">
        <v>37</v>
      </c>
      <c r="AV45" s="30" t="s">
        <v>37</v>
      </c>
      <c r="AW45" s="30" t="s">
        <v>37</v>
      </c>
      <c r="AX45" s="30" t="s">
        <v>37</v>
      </c>
      <c r="AY45" s="30" t="s">
        <v>37</v>
      </c>
      <c r="AZ45" s="30" t="s">
        <v>37</v>
      </c>
      <c r="BA45" s="30" t="s">
        <v>37</v>
      </c>
      <c r="BB45" s="30" t="s">
        <v>37</v>
      </c>
      <c r="BC45" s="30" t="s">
        <v>37</v>
      </c>
      <c r="BD45" s="30" t="s">
        <v>37</v>
      </c>
      <c r="BE45" s="30" t="s">
        <v>37</v>
      </c>
      <c r="BF45" s="30" t="s">
        <v>37</v>
      </c>
      <c r="BG45" s="30">
        <v>0.14699999999999999</v>
      </c>
      <c r="BH45" s="30">
        <v>0.128</v>
      </c>
      <c r="BI45" s="30">
        <v>0.128</v>
      </c>
      <c r="BJ45" s="30">
        <v>0.16600000000000001</v>
      </c>
      <c r="BK45" s="30">
        <v>0.18099999999999999</v>
      </c>
      <c r="BL45" s="30">
        <v>0.13800000000000001</v>
      </c>
      <c r="BM45" s="30">
        <v>0.254</v>
      </c>
      <c r="BN45" s="30">
        <v>0.29599999999999999</v>
      </c>
      <c r="BO45" s="30">
        <v>0.35199999999999998</v>
      </c>
      <c r="BP45" s="30">
        <v>0.41971700000000001</v>
      </c>
      <c r="BQ45" s="30">
        <v>0.362288</v>
      </c>
      <c r="BR45" s="31">
        <v>2.996</v>
      </c>
      <c r="BS45" s="30">
        <v>1.875</v>
      </c>
      <c r="BT45" s="30" t="s">
        <v>37</v>
      </c>
      <c r="BU45" s="30" t="s">
        <v>37</v>
      </c>
      <c r="BV45" s="30" t="s">
        <v>37</v>
      </c>
      <c r="BW45" s="30" t="s">
        <v>37</v>
      </c>
      <c r="BX45" s="30" t="s">
        <v>37</v>
      </c>
      <c r="BY45" s="30" t="s">
        <v>45</v>
      </c>
      <c r="BZ45" s="30" t="s">
        <v>45</v>
      </c>
      <c r="CA45" s="30" t="s">
        <v>45</v>
      </c>
      <c r="CB45" s="30" t="s">
        <v>45</v>
      </c>
      <c r="CC45" s="30" t="s">
        <v>45</v>
      </c>
      <c r="CD45" s="30" t="s">
        <v>45</v>
      </c>
      <c r="CE45" s="30" t="s">
        <v>45</v>
      </c>
      <c r="CF45" s="30" t="s">
        <v>45</v>
      </c>
      <c r="CG45" s="26">
        <f t="shared" si="101"/>
        <v>43.533999999999999</v>
      </c>
      <c r="CH45" s="27">
        <f t="shared" si="102"/>
        <v>50.7</v>
      </c>
      <c r="CI45" s="27">
        <f t="shared" si="103"/>
        <v>52.8</v>
      </c>
      <c r="CJ45" s="27">
        <f t="shared" si="104"/>
        <v>59.706000000000003</v>
      </c>
      <c r="CK45" s="27">
        <f t="shared" si="105"/>
        <v>60</v>
      </c>
      <c r="CL45" s="27">
        <f t="shared" si="106"/>
        <v>62</v>
      </c>
      <c r="CM45" s="27">
        <f t="shared" si="107"/>
        <v>68</v>
      </c>
      <c r="CN45" s="27">
        <f t="shared" si="108"/>
        <v>76.073999999999998</v>
      </c>
      <c r="CO45" s="27">
        <f t="shared" si="109"/>
        <v>77.677999999999997</v>
      </c>
      <c r="CP45" s="27">
        <f t="shared" si="110"/>
        <v>83.17</v>
      </c>
      <c r="CQ45" s="27">
        <f t="shared" si="111"/>
        <v>102.92</v>
      </c>
      <c r="CR45" s="27">
        <f t="shared" si="112"/>
        <v>97.92</v>
      </c>
      <c r="CS45" s="27">
        <f t="shared" si="113"/>
        <v>92.069000000000003</v>
      </c>
      <c r="CT45" s="27">
        <f t="shared" si="114"/>
        <v>92.706999999999994</v>
      </c>
      <c r="CU45" s="27">
        <f t="shared" si="115"/>
        <v>96.397999999999996</v>
      </c>
      <c r="CV45" s="27">
        <f t="shared" si="116"/>
        <v>113.381</v>
      </c>
      <c r="CW45" s="27">
        <f t="shared" si="117"/>
        <v>113.714</v>
      </c>
      <c r="CX45" s="27">
        <f t="shared" si="118"/>
        <v>120.426</v>
      </c>
      <c r="CY45" s="27">
        <f t="shared" si="119"/>
        <v>130.37</v>
      </c>
      <c r="CZ45" s="27">
        <f t="shared" si="120"/>
        <v>136.58200000000002</v>
      </c>
      <c r="DA45" s="27">
        <f t="shared" si="121"/>
        <v>121.458</v>
      </c>
      <c r="DB45" s="27">
        <f t="shared" si="122"/>
        <v>130.98599999999999</v>
      </c>
      <c r="DC45" s="27">
        <f t="shared" si="123"/>
        <v>130.92102500000001</v>
      </c>
      <c r="DD45" s="27">
        <f t="shared" si="124"/>
        <v>162.98699999999999</v>
      </c>
      <c r="DE45" s="27">
        <f t="shared" si="125"/>
        <v>156.51300000000001</v>
      </c>
      <c r="DF45" s="27">
        <f t="shared" si="126"/>
        <v>153.45400000000001</v>
      </c>
      <c r="DG45" s="27">
        <f t="shared" si="127"/>
        <v>186.01399999999998</v>
      </c>
      <c r="DH45" s="27">
        <f t="shared" si="128"/>
        <v>129.60700000000003</v>
      </c>
      <c r="DI45" s="27">
        <f t="shared" si="129"/>
        <v>150.29</v>
      </c>
      <c r="DJ45" s="27">
        <f t="shared" si="130"/>
        <v>169.453</v>
      </c>
      <c r="DK45" s="27">
        <f t="shared" si="131"/>
        <v>180.232</v>
      </c>
      <c r="DL45" s="27">
        <f t="shared" si="132"/>
        <v>186.29399999999998</v>
      </c>
      <c r="DM45" s="27">
        <f t="shared" si="133"/>
        <v>181.44404699999998</v>
      </c>
      <c r="DN45" s="27">
        <f t="shared" si="133"/>
        <v>194.576955</v>
      </c>
      <c r="EO45" s="22"/>
      <c r="EP45" s="22"/>
      <c r="EQ45" s="22"/>
      <c r="ER45" s="22"/>
      <c r="ES45" s="22"/>
    </row>
    <row r="46" spans="1:149">
      <c r="A46" s="23" t="s">
        <v>75</v>
      </c>
      <c r="B46" s="30">
        <v>8.7959999999999994</v>
      </c>
      <c r="C46" s="30">
        <v>9.1449999999999996</v>
      </c>
      <c r="D46" s="30">
        <v>9.6449999999999996</v>
      </c>
      <c r="E46" s="30">
        <v>10.081</v>
      </c>
      <c r="F46" s="30">
        <v>9.8350000000000009</v>
      </c>
      <c r="G46" s="30">
        <v>10.331</v>
      </c>
      <c r="H46" s="30">
        <v>10.814</v>
      </c>
      <c r="I46" s="30">
        <v>11.144</v>
      </c>
      <c r="J46" s="30">
        <v>10.125</v>
      </c>
      <c r="K46" s="30">
        <v>11.097</v>
      </c>
      <c r="L46" s="30">
        <v>11.124000000000001</v>
      </c>
      <c r="M46" s="30">
        <v>11.913</v>
      </c>
      <c r="N46" s="30">
        <v>12.233000000000001</v>
      </c>
      <c r="O46" s="30">
        <v>13.680999999999999</v>
      </c>
      <c r="P46" s="30">
        <v>14.692</v>
      </c>
      <c r="Q46" s="30">
        <v>20.003</v>
      </c>
      <c r="R46" s="30">
        <v>24.1</v>
      </c>
      <c r="S46" s="30">
        <v>28.058</v>
      </c>
      <c r="T46" s="30">
        <v>27.847000000000001</v>
      </c>
      <c r="U46" s="30">
        <v>25.602999999999998</v>
      </c>
      <c r="V46" s="30">
        <v>25.111000000000004</v>
      </c>
      <c r="W46" s="30">
        <v>24.293999999999997</v>
      </c>
      <c r="X46" s="30">
        <v>25.631729</v>
      </c>
      <c r="Y46" s="30">
        <v>25.05</v>
      </c>
      <c r="Z46" s="30">
        <v>72.716999999999999</v>
      </c>
      <c r="AA46" s="30">
        <v>92.984999999999999</v>
      </c>
      <c r="AB46" s="30">
        <v>83.23599999999999</v>
      </c>
      <c r="AC46" s="30">
        <v>56.932000000000002</v>
      </c>
      <c r="AD46" s="30">
        <v>59.954000000000001</v>
      </c>
      <c r="AE46" s="30">
        <v>63.615000000000002</v>
      </c>
      <c r="AF46" s="30">
        <v>60.548999999999999</v>
      </c>
      <c r="AG46" s="30">
        <v>59.868000000000002</v>
      </c>
      <c r="AH46" s="30">
        <v>68.106533999999996</v>
      </c>
      <c r="AI46" s="30">
        <v>75.096471000000008</v>
      </c>
      <c r="AJ46" s="31" t="s">
        <v>37</v>
      </c>
      <c r="AK46" s="30" t="s">
        <v>37</v>
      </c>
      <c r="AL46" s="30" t="s">
        <v>37</v>
      </c>
      <c r="AM46" s="30" t="s">
        <v>37</v>
      </c>
      <c r="AN46" s="30" t="s">
        <v>37</v>
      </c>
      <c r="AO46" s="30" t="s">
        <v>37</v>
      </c>
      <c r="AP46" s="30" t="s">
        <v>37</v>
      </c>
      <c r="AQ46" s="30" t="s">
        <v>37</v>
      </c>
      <c r="AR46" s="30" t="s">
        <v>37</v>
      </c>
      <c r="AS46" s="30" t="s">
        <v>37</v>
      </c>
      <c r="AT46" s="30" t="s">
        <v>37</v>
      </c>
      <c r="AU46" s="30" t="s">
        <v>37</v>
      </c>
      <c r="AV46" s="30" t="s">
        <v>37</v>
      </c>
      <c r="AW46" s="30" t="s">
        <v>37</v>
      </c>
      <c r="AX46" s="30" t="s">
        <v>37</v>
      </c>
      <c r="AY46" s="30" t="s">
        <v>37</v>
      </c>
      <c r="AZ46" s="30" t="s">
        <v>37</v>
      </c>
      <c r="BA46" s="30" t="s">
        <v>37</v>
      </c>
      <c r="BB46" s="30" t="s">
        <v>37</v>
      </c>
      <c r="BC46" s="30" t="s">
        <v>37</v>
      </c>
      <c r="BD46" s="30" t="s">
        <v>37</v>
      </c>
      <c r="BE46" s="30" t="s">
        <v>37</v>
      </c>
      <c r="BF46" s="30" t="s">
        <v>37</v>
      </c>
      <c r="BG46" s="30" t="s">
        <v>37</v>
      </c>
      <c r="BH46" s="30" t="s">
        <v>37</v>
      </c>
      <c r="BI46" s="30" t="s">
        <v>37</v>
      </c>
      <c r="BJ46" s="30" t="s">
        <v>45</v>
      </c>
      <c r="BK46" s="30" t="s">
        <v>45</v>
      </c>
      <c r="BL46" s="30" t="s">
        <v>45</v>
      </c>
      <c r="BM46" s="30" t="s">
        <v>45</v>
      </c>
      <c r="BN46" s="30" t="s">
        <v>45</v>
      </c>
      <c r="BO46" s="30" t="s">
        <v>45</v>
      </c>
      <c r="BP46" s="30" t="s">
        <v>45</v>
      </c>
      <c r="BQ46" s="30" t="s">
        <v>45</v>
      </c>
      <c r="BR46" s="31">
        <v>6.2169999999999996</v>
      </c>
      <c r="BS46" s="30" t="s">
        <v>37</v>
      </c>
      <c r="BT46" s="30" t="s">
        <v>37</v>
      </c>
      <c r="BU46" s="30" t="s">
        <v>37</v>
      </c>
      <c r="BV46" s="30" t="s">
        <v>37</v>
      </c>
      <c r="BW46" s="30" t="s">
        <v>37</v>
      </c>
      <c r="BX46" s="30" t="s">
        <v>37</v>
      </c>
      <c r="BY46" s="30" t="s">
        <v>45</v>
      </c>
      <c r="BZ46" s="30" t="s">
        <v>45</v>
      </c>
      <c r="CA46" s="30" t="s">
        <v>45</v>
      </c>
      <c r="CB46" s="30" t="s">
        <v>45</v>
      </c>
      <c r="CC46" s="30" t="s">
        <v>45</v>
      </c>
      <c r="CD46" s="30" t="s">
        <v>45</v>
      </c>
      <c r="CE46" s="30" t="s">
        <v>45</v>
      </c>
      <c r="CF46" s="30" t="s">
        <v>45</v>
      </c>
      <c r="CG46" s="26">
        <f t="shared" si="101"/>
        <v>8.7959999999999994</v>
      </c>
      <c r="CH46" s="27">
        <f t="shared" si="102"/>
        <v>9.1449999999999996</v>
      </c>
      <c r="CI46" s="27">
        <f t="shared" si="103"/>
        <v>9.6449999999999996</v>
      </c>
      <c r="CJ46" s="27">
        <f t="shared" si="104"/>
        <v>10.081</v>
      </c>
      <c r="CK46" s="27">
        <f t="shared" si="105"/>
        <v>9.8350000000000009</v>
      </c>
      <c r="CL46" s="27">
        <f t="shared" si="106"/>
        <v>10.331</v>
      </c>
      <c r="CM46" s="27">
        <f t="shared" si="107"/>
        <v>10.814</v>
      </c>
      <c r="CN46" s="27">
        <f t="shared" si="108"/>
        <v>11.144</v>
      </c>
      <c r="CO46" s="27">
        <f t="shared" si="109"/>
        <v>10.125</v>
      </c>
      <c r="CP46" s="27">
        <f t="shared" si="110"/>
        <v>11.097</v>
      </c>
      <c r="CQ46" s="27">
        <f t="shared" si="111"/>
        <v>11.124000000000001</v>
      </c>
      <c r="CR46" s="27">
        <f t="shared" si="112"/>
        <v>11.913</v>
      </c>
      <c r="CS46" s="27">
        <f t="shared" si="113"/>
        <v>12.233000000000001</v>
      </c>
      <c r="CT46" s="27">
        <f t="shared" si="114"/>
        <v>13.680999999999999</v>
      </c>
      <c r="CU46" s="27">
        <f t="shared" si="115"/>
        <v>14.692</v>
      </c>
      <c r="CV46" s="27">
        <f t="shared" si="116"/>
        <v>20.003</v>
      </c>
      <c r="CW46" s="27">
        <f t="shared" si="117"/>
        <v>24.1</v>
      </c>
      <c r="CX46" s="27">
        <f t="shared" si="118"/>
        <v>28.058</v>
      </c>
      <c r="CY46" s="27">
        <f t="shared" si="119"/>
        <v>27.847000000000001</v>
      </c>
      <c r="CZ46" s="27">
        <f t="shared" si="120"/>
        <v>31.819999999999997</v>
      </c>
      <c r="DA46" s="27">
        <f t="shared" si="121"/>
        <v>25.111000000000004</v>
      </c>
      <c r="DB46" s="27">
        <f t="shared" si="122"/>
        <v>24.293999999999997</v>
      </c>
      <c r="DC46" s="27">
        <f t="shared" si="123"/>
        <v>25.631729</v>
      </c>
      <c r="DD46" s="27">
        <f t="shared" si="124"/>
        <v>25.05</v>
      </c>
      <c r="DE46" s="27">
        <f t="shared" si="125"/>
        <v>72.716999999999999</v>
      </c>
      <c r="DF46" s="27">
        <f t="shared" si="126"/>
        <v>92.984999999999999</v>
      </c>
      <c r="DG46" s="27">
        <f t="shared" si="127"/>
        <v>83.23599999999999</v>
      </c>
      <c r="DH46" s="27">
        <f t="shared" si="128"/>
        <v>56.932000000000002</v>
      </c>
      <c r="DI46" s="27">
        <f t="shared" si="129"/>
        <v>59.954000000000001</v>
      </c>
      <c r="DJ46" s="27">
        <f t="shared" si="130"/>
        <v>63.615000000000002</v>
      </c>
      <c r="DK46" s="27">
        <f t="shared" si="131"/>
        <v>60.548999999999999</v>
      </c>
      <c r="DL46" s="27">
        <f t="shared" si="132"/>
        <v>59.868000000000002</v>
      </c>
      <c r="DM46" s="27">
        <f t="shared" si="133"/>
        <v>68.106533999999996</v>
      </c>
      <c r="DN46" s="27">
        <f t="shared" si="133"/>
        <v>75.096471000000008</v>
      </c>
      <c r="EO46" s="22"/>
      <c r="EP46" s="22"/>
      <c r="EQ46" s="22"/>
      <c r="ER46" s="22"/>
      <c r="ES46" s="22"/>
    </row>
    <row r="47" spans="1:149">
      <c r="A47" s="23" t="s">
        <v>76</v>
      </c>
      <c r="B47" s="30">
        <v>0.86</v>
      </c>
      <c r="C47" s="30">
        <v>1.089</v>
      </c>
      <c r="D47" s="30">
        <v>1.089</v>
      </c>
      <c r="E47" s="30">
        <v>1.093</v>
      </c>
      <c r="F47" s="30">
        <v>1.089</v>
      </c>
      <c r="G47" s="30">
        <v>1.7929999999999999</v>
      </c>
      <c r="H47" s="30">
        <v>2.0369999999999999</v>
      </c>
      <c r="I47" s="30">
        <v>2.1960000000000002</v>
      </c>
      <c r="J47" s="30">
        <v>2.3519999999999999</v>
      </c>
      <c r="K47" s="30">
        <v>2.613</v>
      </c>
      <c r="L47" s="30">
        <v>2.6859999999999999</v>
      </c>
      <c r="M47" s="30">
        <v>2.726</v>
      </c>
      <c r="N47" s="30">
        <v>3.1139999999999999</v>
      </c>
      <c r="O47" s="30">
        <v>3.2109999999999999</v>
      </c>
      <c r="P47" s="30">
        <v>4.0940000000000003</v>
      </c>
      <c r="Q47" s="30">
        <v>4.6920000000000002</v>
      </c>
      <c r="R47" s="30">
        <v>5.6449999999999996</v>
      </c>
      <c r="S47" s="30">
        <v>5.9749999999999996</v>
      </c>
      <c r="T47" s="30">
        <v>6.5449999999999999</v>
      </c>
      <c r="U47" s="30">
        <v>2.4580000000000002</v>
      </c>
      <c r="V47" s="30">
        <v>8.7420000000000009</v>
      </c>
      <c r="W47" s="30">
        <v>8.3369999999999997</v>
      </c>
      <c r="X47" s="30">
        <v>9.9175950000000004</v>
      </c>
      <c r="Y47" s="30">
        <v>10.388</v>
      </c>
      <c r="Z47" s="30">
        <v>12.537000000000001</v>
      </c>
      <c r="AA47" s="30">
        <v>12.828000000000001</v>
      </c>
      <c r="AB47" s="30">
        <v>14.430999999999999</v>
      </c>
      <c r="AC47" s="30">
        <v>15.672000000000001</v>
      </c>
      <c r="AD47" s="30">
        <v>15.465</v>
      </c>
      <c r="AE47" s="30">
        <v>15.999000000000001</v>
      </c>
      <c r="AF47" s="30">
        <v>17.341000000000001</v>
      </c>
      <c r="AG47" s="30">
        <v>17.408999999999999</v>
      </c>
      <c r="AH47" s="30">
        <v>17.648828000000002</v>
      </c>
      <c r="AI47" s="30">
        <v>17.836824</v>
      </c>
      <c r="AJ47" s="31" t="s">
        <v>37</v>
      </c>
      <c r="AK47" s="30" t="s">
        <v>37</v>
      </c>
      <c r="AL47" s="30" t="s">
        <v>37</v>
      </c>
      <c r="AM47" s="30" t="s">
        <v>37</v>
      </c>
      <c r="AN47" s="30" t="s">
        <v>37</v>
      </c>
      <c r="AO47" s="30" t="s">
        <v>37</v>
      </c>
      <c r="AP47" s="30" t="s">
        <v>37</v>
      </c>
      <c r="AQ47" s="30" t="s">
        <v>37</v>
      </c>
      <c r="AR47" s="30" t="s">
        <v>37</v>
      </c>
      <c r="AS47" s="30" t="s">
        <v>37</v>
      </c>
      <c r="AT47" s="30" t="s">
        <v>37</v>
      </c>
      <c r="AU47" s="30" t="s">
        <v>37</v>
      </c>
      <c r="AV47" s="30" t="s">
        <v>37</v>
      </c>
      <c r="AW47" s="30" t="s">
        <v>37</v>
      </c>
      <c r="AX47" s="30" t="s">
        <v>37</v>
      </c>
      <c r="AY47" s="30" t="s">
        <v>37</v>
      </c>
      <c r="AZ47" s="30" t="s">
        <v>37</v>
      </c>
      <c r="BA47" s="30" t="s">
        <v>37</v>
      </c>
      <c r="BB47" s="30">
        <v>0.92800000000000005</v>
      </c>
      <c r="BC47" s="30" t="s">
        <v>37</v>
      </c>
      <c r="BD47" s="30" t="s">
        <v>37</v>
      </c>
      <c r="BE47" s="30" t="s">
        <v>37</v>
      </c>
      <c r="BF47" s="30" t="s">
        <v>37</v>
      </c>
      <c r="BG47" s="30" t="s">
        <v>37</v>
      </c>
      <c r="BH47" s="30" t="s">
        <v>37</v>
      </c>
      <c r="BI47" s="30" t="s">
        <v>37</v>
      </c>
      <c r="BJ47" s="30" t="s">
        <v>45</v>
      </c>
      <c r="BK47" s="30" t="s">
        <v>45</v>
      </c>
      <c r="BL47" s="30" t="s">
        <v>45</v>
      </c>
      <c r="BM47" s="30" t="s">
        <v>45</v>
      </c>
      <c r="BN47" s="30" t="s">
        <v>45</v>
      </c>
      <c r="BO47" s="30" t="s">
        <v>45</v>
      </c>
      <c r="BP47" s="30" t="s">
        <v>45</v>
      </c>
      <c r="BQ47" s="30" t="s">
        <v>45</v>
      </c>
      <c r="BR47" s="31">
        <v>4.0039999999999996</v>
      </c>
      <c r="BS47" s="30" t="s">
        <v>37</v>
      </c>
      <c r="BT47" s="30" t="s">
        <v>37</v>
      </c>
      <c r="BU47" s="30" t="s">
        <v>37</v>
      </c>
      <c r="BV47" s="30" t="s">
        <v>37</v>
      </c>
      <c r="BW47" s="30" t="s">
        <v>37</v>
      </c>
      <c r="BX47" s="30" t="s">
        <v>37</v>
      </c>
      <c r="BY47" s="30" t="s">
        <v>45</v>
      </c>
      <c r="BZ47" s="30" t="s">
        <v>45</v>
      </c>
      <c r="CA47" s="30" t="s">
        <v>45</v>
      </c>
      <c r="CB47" s="30" t="s">
        <v>45</v>
      </c>
      <c r="CC47" s="30" t="s">
        <v>45</v>
      </c>
      <c r="CD47" s="30" t="s">
        <v>45</v>
      </c>
      <c r="CE47" s="30" t="s">
        <v>45</v>
      </c>
      <c r="CF47" s="30" t="s">
        <v>45</v>
      </c>
      <c r="CG47" s="26">
        <f t="shared" si="101"/>
        <v>0.86</v>
      </c>
      <c r="CH47" s="27">
        <f t="shared" si="102"/>
        <v>1.089</v>
      </c>
      <c r="CI47" s="27">
        <f t="shared" si="103"/>
        <v>1.089</v>
      </c>
      <c r="CJ47" s="27">
        <f t="shared" si="104"/>
        <v>1.093</v>
      </c>
      <c r="CK47" s="27">
        <f t="shared" si="105"/>
        <v>1.089</v>
      </c>
      <c r="CL47" s="27">
        <f t="shared" si="106"/>
        <v>1.7929999999999999</v>
      </c>
      <c r="CM47" s="27">
        <f t="shared" si="107"/>
        <v>2.0369999999999999</v>
      </c>
      <c r="CN47" s="27">
        <f t="shared" si="108"/>
        <v>2.1960000000000002</v>
      </c>
      <c r="CO47" s="27">
        <f t="shared" si="109"/>
        <v>2.3519999999999999</v>
      </c>
      <c r="CP47" s="27">
        <f t="shared" si="110"/>
        <v>2.613</v>
      </c>
      <c r="CQ47" s="27">
        <f t="shared" si="111"/>
        <v>2.6859999999999999</v>
      </c>
      <c r="CR47" s="27">
        <f t="shared" si="112"/>
        <v>2.726</v>
      </c>
      <c r="CS47" s="27">
        <f t="shared" si="113"/>
        <v>3.1139999999999999</v>
      </c>
      <c r="CT47" s="27">
        <f t="shared" si="114"/>
        <v>3.2109999999999999</v>
      </c>
      <c r="CU47" s="27">
        <f t="shared" si="115"/>
        <v>4.0940000000000003</v>
      </c>
      <c r="CV47" s="27">
        <f t="shared" si="116"/>
        <v>4.6920000000000002</v>
      </c>
      <c r="CW47" s="27">
        <f t="shared" si="117"/>
        <v>5.6449999999999996</v>
      </c>
      <c r="CX47" s="27">
        <f t="shared" si="118"/>
        <v>5.9749999999999996</v>
      </c>
      <c r="CY47" s="27">
        <f t="shared" si="119"/>
        <v>7.4729999999999999</v>
      </c>
      <c r="CZ47" s="27">
        <f t="shared" si="120"/>
        <v>6.4619999999999997</v>
      </c>
      <c r="DA47" s="27">
        <f t="shared" si="121"/>
        <v>8.7420000000000009</v>
      </c>
      <c r="DB47" s="27">
        <f t="shared" si="122"/>
        <v>8.3369999999999997</v>
      </c>
      <c r="DC47" s="27">
        <f t="shared" si="123"/>
        <v>9.9175950000000004</v>
      </c>
      <c r="DD47" s="27">
        <f t="shared" si="124"/>
        <v>10.388</v>
      </c>
      <c r="DE47" s="27">
        <f t="shared" si="125"/>
        <v>12.537000000000001</v>
      </c>
      <c r="DF47" s="27">
        <f t="shared" si="126"/>
        <v>12.828000000000001</v>
      </c>
      <c r="DG47" s="27">
        <f t="shared" si="127"/>
        <v>14.430999999999999</v>
      </c>
      <c r="DH47" s="27">
        <f t="shared" si="128"/>
        <v>15.672000000000001</v>
      </c>
      <c r="DI47" s="27">
        <f t="shared" si="129"/>
        <v>15.465</v>
      </c>
      <c r="DJ47" s="27">
        <f t="shared" si="130"/>
        <v>15.999000000000001</v>
      </c>
      <c r="DK47" s="27">
        <f t="shared" si="131"/>
        <v>17.341000000000001</v>
      </c>
      <c r="DL47" s="27">
        <f t="shared" si="132"/>
        <v>17.408999999999999</v>
      </c>
      <c r="DM47" s="27">
        <f t="shared" si="133"/>
        <v>17.648828000000002</v>
      </c>
      <c r="DN47" s="27">
        <f t="shared" si="133"/>
        <v>17.836824</v>
      </c>
      <c r="EO47" s="22"/>
      <c r="EP47" s="22"/>
      <c r="EQ47" s="22"/>
      <c r="ER47" s="22"/>
      <c r="ES47" s="22"/>
    </row>
    <row r="48" spans="1:149">
      <c r="A48" s="23" t="s">
        <v>77</v>
      </c>
      <c r="B48" s="30">
        <v>0.66500000000000004</v>
      </c>
      <c r="C48" s="30">
        <v>0.71299999999999997</v>
      </c>
      <c r="D48" s="30">
        <v>0.80200000000000005</v>
      </c>
      <c r="E48" s="30">
        <v>0.748</v>
      </c>
      <c r="F48" s="30">
        <v>0.54</v>
      </c>
      <c r="G48" s="30">
        <v>1.0069999999999999</v>
      </c>
      <c r="H48" s="30">
        <v>1.54</v>
      </c>
      <c r="I48" s="30">
        <v>1.2</v>
      </c>
      <c r="J48" s="30">
        <v>1.6</v>
      </c>
      <c r="K48" s="30">
        <v>2.1619999999999999</v>
      </c>
      <c r="L48" s="30">
        <v>2.036</v>
      </c>
      <c r="M48" s="30">
        <v>1.996</v>
      </c>
      <c r="N48" s="30">
        <v>1.8979999999999999</v>
      </c>
      <c r="O48" s="30">
        <v>2.202</v>
      </c>
      <c r="P48" s="30">
        <v>2.0659999999999998</v>
      </c>
      <c r="Q48" s="30">
        <v>2.016</v>
      </c>
      <c r="R48" s="30">
        <v>2.0760000000000001</v>
      </c>
      <c r="S48" s="30">
        <v>0.77900000000000003</v>
      </c>
      <c r="T48" s="30">
        <v>7.38</v>
      </c>
      <c r="U48" s="30">
        <v>1.397</v>
      </c>
      <c r="V48" s="30">
        <v>1.3460000000000001</v>
      </c>
      <c r="W48" s="30">
        <v>1.407</v>
      </c>
      <c r="X48" s="30">
        <v>1.4922409999999999</v>
      </c>
      <c r="Y48" s="30">
        <v>1.8859999999999999</v>
      </c>
      <c r="Z48" s="30">
        <v>3.19</v>
      </c>
      <c r="AA48" s="30">
        <v>2.883</v>
      </c>
      <c r="AB48" s="30">
        <v>8.52</v>
      </c>
      <c r="AC48" s="30">
        <v>9.1929999999999996</v>
      </c>
      <c r="AD48" s="30">
        <v>9.4250000000000007</v>
      </c>
      <c r="AE48" s="30">
        <v>10.891</v>
      </c>
      <c r="AF48" s="30">
        <v>9.9410000000000007</v>
      </c>
      <c r="AG48" s="30">
        <v>9.1469999999999985</v>
      </c>
      <c r="AH48" s="30">
        <v>11.433574</v>
      </c>
      <c r="AI48" s="30">
        <v>11.230744000000001</v>
      </c>
      <c r="AJ48" s="31" t="s">
        <v>37</v>
      </c>
      <c r="AK48" s="30" t="s">
        <v>37</v>
      </c>
      <c r="AL48" s="30" t="s">
        <v>37</v>
      </c>
      <c r="AM48" s="30" t="s">
        <v>37</v>
      </c>
      <c r="AN48" s="30" t="s">
        <v>37</v>
      </c>
      <c r="AO48" s="30" t="s">
        <v>37</v>
      </c>
      <c r="AP48" s="30" t="s">
        <v>37</v>
      </c>
      <c r="AQ48" s="30" t="s">
        <v>37</v>
      </c>
      <c r="AR48" s="30" t="s">
        <v>37</v>
      </c>
      <c r="AS48" s="30" t="s">
        <v>37</v>
      </c>
      <c r="AT48" s="30" t="s">
        <v>37</v>
      </c>
      <c r="AU48" s="30" t="s">
        <v>37</v>
      </c>
      <c r="AV48" s="30" t="s">
        <v>37</v>
      </c>
      <c r="AW48" s="30" t="s">
        <v>37</v>
      </c>
      <c r="AX48" s="30" t="s">
        <v>37</v>
      </c>
      <c r="AY48" s="30" t="s">
        <v>37</v>
      </c>
      <c r="AZ48" s="30" t="s">
        <v>37</v>
      </c>
      <c r="BA48" s="30" t="s">
        <v>37</v>
      </c>
      <c r="BB48" s="30" t="s">
        <v>37</v>
      </c>
      <c r="BC48" s="30" t="s">
        <v>37</v>
      </c>
      <c r="BD48" s="30" t="s">
        <v>37</v>
      </c>
      <c r="BE48" s="30" t="s">
        <v>37</v>
      </c>
      <c r="BF48" s="30" t="s">
        <v>37</v>
      </c>
      <c r="BG48" s="30" t="s">
        <v>37</v>
      </c>
      <c r="BH48" s="30" t="s">
        <v>37</v>
      </c>
      <c r="BI48" s="30" t="s">
        <v>37</v>
      </c>
      <c r="BJ48" s="30" t="s">
        <v>45</v>
      </c>
      <c r="BK48" s="30" t="s">
        <v>45</v>
      </c>
      <c r="BL48" s="30" t="s">
        <v>45</v>
      </c>
      <c r="BM48" s="30">
        <v>1.4E-2</v>
      </c>
      <c r="BN48" s="30" t="s">
        <v>45</v>
      </c>
      <c r="BO48" s="30" t="s">
        <v>45</v>
      </c>
      <c r="BP48" s="30">
        <v>4.5763999999999999E-2</v>
      </c>
      <c r="BQ48" s="30">
        <v>1.2E-2</v>
      </c>
      <c r="BR48" s="31" t="s">
        <v>37</v>
      </c>
      <c r="BS48" s="30" t="s">
        <v>37</v>
      </c>
      <c r="BT48" s="30" t="s">
        <v>37</v>
      </c>
      <c r="BU48" s="30" t="s">
        <v>37</v>
      </c>
      <c r="BV48" s="30" t="s">
        <v>37</v>
      </c>
      <c r="BW48" s="30" t="s">
        <v>37</v>
      </c>
      <c r="BX48" s="30" t="s">
        <v>37</v>
      </c>
      <c r="BY48" s="30" t="s">
        <v>45</v>
      </c>
      <c r="BZ48" s="30" t="s">
        <v>45</v>
      </c>
      <c r="CA48" s="30" t="s">
        <v>45</v>
      </c>
      <c r="CB48" s="30" t="s">
        <v>45</v>
      </c>
      <c r="CC48" s="30" t="s">
        <v>45</v>
      </c>
      <c r="CD48" s="30" t="s">
        <v>45</v>
      </c>
      <c r="CE48" s="30" t="s">
        <v>45</v>
      </c>
      <c r="CF48" s="30" t="s">
        <v>45</v>
      </c>
      <c r="CG48" s="26">
        <f t="shared" si="101"/>
        <v>0.66500000000000004</v>
      </c>
      <c r="CH48" s="27">
        <f t="shared" si="102"/>
        <v>0.71299999999999997</v>
      </c>
      <c r="CI48" s="27">
        <f t="shared" si="103"/>
        <v>0.80200000000000005</v>
      </c>
      <c r="CJ48" s="27">
        <f t="shared" si="104"/>
        <v>0.748</v>
      </c>
      <c r="CK48" s="27">
        <f t="shared" si="105"/>
        <v>0.54</v>
      </c>
      <c r="CL48" s="27">
        <f t="shared" si="106"/>
        <v>1.0069999999999999</v>
      </c>
      <c r="CM48" s="27">
        <f t="shared" si="107"/>
        <v>1.54</v>
      </c>
      <c r="CN48" s="27">
        <f t="shared" si="108"/>
        <v>1.2</v>
      </c>
      <c r="CO48" s="27">
        <f t="shared" si="109"/>
        <v>1.6</v>
      </c>
      <c r="CP48" s="27">
        <f t="shared" si="110"/>
        <v>2.1619999999999999</v>
      </c>
      <c r="CQ48" s="27">
        <f t="shared" si="111"/>
        <v>2.036</v>
      </c>
      <c r="CR48" s="27">
        <f t="shared" si="112"/>
        <v>1.996</v>
      </c>
      <c r="CS48" s="27">
        <f t="shared" si="113"/>
        <v>1.8979999999999999</v>
      </c>
      <c r="CT48" s="27">
        <f t="shared" si="114"/>
        <v>2.202</v>
      </c>
      <c r="CU48" s="27">
        <f t="shared" si="115"/>
        <v>2.0659999999999998</v>
      </c>
      <c r="CV48" s="27">
        <f t="shared" si="116"/>
        <v>2.016</v>
      </c>
      <c r="CW48" s="27">
        <f t="shared" si="117"/>
        <v>2.0760000000000001</v>
      </c>
      <c r="CX48" s="27">
        <f t="shared" si="118"/>
        <v>0.77900000000000003</v>
      </c>
      <c r="CY48" s="27">
        <f t="shared" si="119"/>
        <v>7.38</v>
      </c>
      <c r="CZ48" s="27">
        <f t="shared" si="120"/>
        <v>1.397</v>
      </c>
      <c r="DA48" s="27">
        <f t="shared" si="121"/>
        <v>1.3460000000000001</v>
      </c>
      <c r="DB48" s="27">
        <f t="shared" si="122"/>
        <v>1.407</v>
      </c>
      <c r="DC48" s="27">
        <f t="shared" si="123"/>
        <v>1.4922409999999999</v>
      </c>
      <c r="DD48" s="27">
        <f t="shared" si="124"/>
        <v>1.8859999999999999</v>
      </c>
      <c r="DE48" s="27">
        <f t="shared" si="125"/>
        <v>3.19</v>
      </c>
      <c r="DF48" s="27">
        <f t="shared" si="126"/>
        <v>2.883</v>
      </c>
      <c r="DG48" s="27">
        <f t="shared" si="127"/>
        <v>8.52</v>
      </c>
      <c r="DH48" s="27">
        <f t="shared" si="128"/>
        <v>9.1929999999999996</v>
      </c>
      <c r="DI48" s="27">
        <f t="shared" si="129"/>
        <v>9.4250000000000007</v>
      </c>
      <c r="DJ48" s="27">
        <f t="shared" si="130"/>
        <v>10.904999999999999</v>
      </c>
      <c r="DK48" s="27">
        <f t="shared" si="131"/>
        <v>9.9410000000000007</v>
      </c>
      <c r="DL48" s="27">
        <f t="shared" si="132"/>
        <v>9.1469999999999985</v>
      </c>
      <c r="DM48" s="27">
        <f t="shared" si="133"/>
        <v>11.479338</v>
      </c>
      <c r="DN48" s="27">
        <f t="shared" si="133"/>
        <v>11.242744000000002</v>
      </c>
      <c r="EO48" s="22"/>
      <c r="EP48" s="22"/>
      <c r="EQ48" s="22"/>
      <c r="ER48" s="22"/>
      <c r="ES48" s="22"/>
    </row>
    <row r="49" spans="1:149">
      <c r="A49" s="23" t="s">
        <v>78</v>
      </c>
      <c r="B49" s="30">
        <v>40</v>
      </c>
      <c r="C49" s="30">
        <v>45.204999999999998</v>
      </c>
      <c r="D49" s="30">
        <v>47.21</v>
      </c>
      <c r="E49" s="30">
        <v>48.5</v>
      </c>
      <c r="F49" s="30">
        <v>49.4</v>
      </c>
      <c r="G49" s="30">
        <v>51.4</v>
      </c>
      <c r="H49" s="30">
        <v>50.7</v>
      </c>
      <c r="I49" s="30">
        <v>52.77</v>
      </c>
      <c r="J49" s="30">
        <v>61</v>
      </c>
      <c r="K49" s="30">
        <v>66</v>
      </c>
      <c r="L49" s="30">
        <v>77.94</v>
      </c>
      <c r="M49" s="30">
        <v>91.224999999999994</v>
      </c>
      <c r="N49" s="30">
        <v>86.052999999999997</v>
      </c>
      <c r="O49" s="30">
        <v>86.77</v>
      </c>
      <c r="P49" s="30">
        <v>92.947999999999993</v>
      </c>
      <c r="Q49" s="30">
        <v>93.122</v>
      </c>
      <c r="R49" s="30">
        <v>95.481999999999999</v>
      </c>
      <c r="S49" s="30">
        <v>98.606999999999999</v>
      </c>
      <c r="T49" s="30">
        <v>112.264</v>
      </c>
      <c r="U49" s="30">
        <v>132.29300000000001</v>
      </c>
      <c r="V49" s="30">
        <v>144.77699999999999</v>
      </c>
      <c r="W49" s="30">
        <v>159.54899999999998</v>
      </c>
      <c r="X49" s="30">
        <v>159.55100100000001</v>
      </c>
      <c r="Y49" s="30">
        <v>177.559</v>
      </c>
      <c r="Z49" s="30">
        <v>191.93900000000002</v>
      </c>
      <c r="AA49" s="30">
        <v>224.886</v>
      </c>
      <c r="AB49" s="30">
        <v>76.301000000000002</v>
      </c>
      <c r="AC49" s="30">
        <v>73.998999999999995</v>
      </c>
      <c r="AD49" s="30">
        <v>74.930999999999997</v>
      </c>
      <c r="AE49" s="30">
        <v>86.048000000000002</v>
      </c>
      <c r="AF49" s="30">
        <v>80.855999999999995</v>
      </c>
      <c r="AG49" s="30">
        <v>89.036000000000001</v>
      </c>
      <c r="AH49" s="30">
        <v>93.472188000000003</v>
      </c>
      <c r="AI49" s="30">
        <v>94.431658999999996</v>
      </c>
      <c r="AJ49" s="31" t="s">
        <v>37</v>
      </c>
      <c r="AK49" s="30" t="s">
        <v>37</v>
      </c>
      <c r="AL49" s="30" t="s">
        <v>37</v>
      </c>
      <c r="AM49" s="30" t="s">
        <v>37</v>
      </c>
      <c r="AN49" s="30" t="s">
        <v>37</v>
      </c>
      <c r="AO49" s="30" t="s">
        <v>37</v>
      </c>
      <c r="AP49" s="30" t="s">
        <v>37</v>
      </c>
      <c r="AQ49" s="30" t="s">
        <v>37</v>
      </c>
      <c r="AR49" s="30" t="s">
        <v>37</v>
      </c>
      <c r="AS49" s="30" t="s">
        <v>37</v>
      </c>
      <c r="AT49" s="30" t="s">
        <v>37</v>
      </c>
      <c r="AU49" s="30" t="s">
        <v>37</v>
      </c>
      <c r="AV49" s="30" t="s">
        <v>37</v>
      </c>
      <c r="AW49" s="30" t="s">
        <v>37</v>
      </c>
      <c r="AX49" s="30" t="s">
        <v>37</v>
      </c>
      <c r="AY49" s="30" t="s">
        <v>37</v>
      </c>
      <c r="AZ49" s="30" t="s">
        <v>37</v>
      </c>
      <c r="BA49" s="30" t="s">
        <v>37</v>
      </c>
      <c r="BB49" s="30" t="s">
        <v>37</v>
      </c>
      <c r="BC49" s="30" t="s">
        <v>37</v>
      </c>
      <c r="BD49" s="30" t="s">
        <v>37</v>
      </c>
      <c r="BE49" s="30" t="s">
        <v>37</v>
      </c>
      <c r="BF49" s="30" t="s">
        <v>37</v>
      </c>
      <c r="BG49" s="30" t="s">
        <v>37</v>
      </c>
      <c r="BH49" s="30" t="s">
        <v>37</v>
      </c>
      <c r="BI49" s="30" t="s">
        <v>37</v>
      </c>
      <c r="BJ49" s="30" t="s">
        <v>45</v>
      </c>
      <c r="BK49" s="30" t="s">
        <v>45</v>
      </c>
      <c r="BL49" s="30" t="s">
        <v>45</v>
      </c>
      <c r="BM49" s="30" t="s">
        <v>45</v>
      </c>
      <c r="BN49" s="30" t="s">
        <v>45</v>
      </c>
      <c r="BO49" s="30" t="s">
        <v>45</v>
      </c>
      <c r="BP49" s="30" t="s">
        <v>45</v>
      </c>
      <c r="BQ49" s="30" t="s">
        <v>45</v>
      </c>
      <c r="BR49" s="31" t="s">
        <v>37</v>
      </c>
      <c r="BS49" s="30" t="s">
        <v>37</v>
      </c>
      <c r="BT49" s="30" t="s">
        <v>37</v>
      </c>
      <c r="BU49" s="30" t="s">
        <v>37</v>
      </c>
      <c r="BV49" s="30" t="s">
        <v>37</v>
      </c>
      <c r="BW49" s="30" t="s">
        <v>37</v>
      </c>
      <c r="BX49" s="30" t="s">
        <v>37</v>
      </c>
      <c r="BY49" s="30" t="s">
        <v>45</v>
      </c>
      <c r="BZ49" s="30" t="s">
        <v>45</v>
      </c>
      <c r="CA49" s="30" t="s">
        <v>45</v>
      </c>
      <c r="CB49" s="30" t="s">
        <v>45</v>
      </c>
      <c r="CC49" s="30" t="s">
        <v>45</v>
      </c>
      <c r="CD49" s="30" t="s">
        <v>45</v>
      </c>
      <c r="CE49" s="30" t="s">
        <v>45</v>
      </c>
      <c r="CF49" s="30" t="s">
        <v>45</v>
      </c>
      <c r="CG49" s="26">
        <f t="shared" si="101"/>
        <v>40</v>
      </c>
      <c r="CH49" s="27">
        <f t="shared" si="102"/>
        <v>45.204999999999998</v>
      </c>
      <c r="CI49" s="27">
        <f t="shared" si="103"/>
        <v>47.21</v>
      </c>
      <c r="CJ49" s="27">
        <f t="shared" si="104"/>
        <v>48.5</v>
      </c>
      <c r="CK49" s="27">
        <f t="shared" si="105"/>
        <v>49.4</v>
      </c>
      <c r="CL49" s="27">
        <f t="shared" si="106"/>
        <v>51.4</v>
      </c>
      <c r="CM49" s="27">
        <f t="shared" si="107"/>
        <v>50.7</v>
      </c>
      <c r="CN49" s="27">
        <f t="shared" si="108"/>
        <v>52.77</v>
      </c>
      <c r="CO49" s="27">
        <f t="shared" si="109"/>
        <v>61</v>
      </c>
      <c r="CP49" s="27">
        <f t="shared" si="110"/>
        <v>66</v>
      </c>
      <c r="CQ49" s="27">
        <f t="shared" si="111"/>
        <v>77.94</v>
      </c>
      <c r="CR49" s="27">
        <f t="shared" si="112"/>
        <v>91.224999999999994</v>
      </c>
      <c r="CS49" s="27">
        <f t="shared" si="113"/>
        <v>86.052999999999997</v>
      </c>
      <c r="CT49" s="27">
        <f t="shared" si="114"/>
        <v>86.77</v>
      </c>
      <c r="CU49" s="27">
        <f t="shared" si="115"/>
        <v>92.947999999999993</v>
      </c>
      <c r="CV49" s="27">
        <f t="shared" si="116"/>
        <v>93.122</v>
      </c>
      <c r="CW49" s="27">
        <f t="shared" si="117"/>
        <v>95.481999999999999</v>
      </c>
      <c r="CX49" s="27">
        <f t="shared" si="118"/>
        <v>98.606999999999999</v>
      </c>
      <c r="CY49" s="27">
        <f t="shared" si="119"/>
        <v>112.264</v>
      </c>
      <c r="CZ49" s="27">
        <f t="shared" si="120"/>
        <v>132.29300000000001</v>
      </c>
      <c r="DA49" s="27">
        <f t="shared" si="121"/>
        <v>144.77699999999999</v>
      </c>
      <c r="DB49" s="27">
        <f t="shared" si="122"/>
        <v>159.54899999999998</v>
      </c>
      <c r="DC49" s="27">
        <f t="shared" si="123"/>
        <v>159.55100100000001</v>
      </c>
      <c r="DD49" s="27">
        <f t="shared" si="124"/>
        <v>177.559</v>
      </c>
      <c r="DE49" s="27">
        <f t="shared" si="125"/>
        <v>191.93900000000002</v>
      </c>
      <c r="DF49" s="27">
        <f t="shared" si="126"/>
        <v>224.886</v>
      </c>
      <c r="DG49" s="27">
        <f t="shared" si="127"/>
        <v>76.301000000000002</v>
      </c>
      <c r="DH49" s="27">
        <f t="shared" si="128"/>
        <v>73.998999999999995</v>
      </c>
      <c r="DI49" s="27">
        <f t="shared" si="129"/>
        <v>74.930999999999997</v>
      </c>
      <c r="DJ49" s="27">
        <f t="shared" si="130"/>
        <v>86.048000000000002</v>
      </c>
      <c r="DK49" s="27">
        <f t="shared" si="131"/>
        <v>80.855999999999995</v>
      </c>
      <c r="DL49" s="27">
        <f t="shared" si="132"/>
        <v>89.036000000000001</v>
      </c>
      <c r="DM49" s="27">
        <f t="shared" si="133"/>
        <v>93.472188000000003</v>
      </c>
      <c r="DN49" s="27">
        <f t="shared" si="133"/>
        <v>94.431658999999996</v>
      </c>
      <c r="EO49" s="22"/>
      <c r="EP49" s="22"/>
      <c r="EQ49" s="22"/>
      <c r="ER49" s="22"/>
      <c r="ES49" s="22"/>
    </row>
    <row r="50" spans="1:149">
      <c r="A50" s="23" t="s">
        <v>79</v>
      </c>
      <c r="B50" s="30">
        <v>0.27</v>
      </c>
      <c r="C50" s="30">
        <v>0.53100000000000003</v>
      </c>
      <c r="D50" s="30">
        <v>0.64100000000000001</v>
      </c>
      <c r="E50" s="30">
        <v>0.56299999999999994</v>
      </c>
      <c r="F50" s="30">
        <v>0.58099999999999996</v>
      </c>
      <c r="G50" s="30">
        <v>0.50600000000000001</v>
      </c>
      <c r="H50" s="30">
        <v>0.504</v>
      </c>
      <c r="I50" s="30">
        <v>0.46800000000000003</v>
      </c>
      <c r="J50" s="30">
        <v>0.48</v>
      </c>
      <c r="K50" s="30">
        <v>0.58699999999999997</v>
      </c>
      <c r="L50" s="30">
        <v>0.58899999999999997</v>
      </c>
      <c r="M50" s="30">
        <v>0.58899999999999997</v>
      </c>
      <c r="N50" s="30">
        <v>0.56200000000000006</v>
      </c>
      <c r="O50" s="30">
        <v>0.34599999999999997</v>
      </c>
      <c r="P50" s="30" t="s">
        <v>37</v>
      </c>
      <c r="Q50" s="30" t="s">
        <v>37</v>
      </c>
      <c r="R50" s="30" t="s">
        <v>37</v>
      </c>
      <c r="S50" s="30" t="s">
        <v>37</v>
      </c>
      <c r="T50" s="30" t="s">
        <v>37</v>
      </c>
      <c r="U50" s="30" t="s">
        <v>37</v>
      </c>
      <c r="V50" s="30" t="s">
        <v>37</v>
      </c>
      <c r="W50" s="30" t="s">
        <v>37</v>
      </c>
      <c r="X50" s="30" t="s">
        <v>37</v>
      </c>
      <c r="Y50" s="30" t="s">
        <v>37</v>
      </c>
      <c r="Z50" s="30" t="s">
        <v>37</v>
      </c>
      <c r="AA50" s="30">
        <v>0.17799999999999999</v>
      </c>
      <c r="AB50" s="30">
        <v>0.17799999999999999</v>
      </c>
      <c r="AC50" s="30">
        <v>0.40699999999999997</v>
      </c>
      <c r="AD50" s="30">
        <v>0</v>
      </c>
      <c r="AE50" s="30">
        <v>0</v>
      </c>
      <c r="AF50" s="30">
        <v>0.2</v>
      </c>
      <c r="AG50" s="30">
        <v>0.22700000000000001</v>
      </c>
      <c r="AH50" s="30">
        <v>0.182503</v>
      </c>
      <c r="AI50" s="30">
        <v>0.225382</v>
      </c>
      <c r="AJ50" s="31" t="s">
        <v>37</v>
      </c>
      <c r="AK50" s="30" t="s">
        <v>37</v>
      </c>
      <c r="AL50" s="30" t="s">
        <v>37</v>
      </c>
      <c r="AM50" s="30" t="s">
        <v>37</v>
      </c>
      <c r="AN50" s="30" t="s">
        <v>37</v>
      </c>
      <c r="AO50" s="30" t="s">
        <v>37</v>
      </c>
      <c r="AP50" s="30" t="s">
        <v>37</v>
      </c>
      <c r="AQ50" s="30" t="s">
        <v>37</v>
      </c>
      <c r="AR50" s="30" t="s">
        <v>37</v>
      </c>
      <c r="AS50" s="30" t="s">
        <v>37</v>
      </c>
      <c r="AT50" s="30" t="s">
        <v>37</v>
      </c>
      <c r="AU50" s="30" t="s">
        <v>37</v>
      </c>
      <c r="AV50" s="30" t="s">
        <v>37</v>
      </c>
      <c r="AW50" s="30" t="s">
        <v>37</v>
      </c>
      <c r="AX50" s="30" t="s">
        <v>37</v>
      </c>
      <c r="AY50" s="30" t="s">
        <v>37</v>
      </c>
      <c r="AZ50" s="30" t="s">
        <v>37</v>
      </c>
      <c r="BA50" s="30" t="s">
        <v>37</v>
      </c>
      <c r="BB50" s="30" t="s">
        <v>37</v>
      </c>
      <c r="BC50" s="30" t="s">
        <v>37</v>
      </c>
      <c r="BD50" s="30" t="s">
        <v>37</v>
      </c>
      <c r="BE50" s="30" t="s">
        <v>37</v>
      </c>
      <c r="BF50" s="30" t="s">
        <v>37</v>
      </c>
      <c r="BG50" s="30" t="s">
        <v>37</v>
      </c>
      <c r="BH50" s="30" t="s">
        <v>37</v>
      </c>
      <c r="BI50" s="30" t="s">
        <v>37</v>
      </c>
      <c r="BJ50" s="30" t="s">
        <v>45</v>
      </c>
      <c r="BK50" s="30" t="s">
        <v>45</v>
      </c>
      <c r="BL50" s="30" t="s">
        <v>45</v>
      </c>
      <c r="BM50" s="30" t="s">
        <v>45</v>
      </c>
      <c r="BN50" s="30" t="s">
        <v>45</v>
      </c>
      <c r="BO50" s="30" t="s">
        <v>45</v>
      </c>
      <c r="BP50" s="30" t="s">
        <v>45</v>
      </c>
      <c r="BQ50" s="30" t="s">
        <v>45</v>
      </c>
      <c r="BR50" s="31" t="s">
        <v>37</v>
      </c>
      <c r="BS50" s="30" t="s">
        <v>37</v>
      </c>
      <c r="BT50" s="30" t="s">
        <v>37</v>
      </c>
      <c r="BU50" s="30" t="s">
        <v>37</v>
      </c>
      <c r="BV50" s="30" t="s">
        <v>37</v>
      </c>
      <c r="BW50" s="30" t="s">
        <v>37</v>
      </c>
      <c r="BX50" s="30" t="s">
        <v>37</v>
      </c>
      <c r="BY50" s="30" t="s">
        <v>45</v>
      </c>
      <c r="BZ50" s="30" t="s">
        <v>45</v>
      </c>
      <c r="CA50" s="30" t="s">
        <v>45</v>
      </c>
      <c r="CB50" s="30" t="s">
        <v>45</v>
      </c>
      <c r="CC50" s="30" t="s">
        <v>45</v>
      </c>
      <c r="CD50" s="30" t="s">
        <v>45</v>
      </c>
      <c r="CE50" s="30" t="s">
        <v>45</v>
      </c>
      <c r="CF50" s="30" t="s">
        <v>45</v>
      </c>
      <c r="CG50" s="26">
        <f t="shared" si="101"/>
        <v>0.27</v>
      </c>
      <c r="CH50" s="27">
        <f t="shared" si="102"/>
        <v>0.53100000000000003</v>
      </c>
      <c r="CI50" s="27">
        <f t="shared" si="103"/>
        <v>0.64100000000000001</v>
      </c>
      <c r="CJ50" s="27">
        <f t="shared" si="104"/>
        <v>0.56299999999999994</v>
      </c>
      <c r="CK50" s="27">
        <f t="shared" si="105"/>
        <v>0.58099999999999996</v>
      </c>
      <c r="CL50" s="27">
        <f t="shared" si="106"/>
        <v>0.50600000000000001</v>
      </c>
      <c r="CM50" s="27">
        <f t="shared" si="107"/>
        <v>0.504</v>
      </c>
      <c r="CN50" s="27">
        <f t="shared" si="108"/>
        <v>0.46800000000000003</v>
      </c>
      <c r="CO50" s="27">
        <f t="shared" si="109"/>
        <v>0.48</v>
      </c>
      <c r="CP50" s="27">
        <f t="shared" si="110"/>
        <v>0.58699999999999997</v>
      </c>
      <c r="CQ50" s="27">
        <f t="shared" si="111"/>
        <v>0.58899999999999997</v>
      </c>
      <c r="CR50" s="27">
        <f t="shared" si="112"/>
        <v>0.58899999999999997</v>
      </c>
      <c r="CS50" s="27">
        <f t="shared" si="113"/>
        <v>0.56200000000000006</v>
      </c>
      <c r="CT50" s="27">
        <f t="shared" si="114"/>
        <v>0.34599999999999997</v>
      </c>
      <c r="CU50" s="27">
        <f t="shared" si="115"/>
        <v>0</v>
      </c>
      <c r="CV50" s="27">
        <f t="shared" si="116"/>
        <v>0</v>
      </c>
      <c r="CW50" s="27">
        <f t="shared" si="117"/>
        <v>0</v>
      </c>
      <c r="CX50" s="27">
        <f t="shared" si="118"/>
        <v>0</v>
      </c>
      <c r="CY50" s="27">
        <f t="shared" si="119"/>
        <v>0</v>
      </c>
      <c r="CZ50" s="27">
        <f t="shared" si="120"/>
        <v>0</v>
      </c>
      <c r="DA50" s="27">
        <f t="shared" si="121"/>
        <v>0</v>
      </c>
      <c r="DB50" s="27">
        <f t="shared" si="122"/>
        <v>0</v>
      </c>
      <c r="DC50" s="27">
        <f t="shared" si="123"/>
        <v>0</v>
      </c>
      <c r="DD50" s="27">
        <f t="shared" si="124"/>
        <v>0</v>
      </c>
      <c r="DE50" s="27">
        <f t="shared" si="125"/>
        <v>0</v>
      </c>
      <c r="DF50" s="27">
        <f t="shared" si="126"/>
        <v>0.17799999999999999</v>
      </c>
      <c r="DG50" s="27">
        <f t="shared" si="127"/>
        <v>0.17799999999999999</v>
      </c>
      <c r="DH50" s="27">
        <f t="shared" si="128"/>
        <v>0.40699999999999997</v>
      </c>
      <c r="DI50" s="27">
        <f t="shared" si="129"/>
        <v>0</v>
      </c>
      <c r="DJ50" s="27">
        <f t="shared" si="130"/>
        <v>0</v>
      </c>
      <c r="DK50" s="27">
        <f t="shared" si="131"/>
        <v>0.2</v>
      </c>
      <c r="DL50" s="27">
        <f t="shared" si="132"/>
        <v>0.22700000000000001</v>
      </c>
      <c r="DM50" s="27">
        <f t="shared" si="133"/>
        <v>0.182503</v>
      </c>
      <c r="DN50" s="27">
        <f t="shared" si="133"/>
        <v>0.225382</v>
      </c>
      <c r="EO50" s="22"/>
      <c r="EP50" s="22"/>
      <c r="EQ50" s="22"/>
      <c r="ER50" s="22"/>
      <c r="ES50" s="22"/>
    </row>
    <row r="51" spans="1:149">
      <c r="A51" s="32" t="s">
        <v>80</v>
      </c>
      <c r="B51" s="33">
        <v>23.523</v>
      </c>
      <c r="C51" s="33">
        <v>25.239000000000001</v>
      </c>
      <c r="D51" s="33">
        <v>28.24</v>
      </c>
      <c r="E51" s="33">
        <v>30.908000000000001</v>
      </c>
      <c r="F51" s="33">
        <v>34.753999999999998</v>
      </c>
      <c r="G51" s="33">
        <v>36.219000000000001</v>
      </c>
      <c r="H51" s="33">
        <v>39.180999999999997</v>
      </c>
      <c r="I51" s="33">
        <v>42.101999999999997</v>
      </c>
      <c r="J51" s="33">
        <v>42.594999999999999</v>
      </c>
      <c r="K51" s="33">
        <v>44.216000000000001</v>
      </c>
      <c r="L51" s="33">
        <v>46.591999999999999</v>
      </c>
      <c r="M51" s="33">
        <v>49.511000000000003</v>
      </c>
      <c r="N51" s="33">
        <v>46.47</v>
      </c>
      <c r="O51" s="33">
        <v>49.008000000000003</v>
      </c>
      <c r="P51" s="33">
        <v>50.536000000000001</v>
      </c>
      <c r="Q51" s="33">
        <v>53.710999999999999</v>
      </c>
      <c r="R51" s="33">
        <v>52.02</v>
      </c>
      <c r="S51" s="33">
        <v>65.355999999999995</v>
      </c>
      <c r="T51" s="33">
        <v>62.124000000000002</v>
      </c>
      <c r="U51" s="33">
        <v>67.028999999999996</v>
      </c>
      <c r="V51" s="33">
        <v>72.775000000000006</v>
      </c>
      <c r="W51" s="33">
        <v>79.117999999999995</v>
      </c>
      <c r="X51" s="33">
        <v>90.427539999999993</v>
      </c>
      <c r="Y51" s="33">
        <v>90.635000000000005</v>
      </c>
      <c r="Z51" s="33">
        <v>99.363</v>
      </c>
      <c r="AA51" s="33">
        <v>107.67599999999999</v>
      </c>
      <c r="AB51" s="33">
        <v>104.062</v>
      </c>
      <c r="AC51" s="33">
        <v>116.50999999999999</v>
      </c>
      <c r="AD51" s="33">
        <v>111.53400000000001</v>
      </c>
      <c r="AE51" s="33">
        <v>120.834</v>
      </c>
      <c r="AF51" s="33">
        <v>125.593</v>
      </c>
      <c r="AG51" s="33">
        <v>125.792</v>
      </c>
      <c r="AH51" s="33">
        <v>122.805757</v>
      </c>
      <c r="AI51" s="33">
        <v>122.954927</v>
      </c>
      <c r="AJ51" s="34">
        <v>8.9999999999999993E-3</v>
      </c>
      <c r="AK51" s="33" t="s">
        <v>45</v>
      </c>
      <c r="AL51" s="33" t="s">
        <v>45</v>
      </c>
      <c r="AM51" s="33" t="s">
        <v>45</v>
      </c>
      <c r="AN51" s="33" t="s">
        <v>45</v>
      </c>
      <c r="AO51" s="33" t="s">
        <v>45</v>
      </c>
      <c r="AP51" s="33" t="s">
        <v>45</v>
      </c>
      <c r="AQ51" s="33" t="s">
        <v>45</v>
      </c>
      <c r="AR51" s="33" t="s">
        <v>45</v>
      </c>
      <c r="AS51" s="33">
        <v>8.0000000000000002E-3</v>
      </c>
      <c r="AT51" s="33">
        <v>1.6E-2</v>
      </c>
      <c r="AU51" s="33">
        <v>2.4E-2</v>
      </c>
      <c r="AV51" s="33" t="s">
        <v>37</v>
      </c>
      <c r="AW51" s="33" t="s">
        <v>37</v>
      </c>
      <c r="AX51" s="33" t="s">
        <v>37</v>
      </c>
      <c r="AY51" s="33" t="s">
        <v>37</v>
      </c>
      <c r="AZ51" s="33" t="s">
        <v>37</v>
      </c>
      <c r="BA51" s="33" t="s">
        <v>37</v>
      </c>
      <c r="BB51" s="33" t="s">
        <v>37</v>
      </c>
      <c r="BC51" s="33">
        <v>5.2519999999999998</v>
      </c>
      <c r="BD51" s="162">
        <f>((BE51-BC51)/2)+BC51</f>
        <v>2.6279999999999997</v>
      </c>
      <c r="BE51" s="33">
        <v>4.0000000000000001E-3</v>
      </c>
      <c r="BF51" s="33">
        <v>8.5299999999999994E-3</v>
      </c>
      <c r="BG51" s="33">
        <v>6.0000000000000001E-3</v>
      </c>
      <c r="BH51" s="33" t="s">
        <v>37</v>
      </c>
      <c r="BI51" s="33" t="s">
        <v>37</v>
      </c>
      <c r="BJ51" s="33" t="s">
        <v>45</v>
      </c>
      <c r="BK51" s="33" t="s">
        <v>45</v>
      </c>
      <c r="BL51" s="33" t="s">
        <v>45</v>
      </c>
      <c r="BM51" s="33" t="s">
        <v>45</v>
      </c>
      <c r="BN51" s="33" t="s">
        <v>45</v>
      </c>
      <c r="BO51" s="264" t="s">
        <v>45</v>
      </c>
      <c r="BP51" s="33" t="s">
        <v>45</v>
      </c>
      <c r="BQ51" s="33" t="s">
        <v>45</v>
      </c>
      <c r="BR51" s="34" t="s">
        <v>37</v>
      </c>
      <c r="BS51" s="33" t="s">
        <v>37</v>
      </c>
      <c r="BT51" s="33" t="s">
        <v>37</v>
      </c>
      <c r="BU51" s="33" t="s">
        <v>37</v>
      </c>
      <c r="BV51" s="33" t="s">
        <v>37</v>
      </c>
      <c r="BW51" s="33" t="s">
        <v>37</v>
      </c>
      <c r="BX51" s="33" t="s">
        <v>37</v>
      </c>
      <c r="BY51" s="33" t="s">
        <v>45</v>
      </c>
      <c r="BZ51" s="33" t="s">
        <v>45</v>
      </c>
      <c r="CA51" s="33">
        <v>0.76300000000000001</v>
      </c>
      <c r="CB51" s="33" t="s">
        <v>45</v>
      </c>
      <c r="CC51" s="33" t="s">
        <v>45</v>
      </c>
      <c r="CD51" s="264" t="s">
        <v>45</v>
      </c>
      <c r="CE51" s="33" t="s">
        <v>45</v>
      </c>
      <c r="CF51" s="33" t="s">
        <v>45</v>
      </c>
      <c r="CG51" s="35">
        <f t="shared" si="101"/>
        <v>23.532</v>
      </c>
      <c r="CH51" s="36">
        <f t="shared" si="102"/>
        <v>25.239000000000001</v>
      </c>
      <c r="CI51" s="36">
        <f t="shared" si="103"/>
        <v>28.24</v>
      </c>
      <c r="CJ51" s="36">
        <f t="shared" si="104"/>
        <v>30.908000000000001</v>
      </c>
      <c r="CK51" s="36">
        <f t="shared" si="105"/>
        <v>34.753999999999998</v>
      </c>
      <c r="CL51" s="36">
        <f t="shared" si="106"/>
        <v>36.219000000000001</v>
      </c>
      <c r="CM51" s="36">
        <f t="shared" si="107"/>
        <v>39.180999999999997</v>
      </c>
      <c r="CN51" s="36">
        <f t="shared" si="108"/>
        <v>42.101999999999997</v>
      </c>
      <c r="CO51" s="36">
        <f t="shared" si="109"/>
        <v>42.594999999999999</v>
      </c>
      <c r="CP51" s="36">
        <f t="shared" si="110"/>
        <v>44.224000000000004</v>
      </c>
      <c r="CQ51" s="36">
        <f t="shared" si="111"/>
        <v>46.607999999999997</v>
      </c>
      <c r="CR51" s="36">
        <f t="shared" si="112"/>
        <v>49.535000000000004</v>
      </c>
      <c r="CS51" s="36">
        <f t="shared" si="113"/>
        <v>46.47</v>
      </c>
      <c r="CT51" s="36">
        <f t="shared" si="114"/>
        <v>49.008000000000003</v>
      </c>
      <c r="CU51" s="36">
        <f t="shared" si="115"/>
        <v>50.536000000000001</v>
      </c>
      <c r="CV51" s="36">
        <f t="shared" si="116"/>
        <v>53.710999999999999</v>
      </c>
      <c r="CW51" s="36">
        <f t="shared" si="117"/>
        <v>52.02</v>
      </c>
      <c r="CX51" s="36">
        <f t="shared" si="118"/>
        <v>65.355999999999995</v>
      </c>
      <c r="CY51" s="36">
        <f t="shared" si="119"/>
        <v>62.124000000000002</v>
      </c>
      <c r="CZ51" s="36">
        <f t="shared" si="120"/>
        <v>72.280999999999992</v>
      </c>
      <c r="DA51" s="36">
        <f t="shared" si="121"/>
        <v>75.403000000000006</v>
      </c>
      <c r="DB51" s="36">
        <f t="shared" si="122"/>
        <v>79.122</v>
      </c>
      <c r="DC51" s="36">
        <f t="shared" si="123"/>
        <v>90.436069999999987</v>
      </c>
      <c r="DD51" s="36">
        <f t="shared" si="124"/>
        <v>90.641000000000005</v>
      </c>
      <c r="DE51" s="36">
        <f t="shared" si="125"/>
        <v>99.363</v>
      </c>
      <c r="DF51" s="36">
        <f t="shared" si="126"/>
        <v>107.67599999999999</v>
      </c>
      <c r="DG51" s="36">
        <f t="shared" si="127"/>
        <v>104.062</v>
      </c>
      <c r="DH51" s="36">
        <f t="shared" si="128"/>
        <v>116.50999999999999</v>
      </c>
      <c r="DI51" s="36">
        <f t="shared" si="129"/>
        <v>112.29700000000001</v>
      </c>
      <c r="DJ51" s="36">
        <f t="shared" si="130"/>
        <v>120.834</v>
      </c>
      <c r="DK51" s="36">
        <f t="shared" si="131"/>
        <v>125.593</v>
      </c>
      <c r="DL51" s="36">
        <f t="shared" si="132"/>
        <v>125.792</v>
      </c>
      <c r="DM51" s="36">
        <f t="shared" si="133"/>
        <v>122.805757</v>
      </c>
      <c r="DN51" s="36">
        <f t="shared" si="133"/>
        <v>122.954927</v>
      </c>
      <c r="EO51" s="22"/>
      <c r="EP51" s="22"/>
      <c r="EQ51" s="22"/>
      <c r="ER51" s="22"/>
      <c r="ES51" s="22"/>
    </row>
    <row r="52" spans="1:149">
      <c r="A52" s="7" t="s">
        <v>81</v>
      </c>
      <c r="B52" s="37">
        <f>SUM(B54:B62)</f>
        <v>515.077</v>
      </c>
      <c r="C52" s="37">
        <f t="shared" ref="C52:CI52" si="134">SUM(C54:C62)</f>
        <v>598.23400000000004</v>
      </c>
      <c r="D52" s="37">
        <f t="shared" si="134"/>
        <v>620.64700000000005</v>
      </c>
      <c r="E52" s="37">
        <f t="shared" si="134"/>
        <v>674.1</v>
      </c>
      <c r="F52" s="37">
        <f t="shared" si="134"/>
        <v>661.04199999999992</v>
      </c>
      <c r="G52" s="37">
        <f t="shared" si="134"/>
        <v>690.62600000000009</v>
      </c>
      <c r="H52" s="37">
        <f t="shared" si="134"/>
        <v>703.31099999999992</v>
      </c>
      <c r="I52" s="37">
        <f t="shared" si="134"/>
        <v>733.92200000000003</v>
      </c>
      <c r="J52" s="37">
        <f t="shared" si="134"/>
        <v>775.87400000000002</v>
      </c>
      <c r="K52" s="37">
        <f t="shared" si="134"/>
        <v>940.83800000000008</v>
      </c>
      <c r="L52" s="37">
        <f t="shared" si="134"/>
        <v>1032.2280000000001</v>
      </c>
      <c r="M52" s="37">
        <f t="shared" si="134"/>
        <v>1122.8709999999999</v>
      </c>
      <c r="N52" s="37">
        <f t="shared" si="134"/>
        <v>1090.4100000000001</v>
      </c>
      <c r="O52" s="37">
        <f t="shared" si="134"/>
        <v>1124.8800000000001</v>
      </c>
      <c r="P52" s="37">
        <f t="shared" si="134"/>
        <v>1169.8040000000001</v>
      </c>
      <c r="Q52" s="37">
        <f t="shared" si="134"/>
        <v>1203.8100000000002</v>
      </c>
      <c r="R52" s="37">
        <f t="shared" si="134"/>
        <v>1220.6029999999998</v>
      </c>
      <c r="S52" s="37">
        <f t="shared" si="134"/>
        <v>1337.24</v>
      </c>
      <c r="T52" s="37">
        <f t="shared" si="134"/>
        <v>731.29599999999994</v>
      </c>
      <c r="U52" s="37">
        <f t="shared" si="134"/>
        <v>1415.143</v>
      </c>
      <c r="V52" s="37">
        <f t="shared" si="134"/>
        <v>1577.192</v>
      </c>
      <c r="W52" s="37">
        <f t="shared" si="134"/>
        <v>1631.2350000000001</v>
      </c>
      <c r="X52" s="37">
        <f t="shared" si="134"/>
        <v>1668.5532899999998</v>
      </c>
      <c r="Y52" s="37">
        <f t="shared" si="134"/>
        <v>1721.7459999999999</v>
      </c>
      <c r="Z52" s="37">
        <f t="shared" si="134"/>
        <v>1733.2730000000001</v>
      </c>
      <c r="AA52" s="37">
        <f t="shared" si="134"/>
        <v>1686.713</v>
      </c>
      <c r="AB52" s="37">
        <f t="shared" si="134"/>
        <v>1865.4179999999999</v>
      </c>
      <c r="AC52" s="37">
        <f t="shared" si="134"/>
        <v>1743.6480000000001</v>
      </c>
      <c r="AD52" s="37">
        <f t="shared" si="134"/>
        <v>1906.4850000000001</v>
      </c>
      <c r="AE52" s="37">
        <f t="shared" si="134"/>
        <v>1910.376</v>
      </c>
      <c r="AF52" s="37">
        <f>SUM(AF54:AF62)</f>
        <v>1957.7470000000001</v>
      </c>
      <c r="AG52" s="37">
        <f>SUM(AG54:AG62)</f>
        <v>2006.376</v>
      </c>
      <c r="AH52" s="37">
        <f>SUM(AH54:AH62)</f>
        <v>1988.5773800000002</v>
      </c>
      <c r="AI52" s="37">
        <f>SUM(AI54:AI62)</f>
        <v>1944.4744690000002</v>
      </c>
      <c r="AJ52" s="38">
        <f t="shared" si="134"/>
        <v>9.9930000000000003</v>
      </c>
      <c r="AK52" s="37">
        <f t="shared" si="134"/>
        <v>3.0150000000000001</v>
      </c>
      <c r="AL52" s="37">
        <f t="shared" si="134"/>
        <v>7.048</v>
      </c>
      <c r="AM52" s="37">
        <f t="shared" si="134"/>
        <v>14.728</v>
      </c>
      <c r="AN52" s="37">
        <f t="shared" si="134"/>
        <v>17.470000000000002</v>
      </c>
      <c r="AO52" s="37">
        <f t="shared" si="134"/>
        <v>17.551000000000002</v>
      </c>
      <c r="AP52" s="37">
        <f t="shared" si="134"/>
        <v>18.151999999999997</v>
      </c>
      <c r="AQ52" s="37">
        <f t="shared" si="134"/>
        <v>15.962</v>
      </c>
      <c r="AR52" s="37">
        <f t="shared" si="134"/>
        <v>14.776</v>
      </c>
      <c r="AS52" s="37">
        <f t="shared" si="134"/>
        <v>11.571</v>
      </c>
      <c r="AT52" s="37">
        <f t="shared" si="134"/>
        <v>14.016</v>
      </c>
      <c r="AU52" s="37">
        <f t="shared" si="134"/>
        <v>10.042999999999999</v>
      </c>
      <c r="AV52" s="37">
        <f t="shared" si="134"/>
        <v>4.4759999999999991</v>
      </c>
      <c r="AW52" s="37">
        <f t="shared" si="134"/>
        <v>4.1254999999999997</v>
      </c>
      <c r="AX52" s="37">
        <f t="shared" si="134"/>
        <v>4.0110000000000001</v>
      </c>
      <c r="AY52" s="37">
        <f t="shared" si="134"/>
        <v>3.9409999999999998</v>
      </c>
      <c r="AZ52" s="37">
        <f t="shared" si="134"/>
        <v>3.5473999999999997</v>
      </c>
      <c r="BA52" s="37">
        <f t="shared" si="134"/>
        <v>3.5329999999999999</v>
      </c>
      <c r="BB52" s="37">
        <f t="shared" si="134"/>
        <v>4.794999999999999</v>
      </c>
      <c r="BC52" s="37">
        <f t="shared" si="134"/>
        <v>4.910333333333333</v>
      </c>
      <c r="BD52" s="37">
        <f t="shared" si="134"/>
        <v>4.3886666666666665</v>
      </c>
      <c r="BE52" s="37">
        <f t="shared" si="134"/>
        <v>5.1770000000000005</v>
      </c>
      <c r="BF52" s="37">
        <f t="shared" si="134"/>
        <v>5.0135959999999997</v>
      </c>
      <c r="BG52" s="37">
        <f t="shared" si="134"/>
        <v>5.0983226666666663</v>
      </c>
      <c r="BH52" s="37">
        <f t="shared" si="134"/>
        <v>4.9676613333333339</v>
      </c>
      <c r="BI52" s="37">
        <f t="shared" si="134"/>
        <v>5.1970000000000001</v>
      </c>
      <c r="BJ52" s="37">
        <f t="shared" si="134"/>
        <v>4.5690000000000008</v>
      </c>
      <c r="BK52" s="37">
        <f t="shared" si="134"/>
        <v>1.9619999999999997</v>
      </c>
      <c r="BL52" s="37">
        <f t="shared" si="134"/>
        <v>1.698</v>
      </c>
      <c r="BM52" s="37">
        <f t="shared" si="134"/>
        <v>1.1320000000000001</v>
      </c>
      <c r="BN52" s="37">
        <f t="shared" si="134"/>
        <v>1.27</v>
      </c>
      <c r="BO52" s="37">
        <f t="shared" si="134"/>
        <v>1.4409999999999998</v>
      </c>
      <c r="BP52" s="37">
        <f t="shared" ref="BP52:BQ52" si="135">SUM(BP54:BP62)</f>
        <v>1.474343</v>
      </c>
      <c r="BQ52" s="37">
        <f t="shared" si="135"/>
        <v>1.7023199999999998</v>
      </c>
      <c r="BR52" s="38">
        <f t="shared" si="134"/>
        <v>25.997</v>
      </c>
      <c r="BS52" s="37">
        <f t="shared" si="134"/>
        <v>0.72</v>
      </c>
      <c r="BT52" s="37">
        <f t="shared" si="134"/>
        <v>0.85299999999999998</v>
      </c>
      <c r="BU52" s="37">
        <f t="shared" si="134"/>
        <v>9.107721999999999</v>
      </c>
      <c r="BV52" s="37">
        <f t="shared" si="134"/>
        <v>11.125</v>
      </c>
      <c r="BW52" s="37">
        <f t="shared" si="134"/>
        <v>12.689</v>
      </c>
      <c r="BX52" s="37">
        <f t="shared" si="134"/>
        <v>2.387</v>
      </c>
      <c r="BY52" s="37">
        <f t="shared" si="134"/>
        <v>1.8</v>
      </c>
      <c r="BZ52" s="37">
        <f t="shared" si="134"/>
        <v>2.3570000000000002</v>
      </c>
      <c r="CA52" s="37">
        <f t="shared" si="134"/>
        <v>2.8050000000000002</v>
      </c>
      <c r="CB52" s="37">
        <f t="shared" si="134"/>
        <v>26.575000000000003</v>
      </c>
      <c r="CC52" s="37">
        <f t="shared" si="134"/>
        <v>2.5529999999999999</v>
      </c>
      <c r="CD52" s="37">
        <f t="shared" si="134"/>
        <v>2.95</v>
      </c>
      <c r="CE52" s="37">
        <f t="shared" ref="CE52:CF52" si="136">SUM(CE54:CE62)</f>
        <v>3.2534299999999998</v>
      </c>
      <c r="CF52" s="37">
        <f t="shared" si="136"/>
        <v>2.504724</v>
      </c>
      <c r="CG52" s="39">
        <f t="shared" si="134"/>
        <v>525.07000000000005</v>
      </c>
      <c r="CH52" s="40">
        <f t="shared" si="134"/>
        <v>601.24899999999991</v>
      </c>
      <c r="CI52" s="40">
        <f t="shared" si="134"/>
        <v>627.69499999999994</v>
      </c>
      <c r="CJ52" s="40">
        <f t="shared" ref="CJ52:DG52" si="137">SUM(CJ54:CJ62)</f>
        <v>688.82799999999997</v>
      </c>
      <c r="CK52" s="40">
        <f t="shared" si="137"/>
        <v>678.51199999999994</v>
      </c>
      <c r="CL52" s="40">
        <f t="shared" si="137"/>
        <v>708.17700000000002</v>
      </c>
      <c r="CM52" s="40">
        <f t="shared" si="137"/>
        <v>721.46300000000008</v>
      </c>
      <c r="CN52" s="40">
        <f t="shared" si="137"/>
        <v>749.88400000000013</v>
      </c>
      <c r="CO52" s="40">
        <f t="shared" si="137"/>
        <v>790.65000000000009</v>
      </c>
      <c r="CP52" s="40">
        <f t="shared" si="137"/>
        <v>952.40899999999988</v>
      </c>
      <c r="CQ52" s="40">
        <f t="shared" si="137"/>
        <v>1046.2440000000001</v>
      </c>
      <c r="CR52" s="40">
        <f t="shared" si="137"/>
        <v>1132.9139999999998</v>
      </c>
      <c r="CS52" s="40">
        <f t="shared" si="137"/>
        <v>1094.886</v>
      </c>
      <c r="CT52" s="40">
        <f t="shared" si="137"/>
        <v>1129.0055000000002</v>
      </c>
      <c r="CU52" s="40">
        <f t="shared" si="137"/>
        <v>1173.8149999999998</v>
      </c>
      <c r="CV52" s="40">
        <f t="shared" si="137"/>
        <v>1207.7510000000002</v>
      </c>
      <c r="CW52" s="40">
        <f t="shared" si="137"/>
        <v>1224.1503999999998</v>
      </c>
      <c r="CX52" s="40">
        <f t="shared" si="137"/>
        <v>1340.7729999999999</v>
      </c>
      <c r="CY52" s="40">
        <f t="shared" si="137"/>
        <v>736.09099999999989</v>
      </c>
      <c r="CZ52" s="40">
        <f t="shared" si="137"/>
        <v>1446.0503333333331</v>
      </c>
      <c r="DA52" s="40">
        <f t="shared" si="137"/>
        <v>1582.3006666666668</v>
      </c>
      <c r="DB52" s="40">
        <f t="shared" si="137"/>
        <v>1637.2649999999999</v>
      </c>
      <c r="DC52" s="40">
        <f t="shared" si="137"/>
        <v>1682.674608</v>
      </c>
      <c r="DD52" s="40">
        <f t="shared" si="137"/>
        <v>1737.9693226666666</v>
      </c>
      <c r="DE52" s="40">
        <f t="shared" si="137"/>
        <v>1750.9296613333333</v>
      </c>
      <c r="DF52" s="40">
        <f t="shared" si="137"/>
        <v>1694.297</v>
      </c>
      <c r="DG52" s="40">
        <f t="shared" si="137"/>
        <v>1871.7869999999998</v>
      </c>
      <c r="DH52" s="40">
        <f>SUM(DH54:DH62)</f>
        <v>1747.9670000000003</v>
      </c>
      <c r="DI52" s="40">
        <f>SUM(DI54:DI62)</f>
        <v>1910.9880000000001</v>
      </c>
      <c r="DJ52" s="40">
        <f t="shared" ref="DJ52:DK52" si="138">SUM(DJ54:DJ62)</f>
        <v>1938.0829999999999</v>
      </c>
      <c r="DK52" s="40">
        <f t="shared" si="138"/>
        <v>1961.5700000000002</v>
      </c>
      <c r="DL52" s="40">
        <f t="shared" ref="DL52" si="139">SUM(DL54:DL62)</f>
        <v>2010.7669999999998</v>
      </c>
      <c r="DM52" s="40">
        <f t="shared" ref="DM52" si="140">SUM(DM54:DM62)</f>
        <v>1993.305153</v>
      </c>
      <c r="DN52" s="40">
        <f t="shared" ref="DN52" si="141">SUM(DN54:DN62)</f>
        <v>1948.6815129999998</v>
      </c>
    </row>
    <row r="53" spans="1:149">
      <c r="A53" s="7" t="s">
        <v>35</v>
      </c>
      <c r="AJ53" s="28"/>
      <c r="BR53" s="28"/>
      <c r="CG53" s="29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</row>
    <row r="54" spans="1:149">
      <c r="A54" s="23" t="s">
        <v>82</v>
      </c>
      <c r="B54" s="30">
        <v>9.4120000000000008</v>
      </c>
      <c r="C54" s="30">
        <v>9.8759999999999994</v>
      </c>
      <c r="D54" s="30">
        <v>11.198</v>
      </c>
      <c r="E54" s="30">
        <v>12.028</v>
      </c>
      <c r="F54" s="30">
        <v>16.337</v>
      </c>
      <c r="G54" s="30">
        <v>21.149000000000001</v>
      </c>
      <c r="H54" s="30">
        <v>20.928999999999998</v>
      </c>
      <c r="I54" s="30">
        <v>20.803000000000001</v>
      </c>
      <c r="J54" s="30">
        <v>20.466999999999999</v>
      </c>
      <c r="K54" s="30">
        <v>20.805</v>
      </c>
      <c r="L54" s="30">
        <v>20.640999999999998</v>
      </c>
      <c r="M54" s="30">
        <v>20.69</v>
      </c>
      <c r="N54" s="30">
        <v>20.372</v>
      </c>
      <c r="O54" s="30">
        <v>20.297000000000001</v>
      </c>
      <c r="P54" s="30">
        <v>26.36</v>
      </c>
      <c r="Q54" s="30">
        <v>33.113</v>
      </c>
      <c r="R54" s="30">
        <v>37.000999999999998</v>
      </c>
      <c r="S54" s="30">
        <v>44.363999999999997</v>
      </c>
      <c r="T54" s="30">
        <v>44.82</v>
      </c>
      <c r="U54" s="30">
        <v>15.938000000000001</v>
      </c>
      <c r="V54" s="30">
        <v>36.433999999999997</v>
      </c>
      <c r="W54" s="30">
        <v>36.433999999999997</v>
      </c>
      <c r="X54" s="30">
        <v>39.023448000000002</v>
      </c>
      <c r="Y54" s="30">
        <v>41.715000000000003</v>
      </c>
      <c r="Z54" s="30">
        <v>64.197000000000003</v>
      </c>
      <c r="AA54" s="30">
        <v>62.780999999999999</v>
      </c>
      <c r="AB54" s="30">
        <v>63.067999999999998</v>
      </c>
      <c r="AC54" s="30">
        <v>63.340999999999994</v>
      </c>
      <c r="AD54" s="30">
        <v>51.768999999999998</v>
      </c>
      <c r="AE54" s="30">
        <v>21.261000000000003</v>
      </c>
      <c r="AF54" s="30">
        <v>39.804000000000002</v>
      </c>
      <c r="AG54" s="30">
        <v>40.587999999999994</v>
      </c>
      <c r="AH54" s="30">
        <v>40.891405999999996</v>
      </c>
      <c r="AI54" s="30">
        <v>35.499693999999998</v>
      </c>
      <c r="AJ54" s="31">
        <v>3.7999999999999999E-2</v>
      </c>
      <c r="AK54" s="30" t="s">
        <v>37</v>
      </c>
      <c r="AL54" s="30" t="s">
        <v>37</v>
      </c>
      <c r="AM54" s="30" t="s">
        <v>37</v>
      </c>
      <c r="AN54" s="30" t="s">
        <v>37</v>
      </c>
      <c r="AO54" s="30" t="s">
        <v>37</v>
      </c>
      <c r="AP54" s="30" t="s">
        <v>37</v>
      </c>
      <c r="AQ54" s="30" t="s">
        <v>37</v>
      </c>
      <c r="AR54" s="30" t="s">
        <v>37</v>
      </c>
      <c r="AS54" s="30" t="s">
        <v>37</v>
      </c>
      <c r="AT54" s="30" t="s">
        <v>37</v>
      </c>
      <c r="AU54" s="30" t="s">
        <v>37</v>
      </c>
      <c r="AV54" s="30" t="s">
        <v>37</v>
      </c>
      <c r="AW54" s="30" t="s">
        <v>37</v>
      </c>
      <c r="AX54" s="30" t="s">
        <v>37</v>
      </c>
      <c r="AY54" s="30" t="s">
        <v>37</v>
      </c>
      <c r="AZ54" s="30" t="s">
        <v>37</v>
      </c>
      <c r="BA54" s="30" t="s">
        <v>37</v>
      </c>
      <c r="BB54" s="30" t="s">
        <v>37</v>
      </c>
      <c r="BC54" s="30" t="s">
        <v>37</v>
      </c>
      <c r="BD54" s="30" t="s">
        <v>37</v>
      </c>
      <c r="BE54" s="30" t="s">
        <v>37</v>
      </c>
      <c r="BF54" s="30">
        <v>1.4984000000000001E-2</v>
      </c>
      <c r="BG54" s="24">
        <f>(($BI$54-$BF$54)/3)+BF54</f>
        <v>0.16132266666666667</v>
      </c>
      <c r="BH54" s="24">
        <f>(($BI$54-$BF$54)/3)+BG54</f>
        <v>0.30766133333333334</v>
      </c>
      <c r="BI54" s="30">
        <v>0.45400000000000001</v>
      </c>
      <c r="BJ54" s="30">
        <v>4.5999999999999999E-2</v>
      </c>
      <c r="BK54" s="30">
        <v>8.6999999999999994E-2</v>
      </c>
      <c r="BL54" s="30">
        <v>0.442</v>
      </c>
      <c r="BM54" s="30" t="s">
        <v>45</v>
      </c>
      <c r="BN54" s="30" t="s">
        <v>45</v>
      </c>
      <c r="BO54" s="30" t="s">
        <v>45</v>
      </c>
      <c r="BP54" s="30" t="s">
        <v>45</v>
      </c>
      <c r="BQ54" s="30" t="s">
        <v>45</v>
      </c>
      <c r="BR54" s="31">
        <v>21.699000000000002</v>
      </c>
      <c r="BS54" s="30" t="s">
        <v>37</v>
      </c>
      <c r="BT54" s="30" t="s">
        <v>37</v>
      </c>
      <c r="BU54" s="30" t="s">
        <v>37</v>
      </c>
      <c r="BV54" s="30" t="s">
        <v>37</v>
      </c>
      <c r="BW54" s="30" t="s">
        <v>37</v>
      </c>
      <c r="BX54" s="30" t="s">
        <v>37</v>
      </c>
      <c r="BY54" s="30" t="s">
        <v>45</v>
      </c>
      <c r="BZ54" s="30" t="s">
        <v>45</v>
      </c>
      <c r="CA54" s="30" t="s">
        <v>45</v>
      </c>
      <c r="CB54" s="30">
        <v>24.225000000000001</v>
      </c>
      <c r="CC54" s="30" t="s">
        <v>45</v>
      </c>
      <c r="CD54" s="30" t="s">
        <v>45</v>
      </c>
      <c r="CE54" s="30" t="s">
        <v>45</v>
      </c>
      <c r="CF54" s="30" t="s">
        <v>45</v>
      </c>
      <c r="CG54" s="26">
        <f t="shared" ref="CG54:CG63" si="142">SUM(B54,AJ54)</f>
        <v>9.4500000000000011</v>
      </c>
      <c r="CH54" s="27">
        <f t="shared" ref="CH54:CH63" si="143">SUM(C54,AK54)</f>
        <v>9.8759999999999994</v>
      </c>
      <c r="CI54" s="27">
        <f t="shared" ref="CI54:CI63" si="144">SUM(D54,AL54)</f>
        <v>11.198</v>
      </c>
      <c r="CJ54" s="27">
        <f t="shared" ref="CJ54:CJ63" si="145">SUM(E54,AM54)</f>
        <v>12.028</v>
      </c>
      <c r="CK54" s="27">
        <f t="shared" ref="CK54:CK63" si="146">SUM(F54,AN54)</f>
        <v>16.337</v>
      </c>
      <c r="CL54" s="27">
        <f t="shared" ref="CL54:CL63" si="147">SUM(G54,AO54)</f>
        <v>21.149000000000001</v>
      </c>
      <c r="CM54" s="27">
        <f t="shared" ref="CM54:CM63" si="148">SUM(H54,AP54)</f>
        <v>20.928999999999998</v>
      </c>
      <c r="CN54" s="27">
        <f t="shared" ref="CN54:CN63" si="149">SUM(I54,AQ54)</f>
        <v>20.803000000000001</v>
      </c>
      <c r="CO54" s="27">
        <f t="shared" ref="CO54:CO63" si="150">SUM(J54,AR54)</f>
        <v>20.466999999999999</v>
      </c>
      <c r="CP54" s="27">
        <f t="shared" ref="CP54:CP63" si="151">SUM(K54,AS54)</f>
        <v>20.805</v>
      </c>
      <c r="CQ54" s="27">
        <f t="shared" ref="CQ54:CQ63" si="152">SUM(L54,AT54)</f>
        <v>20.640999999999998</v>
      </c>
      <c r="CR54" s="27">
        <f t="shared" ref="CR54:CR63" si="153">SUM(M54,AU54)</f>
        <v>20.69</v>
      </c>
      <c r="CS54" s="27">
        <f t="shared" ref="CS54:CS63" si="154">SUM(N54,AV54)</f>
        <v>20.372</v>
      </c>
      <c r="CT54" s="27">
        <f t="shared" ref="CT54:CT63" si="155">SUM(O54,AW54)</f>
        <v>20.297000000000001</v>
      </c>
      <c r="CU54" s="27">
        <f t="shared" ref="CU54:CU63" si="156">SUM(P54,AX54)</f>
        <v>26.36</v>
      </c>
      <c r="CV54" s="27">
        <f t="shared" ref="CV54:CV63" si="157">SUM(Q54,AY54)</f>
        <v>33.113</v>
      </c>
      <c r="CW54" s="27">
        <f t="shared" ref="CW54:CW63" si="158">SUM(R54,AZ54)</f>
        <v>37.000999999999998</v>
      </c>
      <c r="CX54" s="27">
        <f t="shared" ref="CX54:CX63" si="159">SUM(S54,BA54)</f>
        <v>44.363999999999997</v>
      </c>
      <c r="CY54" s="27">
        <f t="shared" ref="CY54:CY63" si="160">SUM(T54,BB54)</f>
        <v>44.82</v>
      </c>
      <c r="CZ54" s="27">
        <f t="shared" ref="CZ54:CZ63" si="161">SUM(U54,BC54,BR54)</f>
        <v>37.637</v>
      </c>
      <c r="DA54" s="27">
        <f t="shared" ref="DA54:DA63" si="162">SUM(V54,BD54,BS54)</f>
        <v>36.433999999999997</v>
      </c>
      <c r="DB54" s="27">
        <f t="shared" ref="DB54:DB63" si="163">SUM(W54,BE54,BT54)</f>
        <v>36.433999999999997</v>
      </c>
      <c r="DC54" s="27">
        <f t="shared" ref="DC54:DC63" si="164">SUM(X54,BF54,BU54)</f>
        <v>39.038432</v>
      </c>
      <c r="DD54" s="27">
        <f t="shared" ref="DD54:DD63" si="165">SUM(Y54,BG54,BV54)</f>
        <v>41.876322666666667</v>
      </c>
      <c r="DE54" s="27">
        <f t="shared" ref="DE54:DE63" si="166">SUM(Z54,BH54,BW54)</f>
        <v>64.504661333333331</v>
      </c>
      <c r="DF54" s="27">
        <f t="shared" ref="DF54:DF63" si="167">SUM(AA54,BI54,BX54)</f>
        <v>63.234999999999999</v>
      </c>
      <c r="DG54" s="27">
        <f t="shared" ref="DG54:DG63" si="168">SUM(AB54,BJ54,BY54)</f>
        <v>63.113999999999997</v>
      </c>
      <c r="DH54" s="27">
        <f t="shared" ref="DH54:DH63" si="169">SUM(AC54,BK54,BZ54)</f>
        <v>63.427999999999997</v>
      </c>
      <c r="DI54" s="27">
        <f t="shared" ref="DI54:DI63" si="170">SUM(AD54,BL54,CA54)</f>
        <v>52.210999999999999</v>
      </c>
      <c r="DJ54" s="27">
        <f t="shared" ref="DJ54:DJ63" si="171">SUM(AE54,BM54,CB54)</f>
        <v>45.486000000000004</v>
      </c>
      <c r="DK54" s="27">
        <f t="shared" ref="DK54:DK63" si="172">SUM(AF54,BN54,CC54)</f>
        <v>39.804000000000002</v>
      </c>
      <c r="DL54" s="27">
        <f t="shared" ref="DL54:DL63" si="173">SUM(AG54,BO54,CD54)</f>
        <v>40.587999999999994</v>
      </c>
      <c r="DM54" s="27">
        <f t="shared" ref="DM54:DN63" si="174">SUM(AH54,BP54,CE54)</f>
        <v>40.891405999999996</v>
      </c>
      <c r="DN54" s="27">
        <f t="shared" si="174"/>
        <v>35.499693999999998</v>
      </c>
      <c r="EO54" s="22"/>
      <c r="EP54" s="22"/>
      <c r="EQ54" s="22"/>
      <c r="ER54" s="22"/>
      <c r="ES54" s="22"/>
    </row>
    <row r="55" spans="1:149">
      <c r="A55" s="23" t="s">
        <v>83</v>
      </c>
      <c r="B55" s="30">
        <v>0.49</v>
      </c>
      <c r="C55" s="30">
        <v>0.54700000000000004</v>
      </c>
      <c r="D55" s="30">
        <v>0.80900000000000005</v>
      </c>
      <c r="E55" s="30">
        <v>1.161</v>
      </c>
      <c r="F55" s="30">
        <v>1.4219999999999999</v>
      </c>
      <c r="G55" s="30">
        <v>1.411</v>
      </c>
      <c r="H55" s="30">
        <v>2.008</v>
      </c>
      <c r="I55" s="30">
        <v>5.0999999999999996</v>
      </c>
      <c r="J55" s="30">
        <v>5.0439999999999996</v>
      </c>
      <c r="K55" s="30">
        <v>5.2</v>
      </c>
      <c r="L55" s="30">
        <v>5.17</v>
      </c>
      <c r="M55" s="30">
        <v>5.7869999999999999</v>
      </c>
      <c r="N55" s="30">
        <v>6.9880000000000004</v>
      </c>
      <c r="O55" s="30">
        <v>6.6360000000000001</v>
      </c>
      <c r="P55" s="30">
        <v>7.7009999999999996</v>
      </c>
      <c r="Q55" s="30">
        <v>7.7009999999999996</v>
      </c>
      <c r="R55" s="30">
        <v>10.36</v>
      </c>
      <c r="S55" s="30">
        <v>11.961</v>
      </c>
      <c r="T55" s="30">
        <v>12.021000000000001</v>
      </c>
      <c r="U55" s="30">
        <v>12.547000000000001</v>
      </c>
      <c r="V55" s="30">
        <v>12.561</v>
      </c>
      <c r="W55" s="30">
        <v>12.608000000000001</v>
      </c>
      <c r="X55" s="30">
        <v>13.386666</v>
      </c>
      <c r="Y55" s="30">
        <v>15.555999999999999</v>
      </c>
      <c r="Z55" s="30">
        <v>17.916</v>
      </c>
      <c r="AA55" s="30">
        <v>16.29</v>
      </c>
      <c r="AB55" s="30">
        <v>13.72</v>
      </c>
      <c r="AC55" s="30">
        <v>15.23</v>
      </c>
      <c r="AD55" s="30">
        <v>15.44</v>
      </c>
      <c r="AE55" s="30">
        <v>16.407</v>
      </c>
      <c r="AF55" s="30">
        <v>12.065</v>
      </c>
      <c r="AG55" s="30">
        <v>14.009</v>
      </c>
      <c r="AH55" s="30">
        <v>18.327711000000001</v>
      </c>
      <c r="AI55" s="30">
        <v>18.537877999999999</v>
      </c>
      <c r="AJ55" s="31" t="s">
        <v>37</v>
      </c>
      <c r="AK55" s="30" t="s">
        <v>37</v>
      </c>
      <c r="AL55" s="30" t="s">
        <v>37</v>
      </c>
      <c r="AM55" s="30" t="s">
        <v>37</v>
      </c>
      <c r="AN55" s="30" t="s">
        <v>37</v>
      </c>
      <c r="AO55" s="30" t="s">
        <v>37</v>
      </c>
      <c r="AP55" s="30" t="s">
        <v>37</v>
      </c>
      <c r="AQ55" s="30" t="s">
        <v>37</v>
      </c>
      <c r="AR55" s="30" t="s">
        <v>37</v>
      </c>
      <c r="AS55" s="30" t="s">
        <v>37</v>
      </c>
      <c r="AT55" s="30" t="s">
        <v>37</v>
      </c>
      <c r="AU55" s="30">
        <v>0.40200000000000002</v>
      </c>
      <c r="AV55" s="30">
        <v>0.63300000000000001</v>
      </c>
      <c r="AW55" s="24">
        <f>((AX55-AV55)/2)+AV55</f>
        <v>0.50649999999999995</v>
      </c>
      <c r="AX55" s="30">
        <v>0.38</v>
      </c>
      <c r="AY55" s="30">
        <v>0.38</v>
      </c>
      <c r="AZ55" s="30">
        <v>0.4924</v>
      </c>
      <c r="BA55" s="30">
        <v>0.39</v>
      </c>
      <c r="BB55" s="30">
        <v>0.39500000000000002</v>
      </c>
      <c r="BC55" s="24">
        <f>(($BE$55-$BB$55)/3)+BB55</f>
        <v>0.38833333333333336</v>
      </c>
      <c r="BD55" s="24">
        <f>(($BE$55-$BB$55)/3)+BC55</f>
        <v>0.38166666666666671</v>
      </c>
      <c r="BE55" s="30">
        <v>0.375</v>
      </c>
      <c r="BF55" s="30" t="s">
        <v>37</v>
      </c>
      <c r="BG55" s="30" t="s">
        <v>37</v>
      </c>
      <c r="BH55" s="30" t="s">
        <v>37</v>
      </c>
      <c r="BI55" s="30" t="s">
        <v>37</v>
      </c>
      <c r="BJ55" s="30" t="s">
        <v>45</v>
      </c>
      <c r="BK55" s="30" t="s">
        <v>45</v>
      </c>
      <c r="BL55" s="30" t="s">
        <v>45</v>
      </c>
      <c r="BM55" s="30" t="s">
        <v>45</v>
      </c>
      <c r="BN55" s="30" t="s">
        <v>45</v>
      </c>
      <c r="BO55" s="30" t="s">
        <v>45</v>
      </c>
      <c r="BP55" s="30" t="s">
        <v>45</v>
      </c>
      <c r="BQ55" s="30" t="s">
        <v>45</v>
      </c>
      <c r="BR55" s="31">
        <v>0.20899999999999999</v>
      </c>
      <c r="BS55" s="30" t="s">
        <v>37</v>
      </c>
      <c r="BT55" s="30" t="s">
        <v>37</v>
      </c>
      <c r="BU55" s="30" t="s">
        <v>37</v>
      </c>
      <c r="BV55" s="30" t="s">
        <v>37</v>
      </c>
      <c r="BW55" s="30" t="s">
        <v>37</v>
      </c>
      <c r="BX55" s="30" t="s">
        <v>37</v>
      </c>
      <c r="BY55" s="30" t="s">
        <v>45</v>
      </c>
      <c r="BZ55" s="30" t="s">
        <v>45</v>
      </c>
      <c r="CA55" s="30" t="s">
        <v>45</v>
      </c>
      <c r="CB55" s="30" t="s">
        <v>45</v>
      </c>
      <c r="CC55" s="30" t="s">
        <v>45</v>
      </c>
      <c r="CD55" s="30" t="s">
        <v>45</v>
      </c>
      <c r="CE55" s="30" t="s">
        <v>45</v>
      </c>
      <c r="CF55" s="30" t="s">
        <v>45</v>
      </c>
      <c r="CG55" s="26">
        <f t="shared" si="142"/>
        <v>0.49</v>
      </c>
      <c r="CH55" s="27">
        <f t="shared" si="143"/>
        <v>0.54700000000000004</v>
      </c>
      <c r="CI55" s="27">
        <f t="shared" si="144"/>
        <v>0.80900000000000005</v>
      </c>
      <c r="CJ55" s="27">
        <f t="shared" si="145"/>
        <v>1.161</v>
      </c>
      <c r="CK55" s="27">
        <f t="shared" si="146"/>
        <v>1.4219999999999999</v>
      </c>
      <c r="CL55" s="27">
        <f t="shared" si="147"/>
        <v>1.411</v>
      </c>
      <c r="CM55" s="27">
        <f t="shared" si="148"/>
        <v>2.008</v>
      </c>
      <c r="CN55" s="27">
        <f t="shared" si="149"/>
        <v>5.0999999999999996</v>
      </c>
      <c r="CO55" s="27">
        <f t="shared" si="150"/>
        <v>5.0439999999999996</v>
      </c>
      <c r="CP55" s="27">
        <f t="shared" si="151"/>
        <v>5.2</v>
      </c>
      <c r="CQ55" s="27">
        <f t="shared" si="152"/>
        <v>5.17</v>
      </c>
      <c r="CR55" s="27">
        <f t="shared" si="153"/>
        <v>6.1890000000000001</v>
      </c>
      <c r="CS55" s="27">
        <f t="shared" si="154"/>
        <v>7.6210000000000004</v>
      </c>
      <c r="CT55" s="27">
        <f t="shared" si="155"/>
        <v>7.1425000000000001</v>
      </c>
      <c r="CU55" s="27">
        <f t="shared" si="156"/>
        <v>8.0809999999999995</v>
      </c>
      <c r="CV55" s="27">
        <f t="shared" si="157"/>
        <v>8.0809999999999995</v>
      </c>
      <c r="CW55" s="27">
        <f t="shared" si="158"/>
        <v>10.852399999999999</v>
      </c>
      <c r="CX55" s="27">
        <f t="shared" si="159"/>
        <v>12.351000000000001</v>
      </c>
      <c r="CY55" s="27">
        <f t="shared" si="160"/>
        <v>12.416</v>
      </c>
      <c r="CZ55" s="27">
        <f t="shared" si="161"/>
        <v>13.144333333333334</v>
      </c>
      <c r="DA55" s="27">
        <f t="shared" si="162"/>
        <v>12.942666666666666</v>
      </c>
      <c r="DB55" s="27">
        <f t="shared" si="163"/>
        <v>12.983000000000001</v>
      </c>
      <c r="DC55" s="27">
        <f t="shared" si="164"/>
        <v>13.386666</v>
      </c>
      <c r="DD55" s="27">
        <f t="shared" si="165"/>
        <v>15.555999999999999</v>
      </c>
      <c r="DE55" s="27">
        <f t="shared" si="166"/>
        <v>17.916</v>
      </c>
      <c r="DF55" s="27">
        <f t="shared" si="167"/>
        <v>16.29</v>
      </c>
      <c r="DG55" s="27">
        <f t="shared" si="168"/>
        <v>13.72</v>
      </c>
      <c r="DH55" s="27">
        <f t="shared" si="169"/>
        <v>15.23</v>
      </c>
      <c r="DI55" s="27">
        <f t="shared" si="170"/>
        <v>15.44</v>
      </c>
      <c r="DJ55" s="27">
        <f t="shared" si="171"/>
        <v>16.407</v>
      </c>
      <c r="DK55" s="27">
        <f t="shared" si="172"/>
        <v>12.065</v>
      </c>
      <c r="DL55" s="27">
        <f t="shared" si="173"/>
        <v>14.009</v>
      </c>
      <c r="DM55" s="27">
        <f t="shared" si="174"/>
        <v>18.327711000000001</v>
      </c>
      <c r="DN55" s="27">
        <f t="shared" si="174"/>
        <v>18.537877999999999</v>
      </c>
      <c r="EO55" s="22"/>
      <c r="EP55" s="22"/>
      <c r="EQ55" s="22"/>
      <c r="ER55" s="22"/>
      <c r="ES55" s="22"/>
    </row>
    <row r="56" spans="1:149" s="45" customFormat="1">
      <c r="A56" s="23" t="s">
        <v>84</v>
      </c>
      <c r="B56" s="30">
        <v>27.100999999999999</v>
      </c>
      <c r="C56" s="30">
        <v>38.662999999999997</v>
      </c>
      <c r="D56" s="30">
        <v>43.642000000000003</v>
      </c>
      <c r="E56" s="30">
        <v>57.072000000000003</v>
      </c>
      <c r="F56" s="30">
        <v>61.654000000000003</v>
      </c>
      <c r="G56" s="30">
        <v>64.018000000000001</v>
      </c>
      <c r="H56" s="30">
        <v>59.494</v>
      </c>
      <c r="I56" s="30">
        <v>50.402999999999999</v>
      </c>
      <c r="J56" s="30">
        <v>23.748000000000001</v>
      </c>
      <c r="K56" s="30">
        <v>45.988999999999997</v>
      </c>
      <c r="L56" s="30">
        <v>45.058999999999997</v>
      </c>
      <c r="M56" s="30">
        <v>61.85</v>
      </c>
      <c r="N56" s="30">
        <v>54.564999999999998</v>
      </c>
      <c r="O56" s="30">
        <v>57.412999999999997</v>
      </c>
      <c r="P56" s="30">
        <v>74.343999999999994</v>
      </c>
      <c r="Q56" s="30">
        <v>92.126999999999995</v>
      </c>
      <c r="R56" s="30">
        <v>102.056</v>
      </c>
      <c r="S56" s="30">
        <v>114.05800000000001</v>
      </c>
      <c r="T56" s="30">
        <v>110.711</v>
      </c>
      <c r="U56" s="30">
        <v>83.176999999999992</v>
      </c>
      <c r="V56" s="30">
        <v>79.713999999999999</v>
      </c>
      <c r="W56" s="30">
        <v>79.503</v>
      </c>
      <c r="X56" s="30">
        <v>80.080989000000002</v>
      </c>
      <c r="Y56" s="30">
        <v>83.649000000000001</v>
      </c>
      <c r="Z56" s="30">
        <v>86.32</v>
      </c>
      <c r="AA56" s="30">
        <v>89.512</v>
      </c>
      <c r="AB56" s="30">
        <v>81.717999999999989</v>
      </c>
      <c r="AC56" s="30">
        <v>82.399000000000001</v>
      </c>
      <c r="AD56" s="30">
        <v>82.588999999999999</v>
      </c>
      <c r="AE56" s="30">
        <v>85.546999999999997</v>
      </c>
      <c r="AF56" s="30">
        <v>87.043000000000006</v>
      </c>
      <c r="AG56" s="30">
        <v>88.820999999999998</v>
      </c>
      <c r="AH56" s="30">
        <v>87.303928999999997</v>
      </c>
      <c r="AI56" s="30">
        <v>90.999956999999995</v>
      </c>
      <c r="AJ56" s="31">
        <v>2.5670000000000002</v>
      </c>
      <c r="AK56" s="30">
        <v>2.25</v>
      </c>
      <c r="AL56" s="30">
        <v>2.5329999999999999</v>
      </c>
      <c r="AM56" s="30">
        <v>3.47</v>
      </c>
      <c r="AN56" s="30">
        <v>5.2759999999999998</v>
      </c>
      <c r="AO56" s="30">
        <v>5.3</v>
      </c>
      <c r="AP56" s="30">
        <v>6</v>
      </c>
      <c r="AQ56" s="30">
        <v>2.88</v>
      </c>
      <c r="AR56" s="30" t="s">
        <v>37</v>
      </c>
      <c r="AS56" s="30" t="s">
        <v>37</v>
      </c>
      <c r="AT56" s="30" t="s">
        <v>37</v>
      </c>
      <c r="AU56" s="30" t="s">
        <v>37</v>
      </c>
      <c r="AV56" s="30" t="s">
        <v>37</v>
      </c>
      <c r="AW56" s="30" t="s">
        <v>37</v>
      </c>
      <c r="AX56" s="30" t="s">
        <v>37</v>
      </c>
      <c r="AY56" s="30" t="s">
        <v>37</v>
      </c>
      <c r="AZ56" s="30" t="s">
        <v>37</v>
      </c>
      <c r="BA56" s="30" t="s">
        <v>37</v>
      </c>
      <c r="BB56" s="30" t="s">
        <v>37</v>
      </c>
      <c r="BC56" s="30" t="s">
        <v>37</v>
      </c>
      <c r="BD56" s="30" t="s">
        <v>37</v>
      </c>
      <c r="BE56" s="30" t="s">
        <v>37</v>
      </c>
      <c r="BF56" s="30" t="s">
        <v>37</v>
      </c>
      <c r="BG56" s="30" t="s">
        <v>37</v>
      </c>
      <c r="BH56" s="30" t="s">
        <v>37</v>
      </c>
      <c r="BI56" s="30" t="s">
        <v>37</v>
      </c>
      <c r="BJ56" s="30" t="s">
        <v>45</v>
      </c>
      <c r="BK56" s="30" t="s">
        <v>45</v>
      </c>
      <c r="BL56" s="30" t="s">
        <v>45</v>
      </c>
      <c r="BM56" s="30" t="s">
        <v>45</v>
      </c>
      <c r="BN56" s="30" t="s">
        <v>45</v>
      </c>
      <c r="BO56" s="30" t="s">
        <v>45</v>
      </c>
      <c r="BP56" s="30" t="s">
        <v>45</v>
      </c>
      <c r="BQ56" s="30" t="s">
        <v>45</v>
      </c>
      <c r="BR56" s="31">
        <v>3.5</v>
      </c>
      <c r="BS56" s="30" t="s">
        <v>37</v>
      </c>
      <c r="BT56" s="30" t="s">
        <v>37</v>
      </c>
      <c r="BU56" s="30" t="s">
        <v>37</v>
      </c>
      <c r="BV56" s="30" t="s">
        <v>37</v>
      </c>
      <c r="BW56" s="30" t="s">
        <v>37</v>
      </c>
      <c r="BX56" s="30" t="s">
        <v>37</v>
      </c>
      <c r="BY56" s="30" t="s">
        <v>45</v>
      </c>
      <c r="BZ56" s="30" t="s">
        <v>45</v>
      </c>
      <c r="CA56" s="30" t="s">
        <v>45</v>
      </c>
      <c r="CB56" s="30" t="s">
        <v>45</v>
      </c>
      <c r="CC56" s="30" t="s">
        <v>45</v>
      </c>
      <c r="CD56" s="30" t="s">
        <v>45</v>
      </c>
      <c r="CE56" s="30" t="s">
        <v>45</v>
      </c>
      <c r="CF56" s="30" t="s">
        <v>45</v>
      </c>
      <c r="CG56" s="26">
        <f t="shared" si="142"/>
        <v>29.667999999999999</v>
      </c>
      <c r="CH56" s="27">
        <f t="shared" si="143"/>
        <v>40.912999999999997</v>
      </c>
      <c r="CI56" s="27">
        <f t="shared" si="144"/>
        <v>46.175000000000004</v>
      </c>
      <c r="CJ56" s="27">
        <f t="shared" si="145"/>
        <v>60.542000000000002</v>
      </c>
      <c r="CK56" s="27">
        <f t="shared" si="146"/>
        <v>66.930000000000007</v>
      </c>
      <c r="CL56" s="27">
        <f t="shared" si="147"/>
        <v>69.317999999999998</v>
      </c>
      <c r="CM56" s="27">
        <f t="shared" si="148"/>
        <v>65.494</v>
      </c>
      <c r="CN56" s="27">
        <f t="shared" si="149"/>
        <v>53.283000000000001</v>
      </c>
      <c r="CO56" s="27">
        <f t="shared" si="150"/>
        <v>23.748000000000001</v>
      </c>
      <c r="CP56" s="27">
        <f t="shared" si="151"/>
        <v>45.988999999999997</v>
      </c>
      <c r="CQ56" s="27">
        <f t="shared" si="152"/>
        <v>45.058999999999997</v>
      </c>
      <c r="CR56" s="27">
        <f t="shared" si="153"/>
        <v>61.85</v>
      </c>
      <c r="CS56" s="27">
        <f t="shared" si="154"/>
        <v>54.564999999999998</v>
      </c>
      <c r="CT56" s="27">
        <f t="shared" si="155"/>
        <v>57.412999999999997</v>
      </c>
      <c r="CU56" s="27">
        <f t="shared" si="156"/>
        <v>74.343999999999994</v>
      </c>
      <c r="CV56" s="27">
        <f t="shared" si="157"/>
        <v>92.126999999999995</v>
      </c>
      <c r="CW56" s="27">
        <f t="shared" si="158"/>
        <v>102.056</v>
      </c>
      <c r="CX56" s="27">
        <f t="shared" si="159"/>
        <v>114.05800000000001</v>
      </c>
      <c r="CY56" s="27">
        <f t="shared" si="160"/>
        <v>110.711</v>
      </c>
      <c r="CZ56" s="27">
        <f t="shared" si="161"/>
        <v>86.676999999999992</v>
      </c>
      <c r="DA56" s="27">
        <f t="shared" si="162"/>
        <v>79.713999999999999</v>
      </c>
      <c r="DB56" s="27">
        <f t="shared" si="163"/>
        <v>79.503</v>
      </c>
      <c r="DC56" s="27">
        <f t="shared" si="164"/>
        <v>80.080989000000002</v>
      </c>
      <c r="DD56" s="27">
        <f t="shared" si="165"/>
        <v>83.649000000000001</v>
      </c>
      <c r="DE56" s="27">
        <f t="shared" si="166"/>
        <v>86.32</v>
      </c>
      <c r="DF56" s="27">
        <f t="shared" si="167"/>
        <v>89.512</v>
      </c>
      <c r="DG56" s="27">
        <f t="shared" si="168"/>
        <v>81.717999999999989</v>
      </c>
      <c r="DH56" s="27">
        <f t="shared" si="169"/>
        <v>82.399000000000001</v>
      </c>
      <c r="DI56" s="27">
        <f t="shared" si="170"/>
        <v>82.588999999999999</v>
      </c>
      <c r="DJ56" s="27">
        <f t="shared" si="171"/>
        <v>85.546999999999997</v>
      </c>
      <c r="DK56" s="27">
        <f t="shared" si="172"/>
        <v>87.043000000000006</v>
      </c>
      <c r="DL56" s="27">
        <f t="shared" si="173"/>
        <v>88.820999999999998</v>
      </c>
      <c r="DM56" s="27">
        <f t="shared" si="174"/>
        <v>87.303928999999997</v>
      </c>
      <c r="DN56" s="27">
        <f t="shared" si="174"/>
        <v>90.999956999999995</v>
      </c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22"/>
      <c r="EP56" s="22"/>
      <c r="EQ56" s="22"/>
      <c r="ER56" s="22"/>
      <c r="ES56" s="22"/>
    </row>
    <row r="57" spans="1:149">
      <c r="A57" s="23" t="s">
        <v>85</v>
      </c>
      <c r="B57" s="30">
        <v>0.52900000000000003</v>
      </c>
      <c r="C57" s="30">
        <v>0.59299999999999997</v>
      </c>
      <c r="D57" s="30">
        <v>0.66600000000000004</v>
      </c>
      <c r="E57" s="30">
        <v>0.65600000000000003</v>
      </c>
      <c r="F57" s="30">
        <v>0.85599999999999998</v>
      </c>
      <c r="G57" s="30">
        <v>0.83499999999999996</v>
      </c>
      <c r="H57" s="30">
        <v>0.92200000000000004</v>
      </c>
      <c r="I57" s="30">
        <v>0.77400000000000002</v>
      </c>
      <c r="J57" s="30">
        <v>0.83899999999999997</v>
      </c>
      <c r="K57" s="30">
        <v>1.2529999999999999</v>
      </c>
      <c r="L57" s="30">
        <v>0.84</v>
      </c>
      <c r="M57" s="30">
        <v>1.425</v>
      </c>
      <c r="N57" s="30">
        <v>0.76500000000000001</v>
      </c>
      <c r="O57" s="30">
        <v>0.66900000000000004</v>
      </c>
      <c r="P57" s="30">
        <v>1.3320000000000001</v>
      </c>
      <c r="Q57" s="30">
        <v>1.744</v>
      </c>
      <c r="R57" s="30">
        <v>1.4970000000000001</v>
      </c>
      <c r="S57" s="30">
        <v>1.488</v>
      </c>
      <c r="T57" s="30">
        <v>187.756</v>
      </c>
      <c r="U57" s="30">
        <v>3.17</v>
      </c>
      <c r="V57" s="30">
        <v>3.6469999999999998</v>
      </c>
      <c r="W57" s="30">
        <v>3.6429999999999998</v>
      </c>
      <c r="X57" s="30">
        <v>3.745276</v>
      </c>
      <c r="Y57" s="30">
        <v>3.718</v>
      </c>
      <c r="Z57" s="30">
        <v>3.7290000000000001</v>
      </c>
      <c r="AA57" s="30">
        <v>3.5489999999999999</v>
      </c>
      <c r="AB57" s="30">
        <v>3.7490000000000001</v>
      </c>
      <c r="AC57" s="30">
        <v>2.9670000000000001</v>
      </c>
      <c r="AD57" s="30" t="s">
        <v>45</v>
      </c>
      <c r="AE57" s="30" t="s">
        <v>45</v>
      </c>
      <c r="AF57" s="30" t="s">
        <v>45</v>
      </c>
      <c r="AG57" s="30" t="s">
        <v>45</v>
      </c>
      <c r="AH57" s="30" t="s">
        <v>45</v>
      </c>
      <c r="AI57" s="30">
        <v>0</v>
      </c>
      <c r="AJ57" s="31">
        <v>2E-3</v>
      </c>
      <c r="AK57" s="30">
        <v>3.0000000000000001E-3</v>
      </c>
      <c r="AL57" s="30">
        <v>3.0000000000000001E-3</v>
      </c>
      <c r="AM57" s="30">
        <v>1E-3</v>
      </c>
      <c r="AN57" s="30">
        <v>1E-3</v>
      </c>
      <c r="AO57" s="30">
        <v>1E-3</v>
      </c>
      <c r="AP57" s="30">
        <v>3.0000000000000001E-3</v>
      </c>
      <c r="AQ57" s="30">
        <v>1E-3</v>
      </c>
      <c r="AR57" s="30">
        <v>1E-3</v>
      </c>
      <c r="AS57" s="30" t="s">
        <v>37</v>
      </c>
      <c r="AT57" s="30">
        <v>1E-3</v>
      </c>
      <c r="AU57" s="30" t="s">
        <v>37</v>
      </c>
      <c r="AV57" s="30" t="s">
        <v>37</v>
      </c>
      <c r="AW57" s="30" t="s">
        <v>37</v>
      </c>
      <c r="AX57" s="30" t="s">
        <v>37</v>
      </c>
      <c r="AY57" s="30" t="s">
        <v>37</v>
      </c>
      <c r="AZ57" s="30" t="s">
        <v>37</v>
      </c>
      <c r="BA57" s="30" t="s">
        <v>37</v>
      </c>
      <c r="BB57" s="30" t="s">
        <v>37</v>
      </c>
      <c r="BC57" s="30" t="s">
        <v>37</v>
      </c>
      <c r="BD57" s="30" t="s">
        <v>37</v>
      </c>
      <c r="BE57" s="30" t="s">
        <v>37</v>
      </c>
      <c r="BF57" s="30" t="s">
        <v>37</v>
      </c>
      <c r="BG57" s="30" t="s">
        <v>37</v>
      </c>
      <c r="BH57" s="30" t="s">
        <v>37</v>
      </c>
      <c r="BI57" s="30" t="s">
        <v>37</v>
      </c>
      <c r="BJ57" s="30" t="s">
        <v>45</v>
      </c>
      <c r="BK57" s="30" t="s">
        <v>45</v>
      </c>
      <c r="BL57" s="30" t="s">
        <v>45</v>
      </c>
      <c r="BM57" s="30" t="s">
        <v>45</v>
      </c>
      <c r="BN57" s="30" t="s">
        <v>45</v>
      </c>
      <c r="BO57" s="30" t="s">
        <v>45</v>
      </c>
      <c r="BP57" s="30" t="s">
        <v>45</v>
      </c>
      <c r="BQ57" s="30" t="s">
        <v>45</v>
      </c>
      <c r="BR57" s="31">
        <v>0.58899999999999997</v>
      </c>
      <c r="BS57" s="30" t="s">
        <v>37</v>
      </c>
      <c r="BT57" s="30" t="s">
        <v>37</v>
      </c>
      <c r="BU57" s="30" t="s">
        <v>37</v>
      </c>
      <c r="BV57" s="30" t="s">
        <v>37</v>
      </c>
      <c r="BW57" s="30" t="s">
        <v>37</v>
      </c>
      <c r="BX57" s="30" t="s">
        <v>37</v>
      </c>
      <c r="BY57" s="30" t="s">
        <v>45</v>
      </c>
      <c r="BZ57" s="30" t="s">
        <v>45</v>
      </c>
      <c r="CA57" s="30" t="s">
        <v>45</v>
      </c>
      <c r="CB57" s="30" t="s">
        <v>45</v>
      </c>
      <c r="CC57" s="30" t="s">
        <v>45</v>
      </c>
      <c r="CD57" s="30" t="s">
        <v>45</v>
      </c>
      <c r="CE57" s="30" t="s">
        <v>45</v>
      </c>
      <c r="CF57" s="30" t="s">
        <v>45</v>
      </c>
      <c r="CG57" s="26">
        <f t="shared" si="142"/>
        <v>0.53100000000000003</v>
      </c>
      <c r="CH57" s="27">
        <f t="shared" si="143"/>
        <v>0.59599999999999997</v>
      </c>
      <c r="CI57" s="27">
        <f t="shared" si="144"/>
        <v>0.66900000000000004</v>
      </c>
      <c r="CJ57" s="27">
        <f t="shared" si="145"/>
        <v>0.65700000000000003</v>
      </c>
      <c r="CK57" s="27">
        <f t="shared" si="146"/>
        <v>0.85699999999999998</v>
      </c>
      <c r="CL57" s="27">
        <f t="shared" si="147"/>
        <v>0.83599999999999997</v>
      </c>
      <c r="CM57" s="27">
        <f t="shared" si="148"/>
        <v>0.92500000000000004</v>
      </c>
      <c r="CN57" s="27">
        <f t="shared" si="149"/>
        <v>0.77500000000000002</v>
      </c>
      <c r="CO57" s="27">
        <f t="shared" si="150"/>
        <v>0.84</v>
      </c>
      <c r="CP57" s="27">
        <f t="shared" si="151"/>
        <v>1.2529999999999999</v>
      </c>
      <c r="CQ57" s="27">
        <f t="shared" si="152"/>
        <v>0.84099999999999997</v>
      </c>
      <c r="CR57" s="27">
        <f t="shared" si="153"/>
        <v>1.425</v>
      </c>
      <c r="CS57" s="27">
        <f t="shared" si="154"/>
        <v>0.76500000000000001</v>
      </c>
      <c r="CT57" s="27">
        <f t="shared" si="155"/>
        <v>0.66900000000000004</v>
      </c>
      <c r="CU57" s="27">
        <f t="shared" si="156"/>
        <v>1.3320000000000001</v>
      </c>
      <c r="CV57" s="27">
        <f t="shared" si="157"/>
        <v>1.744</v>
      </c>
      <c r="CW57" s="27">
        <f t="shared" si="158"/>
        <v>1.4970000000000001</v>
      </c>
      <c r="CX57" s="27">
        <f t="shared" si="159"/>
        <v>1.488</v>
      </c>
      <c r="CY57" s="27">
        <f t="shared" si="160"/>
        <v>187.756</v>
      </c>
      <c r="CZ57" s="27">
        <f t="shared" si="161"/>
        <v>3.7589999999999999</v>
      </c>
      <c r="DA57" s="27">
        <f t="shared" si="162"/>
        <v>3.6469999999999998</v>
      </c>
      <c r="DB57" s="27">
        <f t="shared" si="163"/>
        <v>3.6429999999999998</v>
      </c>
      <c r="DC57" s="27">
        <f t="shared" si="164"/>
        <v>3.745276</v>
      </c>
      <c r="DD57" s="27">
        <f t="shared" si="165"/>
        <v>3.718</v>
      </c>
      <c r="DE57" s="27">
        <f t="shared" si="166"/>
        <v>3.7290000000000001</v>
      </c>
      <c r="DF57" s="27">
        <f t="shared" si="167"/>
        <v>3.5489999999999999</v>
      </c>
      <c r="DG57" s="27">
        <f t="shared" si="168"/>
        <v>3.7490000000000001</v>
      </c>
      <c r="DH57" s="27">
        <f t="shared" si="169"/>
        <v>2.9670000000000001</v>
      </c>
      <c r="DI57" s="27">
        <f t="shared" si="170"/>
        <v>0</v>
      </c>
      <c r="DJ57" s="27">
        <f t="shared" si="171"/>
        <v>0</v>
      </c>
      <c r="DK57" s="27">
        <f t="shared" si="172"/>
        <v>0</v>
      </c>
      <c r="DL57" s="27">
        <f t="shared" si="173"/>
        <v>0</v>
      </c>
      <c r="DM57" s="27">
        <f t="shared" si="174"/>
        <v>0</v>
      </c>
      <c r="DN57" s="27">
        <f t="shared" si="174"/>
        <v>0</v>
      </c>
      <c r="EO57" s="22"/>
      <c r="EP57" s="22"/>
      <c r="EQ57" s="22"/>
      <c r="ER57" s="22"/>
      <c r="ES57" s="22"/>
    </row>
    <row r="58" spans="1:149">
      <c r="A58" s="23" t="s">
        <v>86</v>
      </c>
      <c r="B58" s="30">
        <v>49.679000000000002</v>
      </c>
      <c r="C58" s="30">
        <v>56.752000000000002</v>
      </c>
      <c r="D58" s="30">
        <v>67.975999999999999</v>
      </c>
      <c r="E58" s="30">
        <v>65.710999999999999</v>
      </c>
      <c r="F58" s="30">
        <v>72.474999999999994</v>
      </c>
      <c r="G58" s="30">
        <v>80.221999999999994</v>
      </c>
      <c r="H58" s="30">
        <v>84.804000000000002</v>
      </c>
      <c r="I58" s="30">
        <v>94.820999999999998</v>
      </c>
      <c r="J58" s="30">
        <v>110.29</v>
      </c>
      <c r="K58" s="30">
        <v>118.86799999999999</v>
      </c>
      <c r="L58" s="30">
        <v>135.251</v>
      </c>
      <c r="M58" s="30">
        <v>159.68299999999999</v>
      </c>
      <c r="N58" s="30">
        <v>132.38300000000001</v>
      </c>
      <c r="O58" s="30">
        <v>152.458</v>
      </c>
      <c r="P58" s="30">
        <v>153.416</v>
      </c>
      <c r="Q58" s="30">
        <v>160.85900000000001</v>
      </c>
      <c r="R58" s="30">
        <v>170.01499999999999</v>
      </c>
      <c r="S58" s="30">
        <v>174.554</v>
      </c>
      <c r="T58" s="30">
        <v>15.95</v>
      </c>
      <c r="U58" s="30">
        <v>191.91300000000001</v>
      </c>
      <c r="V58" s="30">
        <v>198.72199999999998</v>
      </c>
      <c r="W58" s="30">
        <v>217.80599999999998</v>
      </c>
      <c r="X58" s="30">
        <v>223.54075399999999</v>
      </c>
      <c r="Y58" s="30">
        <v>248.49299999999999</v>
      </c>
      <c r="Z58" s="30">
        <v>262.59800000000001</v>
      </c>
      <c r="AA58" s="30">
        <v>288.95799999999997</v>
      </c>
      <c r="AB58" s="30">
        <v>347.50799999999998</v>
      </c>
      <c r="AC58" s="30">
        <v>314.80200000000002</v>
      </c>
      <c r="AD58" s="30">
        <v>336.64600000000002</v>
      </c>
      <c r="AE58" s="30">
        <v>365.12700000000001</v>
      </c>
      <c r="AF58" s="30">
        <v>384.57900000000001</v>
      </c>
      <c r="AG58" s="30">
        <v>402.85699999999997</v>
      </c>
      <c r="AH58" s="30">
        <v>402.30510900000002</v>
      </c>
      <c r="AI58" s="30">
        <v>410.19545800000003</v>
      </c>
      <c r="AJ58" s="31">
        <v>0.6</v>
      </c>
      <c r="AK58" s="30">
        <v>0.65</v>
      </c>
      <c r="AL58" s="30">
        <v>0.63</v>
      </c>
      <c r="AM58" s="30">
        <v>0.68300000000000005</v>
      </c>
      <c r="AN58" s="30">
        <v>0.60399999999999998</v>
      </c>
      <c r="AO58" s="30">
        <v>0.57499999999999996</v>
      </c>
      <c r="AP58" s="30">
        <v>0.56799999999999995</v>
      </c>
      <c r="AQ58" s="30">
        <v>1.0129999999999999</v>
      </c>
      <c r="AR58" s="30">
        <v>1.472</v>
      </c>
      <c r="AS58" s="30">
        <v>1.454</v>
      </c>
      <c r="AT58" s="30">
        <v>1.4830000000000001</v>
      </c>
      <c r="AU58" s="30" t="s">
        <v>37</v>
      </c>
      <c r="AV58" s="30" t="s">
        <v>37</v>
      </c>
      <c r="AW58" s="30" t="s">
        <v>37</v>
      </c>
      <c r="AX58" s="30" t="s">
        <v>37</v>
      </c>
      <c r="AY58" s="30" t="s">
        <v>37</v>
      </c>
      <c r="AZ58" s="30" t="s">
        <v>37</v>
      </c>
      <c r="BA58" s="30" t="s">
        <v>37</v>
      </c>
      <c r="BB58" s="30">
        <v>4.0869999999999997</v>
      </c>
      <c r="BC58" s="30">
        <v>1.4159999999999999</v>
      </c>
      <c r="BD58" s="30">
        <v>0.69899999999999995</v>
      </c>
      <c r="BE58" s="30">
        <v>1.254</v>
      </c>
      <c r="BF58" s="30">
        <v>1.3836569999999999</v>
      </c>
      <c r="BG58" s="30">
        <v>1.3959999999999999</v>
      </c>
      <c r="BH58" s="30">
        <v>1.387</v>
      </c>
      <c r="BI58" s="30">
        <v>1.415</v>
      </c>
      <c r="BJ58" s="30">
        <v>1.45</v>
      </c>
      <c r="BK58" s="30">
        <v>1.1659999999999999</v>
      </c>
      <c r="BL58" s="30">
        <v>0.96199999999999997</v>
      </c>
      <c r="BM58" s="30">
        <v>0.80400000000000005</v>
      </c>
      <c r="BN58" s="30">
        <v>0.70699999999999996</v>
      </c>
      <c r="BO58" s="30">
        <v>0.73499999999999999</v>
      </c>
      <c r="BP58" s="30">
        <v>0.74859299999999995</v>
      </c>
      <c r="BQ58" s="30">
        <v>0.86833499999999997</v>
      </c>
      <c r="BR58" s="31" t="s">
        <v>37</v>
      </c>
      <c r="BS58" s="30" t="s">
        <v>37</v>
      </c>
      <c r="BT58" s="30" t="s">
        <v>37</v>
      </c>
      <c r="BU58" s="30" t="s">
        <v>37</v>
      </c>
      <c r="BV58" s="30" t="s">
        <v>37</v>
      </c>
      <c r="BW58" s="30" t="s">
        <v>37</v>
      </c>
      <c r="BX58" s="30" t="s">
        <v>37</v>
      </c>
      <c r="BY58" s="30" t="s">
        <v>45</v>
      </c>
      <c r="BZ58" s="30" t="s">
        <v>45</v>
      </c>
      <c r="CA58" s="30" t="s">
        <v>45</v>
      </c>
      <c r="CB58" s="30" t="s">
        <v>45</v>
      </c>
      <c r="CC58" s="30" t="s">
        <v>45</v>
      </c>
      <c r="CD58" s="30" t="s">
        <v>45</v>
      </c>
      <c r="CE58" s="30" t="s">
        <v>45</v>
      </c>
      <c r="CF58" s="30" t="s">
        <v>45</v>
      </c>
      <c r="CG58" s="26">
        <f t="shared" si="142"/>
        <v>50.279000000000003</v>
      </c>
      <c r="CH58" s="27">
        <f t="shared" si="143"/>
        <v>57.402000000000001</v>
      </c>
      <c r="CI58" s="27">
        <f t="shared" si="144"/>
        <v>68.605999999999995</v>
      </c>
      <c r="CJ58" s="27">
        <f t="shared" si="145"/>
        <v>66.394000000000005</v>
      </c>
      <c r="CK58" s="27">
        <f t="shared" si="146"/>
        <v>73.078999999999994</v>
      </c>
      <c r="CL58" s="27">
        <f t="shared" si="147"/>
        <v>80.796999999999997</v>
      </c>
      <c r="CM58" s="27">
        <f t="shared" si="148"/>
        <v>85.372</v>
      </c>
      <c r="CN58" s="27">
        <f t="shared" si="149"/>
        <v>95.834000000000003</v>
      </c>
      <c r="CO58" s="27">
        <f t="shared" si="150"/>
        <v>111.762</v>
      </c>
      <c r="CP58" s="27">
        <f t="shared" si="151"/>
        <v>120.32199999999999</v>
      </c>
      <c r="CQ58" s="27">
        <f t="shared" si="152"/>
        <v>136.73400000000001</v>
      </c>
      <c r="CR58" s="27">
        <f t="shared" si="153"/>
        <v>159.68299999999999</v>
      </c>
      <c r="CS58" s="27">
        <f t="shared" si="154"/>
        <v>132.38300000000001</v>
      </c>
      <c r="CT58" s="27">
        <f t="shared" si="155"/>
        <v>152.458</v>
      </c>
      <c r="CU58" s="27">
        <f t="shared" si="156"/>
        <v>153.416</v>
      </c>
      <c r="CV58" s="27">
        <f t="shared" si="157"/>
        <v>160.85900000000001</v>
      </c>
      <c r="CW58" s="27">
        <f t="shared" si="158"/>
        <v>170.01499999999999</v>
      </c>
      <c r="CX58" s="27">
        <f t="shared" si="159"/>
        <v>174.554</v>
      </c>
      <c r="CY58" s="27">
        <f t="shared" si="160"/>
        <v>20.036999999999999</v>
      </c>
      <c r="CZ58" s="27">
        <f t="shared" si="161"/>
        <v>193.32900000000001</v>
      </c>
      <c r="DA58" s="27">
        <f t="shared" si="162"/>
        <v>199.42099999999999</v>
      </c>
      <c r="DB58" s="27">
        <f t="shared" si="163"/>
        <v>219.05999999999997</v>
      </c>
      <c r="DC58" s="27">
        <f t="shared" si="164"/>
        <v>224.92441099999999</v>
      </c>
      <c r="DD58" s="27">
        <f t="shared" si="165"/>
        <v>249.88899999999998</v>
      </c>
      <c r="DE58" s="27">
        <f t="shared" si="166"/>
        <v>263.98500000000001</v>
      </c>
      <c r="DF58" s="27">
        <f t="shared" si="167"/>
        <v>290.37299999999999</v>
      </c>
      <c r="DG58" s="27">
        <f t="shared" si="168"/>
        <v>348.95799999999997</v>
      </c>
      <c r="DH58" s="27">
        <f t="shared" si="169"/>
        <v>315.96800000000002</v>
      </c>
      <c r="DI58" s="27">
        <f t="shared" si="170"/>
        <v>337.608</v>
      </c>
      <c r="DJ58" s="27">
        <f t="shared" si="171"/>
        <v>365.93099999999998</v>
      </c>
      <c r="DK58" s="27">
        <f t="shared" si="172"/>
        <v>385.286</v>
      </c>
      <c r="DL58" s="27">
        <f t="shared" si="173"/>
        <v>403.59199999999998</v>
      </c>
      <c r="DM58" s="27">
        <f t="shared" si="174"/>
        <v>403.05370200000004</v>
      </c>
      <c r="DN58" s="27">
        <f t="shared" si="174"/>
        <v>411.06379300000003</v>
      </c>
      <c r="EO58" s="22"/>
      <c r="EP58" s="22"/>
      <c r="EQ58" s="22"/>
      <c r="ER58" s="22"/>
      <c r="ES58" s="22"/>
    </row>
    <row r="59" spans="1:149">
      <c r="A59" s="23" t="s">
        <v>87</v>
      </c>
      <c r="B59" s="30">
        <v>327.32</v>
      </c>
      <c r="C59" s="30">
        <v>385.36</v>
      </c>
      <c r="D59" s="30">
        <v>382.25</v>
      </c>
      <c r="E59" s="30">
        <v>417.52600000000001</v>
      </c>
      <c r="F59" s="30">
        <v>381.00700000000001</v>
      </c>
      <c r="G59" s="30">
        <v>384.06200000000001</v>
      </c>
      <c r="H59" s="30">
        <v>380.57</v>
      </c>
      <c r="I59" s="30">
        <v>396.09</v>
      </c>
      <c r="J59" s="30">
        <v>436.66</v>
      </c>
      <c r="K59" s="30">
        <v>554.803</v>
      </c>
      <c r="L59" s="30">
        <v>618.84900000000005</v>
      </c>
      <c r="M59" s="30">
        <v>636.70399999999995</v>
      </c>
      <c r="N59" s="30">
        <v>625.71100000000001</v>
      </c>
      <c r="O59" s="30">
        <v>629.94000000000005</v>
      </c>
      <c r="P59" s="30">
        <v>636.76300000000003</v>
      </c>
      <c r="Q59" s="30">
        <v>619.06500000000005</v>
      </c>
      <c r="R59" s="30">
        <v>599.43499999999995</v>
      </c>
      <c r="S59" s="30">
        <v>645.09</v>
      </c>
      <c r="T59" s="30">
        <v>1.4019999999999999</v>
      </c>
      <c r="U59" s="30">
        <v>737.07500000000005</v>
      </c>
      <c r="V59" s="30">
        <v>856.14300000000003</v>
      </c>
      <c r="W59" s="30">
        <v>886.01800000000003</v>
      </c>
      <c r="X59" s="30">
        <v>874.4769</v>
      </c>
      <c r="Y59" s="30">
        <v>840.42399999999998</v>
      </c>
      <c r="Z59" s="30">
        <v>803.92200000000003</v>
      </c>
      <c r="AA59" s="30">
        <v>821.03800000000001</v>
      </c>
      <c r="AB59" s="30">
        <v>910.2170000000001</v>
      </c>
      <c r="AC59" s="30">
        <v>866.03800000000001</v>
      </c>
      <c r="AD59" s="30">
        <v>932.399</v>
      </c>
      <c r="AE59" s="30">
        <v>941.29200000000003</v>
      </c>
      <c r="AF59" s="30">
        <v>947.60599999999999</v>
      </c>
      <c r="AG59" s="30">
        <v>987.15599999999995</v>
      </c>
      <c r="AH59" s="30">
        <v>967.67020000000002</v>
      </c>
      <c r="AI59" s="30">
        <v>928.4319999999999</v>
      </c>
      <c r="AJ59" s="31">
        <v>6.68</v>
      </c>
      <c r="AK59" s="30" t="s">
        <v>37</v>
      </c>
      <c r="AL59" s="30">
        <v>3.75</v>
      </c>
      <c r="AM59" s="30">
        <v>10.423999999999999</v>
      </c>
      <c r="AN59" s="30">
        <v>11.444000000000001</v>
      </c>
      <c r="AO59" s="30">
        <v>11.538</v>
      </c>
      <c r="AP59" s="30">
        <v>11.43</v>
      </c>
      <c r="AQ59" s="30">
        <v>11.91</v>
      </c>
      <c r="AR59" s="30">
        <v>13.14</v>
      </c>
      <c r="AS59" s="30">
        <v>9.9659999999999993</v>
      </c>
      <c r="AT59" s="30">
        <v>12.385</v>
      </c>
      <c r="AU59" s="30">
        <v>9.4949999999999992</v>
      </c>
      <c r="AV59" s="30">
        <v>3.6949999999999998</v>
      </c>
      <c r="AW59" s="30">
        <v>3.4710000000000001</v>
      </c>
      <c r="AX59" s="30">
        <v>3.5</v>
      </c>
      <c r="AY59" s="30">
        <v>3.4590000000000001</v>
      </c>
      <c r="AZ59" s="30">
        <v>2.8759999999999999</v>
      </c>
      <c r="BA59" s="30">
        <v>2.9319999999999999</v>
      </c>
      <c r="BB59" s="30" t="s">
        <v>37</v>
      </c>
      <c r="BC59" s="30">
        <v>2.8</v>
      </c>
      <c r="BD59" s="30">
        <v>3</v>
      </c>
      <c r="BE59" s="30">
        <v>3.3</v>
      </c>
      <c r="BF59" s="30">
        <v>3.32</v>
      </c>
      <c r="BG59" s="30">
        <v>3.27</v>
      </c>
      <c r="BH59" s="30">
        <v>2.91</v>
      </c>
      <c r="BI59" s="30">
        <v>2.99</v>
      </c>
      <c r="BJ59" s="30">
        <v>2.83</v>
      </c>
      <c r="BK59" s="30" t="s">
        <v>45</v>
      </c>
      <c r="BL59" s="30" t="s">
        <v>45</v>
      </c>
      <c r="BM59" s="30" t="s">
        <v>45</v>
      </c>
      <c r="BN59" s="30" t="s">
        <v>45</v>
      </c>
      <c r="BO59" s="41" t="s">
        <v>45</v>
      </c>
      <c r="BP59" s="41" t="s">
        <v>45</v>
      </c>
      <c r="BQ59" s="41" t="s">
        <v>45</v>
      </c>
      <c r="BR59" s="31" t="s">
        <v>37</v>
      </c>
      <c r="BS59" s="30" t="s">
        <v>37</v>
      </c>
      <c r="BT59" s="30" t="s">
        <v>37</v>
      </c>
      <c r="BU59" s="30" t="s">
        <v>37</v>
      </c>
      <c r="BV59" s="30" t="s">
        <v>37</v>
      </c>
      <c r="BW59" s="30" t="s">
        <v>37</v>
      </c>
      <c r="BX59" s="30" t="s">
        <v>37</v>
      </c>
      <c r="BY59" s="30" t="s">
        <v>45</v>
      </c>
      <c r="BZ59" s="30" t="s">
        <v>45</v>
      </c>
      <c r="CA59" s="30" t="s">
        <v>45</v>
      </c>
      <c r="CB59" s="30" t="s">
        <v>45</v>
      </c>
      <c r="CC59" s="30" t="s">
        <v>45</v>
      </c>
      <c r="CD59" s="30" t="s">
        <v>45</v>
      </c>
      <c r="CE59" s="30" t="s">
        <v>45</v>
      </c>
      <c r="CF59" s="30" t="s">
        <v>45</v>
      </c>
      <c r="CG59" s="26">
        <f t="shared" si="142"/>
        <v>334</v>
      </c>
      <c r="CH59" s="27">
        <f t="shared" si="143"/>
        <v>385.36</v>
      </c>
      <c r="CI59" s="27">
        <f t="shared" si="144"/>
        <v>386</v>
      </c>
      <c r="CJ59" s="27">
        <f t="shared" si="145"/>
        <v>427.95</v>
      </c>
      <c r="CK59" s="27">
        <f t="shared" si="146"/>
        <v>392.45100000000002</v>
      </c>
      <c r="CL59" s="27">
        <f t="shared" si="147"/>
        <v>395.6</v>
      </c>
      <c r="CM59" s="27">
        <f t="shared" si="148"/>
        <v>392</v>
      </c>
      <c r="CN59" s="27">
        <f t="shared" si="149"/>
        <v>408</v>
      </c>
      <c r="CO59" s="27">
        <f t="shared" si="150"/>
        <v>449.8</v>
      </c>
      <c r="CP59" s="27">
        <f t="shared" si="151"/>
        <v>564.76900000000001</v>
      </c>
      <c r="CQ59" s="27">
        <f t="shared" si="152"/>
        <v>631.23400000000004</v>
      </c>
      <c r="CR59" s="27">
        <f t="shared" si="153"/>
        <v>646.19899999999996</v>
      </c>
      <c r="CS59" s="27">
        <f t="shared" si="154"/>
        <v>629.40600000000006</v>
      </c>
      <c r="CT59" s="27">
        <f t="shared" si="155"/>
        <v>633.41100000000006</v>
      </c>
      <c r="CU59" s="27">
        <f t="shared" si="156"/>
        <v>640.26300000000003</v>
      </c>
      <c r="CV59" s="27">
        <f t="shared" si="157"/>
        <v>622.524</v>
      </c>
      <c r="CW59" s="27">
        <f t="shared" si="158"/>
        <v>602.31099999999992</v>
      </c>
      <c r="CX59" s="27">
        <f t="shared" si="159"/>
        <v>648.02200000000005</v>
      </c>
      <c r="CY59" s="27">
        <f t="shared" si="160"/>
        <v>1.4019999999999999</v>
      </c>
      <c r="CZ59" s="27">
        <f t="shared" si="161"/>
        <v>739.875</v>
      </c>
      <c r="DA59" s="27">
        <f t="shared" si="162"/>
        <v>859.14300000000003</v>
      </c>
      <c r="DB59" s="27">
        <f t="shared" si="163"/>
        <v>889.31799999999998</v>
      </c>
      <c r="DC59" s="27">
        <f t="shared" si="164"/>
        <v>877.79690000000005</v>
      </c>
      <c r="DD59" s="27">
        <f t="shared" si="165"/>
        <v>843.69399999999996</v>
      </c>
      <c r="DE59" s="27">
        <f t="shared" si="166"/>
        <v>806.83199999999999</v>
      </c>
      <c r="DF59" s="27">
        <f t="shared" si="167"/>
        <v>824.02800000000002</v>
      </c>
      <c r="DG59" s="27">
        <f t="shared" si="168"/>
        <v>913.04700000000014</v>
      </c>
      <c r="DH59" s="27">
        <f t="shared" si="169"/>
        <v>866.03800000000001</v>
      </c>
      <c r="DI59" s="27">
        <f t="shared" si="170"/>
        <v>932.399</v>
      </c>
      <c r="DJ59" s="27">
        <f t="shared" si="171"/>
        <v>941.29200000000003</v>
      </c>
      <c r="DK59" s="27">
        <f t="shared" si="172"/>
        <v>947.60599999999999</v>
      </c>
      <c r="DL59" s="27">
        <f t="shared" si="173"/>
        <v>987.15599999999995</v>
      </c>
      <c r="DM59" s="27">
        <f t="shared" si="174"/>
        <v>967.67020000000002</v>
      </c>
      <c r="DN59" s="27">
        <f t="shared" si="174"/>
        <v>928.4319999999999</v>
      </c>
      <c r="EO59" s="22"/>
      <c r="EP59" s="22"/>
      <c r="EQ59" s="22"/>
      <c r="ER59" s="22"/>
      <c r="ES59" s="22"/>
    </row>
    <row r="60" spans="1:149">
      <c r="A60" s="23" t="s">
        <v>88</v>
      </c>
      <c r="B60" s="30">
        <v>86.039000000000001</v>
      </c>
      <c r="C60" s="30">
        <v>91.147999999999996</v>
      </c>
      <c r="D60" s="30">
        <v>98.069000000000003</v>
      </c>
      <c r="E60" s="30">
        <v>103.428</v>
      </c>
      <c r="F60" s="30">
        <v>109.82299999999999</v>
      </c>
      <c r="G60" s="30">
        <v>120.373</v>
      </c>
      <c r="H60" s="30">
        <v>133.429</v>
      </c>
      <c r="I60" s="30">
        <v>145.05699999999999</v>
      </c>
      <c r="J60" s="30">
        <v>158.613</v>
      </c>
      <c r="K60" s="30">
        <v>173.214</v>
      </c>
      <c r="L60" s="30">
        <v>188.751</v>
      </c>
      <c r="M60" s="30">
        <v>218.60400000000001</v>
      </c>
      <c r="N60" s="30">
        <v>232.02</v>
      </c>
      <c r="O60" s="30">
        <v>240.459</v>
      </c>
      <c r="P60" s="30">
        <v>251.55099999999999</v>
      </c>
      <c r="Q60" s="30">
        <v>270.72399999999999</v>
      </c>
      <c r="R60" s="30">
        <v>280.40199999999999</v>
      </c>
      <c r="S60" s="30">
        <v>325.23399999999998</v>
      </c>
      <c r="T60" s="30">
        <v>337.01400000000001</v>
      </c>
      <c r="U60" s="30">
        <v>348.78799999999995</v>
      </c>
      <c r="V60" s="30">
        <v>360.81600000000003</v>
      </c>
      <c r="W60" s="30">
        <v>365.71199999999999</v>
      </c>
      <c r="X60" s="30">
        <v>403.95681000000002</v>
      </c>
      <c r="Y60" s="30">
        <v>457.98099999999999</v>
      </c>
      <c r="Z60" s="30">
        <v>460.45100000000002</v>
      </c>
      <c r="AA60" s="30">
        <v>376.64</v>
      </c>
      <c r="AB60" s="30">
        <v>415.18599999999998</v>
      </c>
      <c r="AC60" s="30">
        <v>368.459</v>
      </c>
      <c r="AD60" s="30">
        <v>456.79399999999998</v>
      </c>
      <c r="AE60" s="30">
        <v>450.89699999999999</v>
      </c>
      <c r="AF60" s="30">
        <v>457.44499999999999</v>
      </c>
      <c r="AG60" s="30">
        <v>449.35599999999999</v>
      </c>
      <c r="AH60" s="30">
        <v>447.52810399999998</v>
      </c>
      <c r="AI60" s="30">
        <v>433.40801899999997</v>
      </c>
      <c r="AJ60" s="31" t="s">
        <v>37</v>
      </c>
      <c r="AK60" s="30" t="s">
        <v>37</v>
      </c>
      <c r="AL60" s="30" t="s">
        <v>37</v>
      </c>
      <c r="AM60" s="30" t="s">
        <v>37</v>
      </c>
      <c r="AN60" s="30" t="s">
        <v>37</v>
      </c>
      <c r="AO60" s="30" t="s">
        <v>37</v>
      </c>
      <c r="AP60" s="30" t="s">
        <v>37</v>
      </c>
      <c r="AQ60" s="30" t="s">
        <v>37</v>
      </c>
      <c r="AR60" s="30" t="s">
        <v>37</v>
      </c>
      <c r="AS60" s="30" t="s">
        <v>37</v>
      </c>
      <c r="AT60" s="30" t="s">
        <v>37</v>
      </c>
      <c r="AU60" s="30" t="s">
        <v>37</v>
      </c>
      <c r="AV60" s="30" t="s">
        <v>37</v>
      </c>
      <c r="AW60" s="30" t="s">
        <v>37</v>
      </c>
      <c r="AX60" s="30" t="s">
        <v>37</v>
      </c>
      <c r="AY60" s="30" t="s">
        <v>37</v>
      </c>
      <c r="AZ60" s="30" t="s">
        <v>37</v>
      </c>
      <c r="BA60" s="30" t="s">
        <v>37</v>
      </c>
      <c r="BB60" s="30" t="s">
        <v>37</v>
      </c>
      <c r="BC60" s="30" t="s">
        <v>37</v>
      </c>
      <c r="BD60" s="30" t="s">
        <v>37</v>
      </c>
      <c r="BE60" s="30" t="s">
        <v>37</v>
      </c>
      <c r="BF60" s="30" t="s">
        <v>37</v>
      </c>
      <c r="BG60" s="30" t="s">
        <v>37</v>
      </c>
      <c r="BH60" s="30" t="s">
        <v>37</v>
      </c>
      <c r="BI60" s="30" t="s">
        <v>37</v>
      </c>
      <c r="BJ60" s="30" t="s">
        <v>45</v>
      </c>
      <c r="BK60" s="30" t="s">
        <v>45</v>
      </c>
      <c r="BL60" s="30" t="s">
        <v>45</v>
      </c>
      <c r="BM60" s="30" t="s">
        <v>45</v>
      </c>
      <c r="BN60" s="30" t="s">
        <v>45</v>
      </c>
      <c r="BO60" s="30" t="s">
        <v>45</v>
      </c>
      <c r="BP60" s="30" t="s">
        <v>45</v>
      </c>
      <c r="BQ60" s="30" t="s">
        <v>45</v>
      </c>
      <c r="BR60" s="31" t="s">
        <v>37</v>
      </c>
      <c r="BS60" s="30" t="s">
        <v>37</v>
      </c>
      <c r="BT60" s="30" t="s">
        <v>37</v>
      </c>
      <c r="BU60" s="30">
        <v>8.3830899999999993</v>
      </c>
      <c r="BV60" s="30">
        <v>10.339</v>
      </c>
      <c r="BW60" s="30">
        <v>11.021000000000001</v>
      </c>
      <c r="BX60" s="30" t="s">
        <v>37</v>
      </c>
      <c r="BY60" s="30" t="s">
        <v>45</v>
      </c>
      <c r="BZ60" s="30" t="s">
        <v>45</v>
      </c>
      <c r="CA60" s="30" t="s">
        <v>45</v>
      </c>
      <c r="CB60" s="30" t="s">
        <v>45</v>
      </c>
      <c r="CC60" s="30" t="s">
        <v>45</v>
      </c>
      <c r="CD60" s="30" t="s">
        <v>45</v>
      </c>
      <c r="CE60" s="30" t="s">
        <v>45</v>
      </c>
      <c r="CF60" s="30" t="s">
        <v>45</v>
      </c>
      <c r="CG60" s="26">
        <f t="shared" si="142"/>
        <v>86.039000000000001</v>
      </c>
      <c r="CH60" s="27">
        <f t="shared" si="143"/>
        <v>91.147999999999996</v>
      </c>
      <c r="CI60" s="27">
        <f t="shared" si="144"/>
        <v>98.069000000000003</v>
      </c>
      <c r="CJ60" s="27">
        <f t="shared" si="145"/>
        <v>103.428</v>
      </c>
      <c r="CK60" s="27">
        <f t="shared" si="146"/>
        <v>109.82299999999999</v>
      </c>
      <c r="CL60" s="27">
        <f t="shared" si="147"/>
        <v>120.373</v>
      </c>
      <c r="CM60" s="27">
        <f t="shared" si="148"/>
        <v>133.429</v>
      </c>
      <c r="CN60" s="27">
        <f t="shared" si="149"/>
        <v>145.05699999999999</v>
      </c>
      <c r="CO60" s="27">
        <f t="shared" si="150"/>
        <v>158.613</v>
      </c>
      <c r="CP60" s="27">
        <f t="shared" si="151"/>
        <v>173.214</v>
      </c>
      <c r="CQ60" s="27">
        <f t="shared" si="152"/>
        <v>188.751</v>
      </c>
      <c r="CR60" s="27">
        <f t="shared" si="153"/>
        <v>218.60400000000001</v>
      </c>
      <c r="CS60" s="27">
        <f t="shared" si="154"/>
        <v>232.02</v>
      </c>
      <c r="CT60" s="27">
        <f t="shared" si="155"/>
        <v>240.459</v>
      </c>
      <c r="CU60" s="27">
        <f t="shared" si="156"/>
        <v>251.55099999999999</v>
      </c>
      <c r="CV60" s="27">
        <f t="shared" si="157"/>
        <v>270.72399999999999</v>
      </c>
      <c r="CW60" s="27">
        <f t="shared" si="158"/>
        <v>280.40199999999999</v>
      </c>
      <c r="CX60" s="27">
        <f t="shared" si="159"/>
        <v>325.23399999999998</v>
      </c>
      <c r="CY60" s="27">
        <f t="shared" si="160"/>
        <v>337.01400000000001</v>
      </c>
      <c r="CZ60" s="27">
        <f t="shared" si="161"/>
        <v>348.78799999999995</v>
      </c>
      <c r="DA60" s="27">
        <f t="shared" si="162"/>
        <v>360.81600000000003</v>
      </c>
      <c r="DB60" s="27">
        <f t="shared" si="163"/>
        <v>365.71199999999999</v>
      </c>
      <c r="DC60" s="27">
        <f t="shared" si="164"/>
        <v>412.3399</v>
      </c>
      <c r="DD60" s="27">
        <f t="shared" si="165"/>
        <v>468.32</v>
      </c>
      <c r="DE60" s="27">
        <f t="shared" si="166"/>
        <v>471.47200000000004</v>
      </c>
      <c r="DF60" s="27">
        <f t="shared" si="167"/>
        <v>376.64</v>
      </c>
      <c r="DG60" s="27">
        <f t="shared" si="168"/>
        <v>415.18599999999998</v>
      </c>
      <c r="DH60" s="27">
        <f t="shared" si="169"/>
        <v>368.459</v>
      </c>
      <c r="DI60" s="27">
        <f t="shared" si="170"/>
        <v>456.79399999999998</v>
      </c>
      <c r="DJ60" s="27">
        <f t="shared" si="171"/>
        <v>450.89699999999999</v>
      </c>
      <c r="DK60" s="27">
        <f t="shared" si="172"/>
        <v>457.44499999999999</v>
      </c>
      <c r="DL60" s="27">
        <f t="shared" si="173"/>
        <v>449.35599999999999</v>
      </c>
      <c r="DM60" s="27">
        <f t="shared" si="174"/>
        <v>447.52810399999998</v>
      </c>
      <c r="DN60" s="27">
        <f t="shared" si="174"/>
        <v>433.40801899999997</v>
      </c>
      <c r="EO60" s="22"/>
      <c r="EP60" s="22"/>
      <c r="EQ60" s="22"/>
      <c r="ER60" s="22"/>
      <c r="ES60" s="22"/>
    </row>
    <row r="61" spans="1:149">
      <c r="A61" s="23" t="s">
        <v>89</v>
      </c>
      <c r="B61" s="30">
        <v>7.3929999999999998</v>
      </c>
      <c r="C61" s="30">
        <v>7.7370000000000001</v>
      </c>
      <c r="D61" s="30">
        <v>8.1489999999999991</v>
      </c>
      <c r="E61" s="30">
        <v>8.4120000000000008</v>
      </c>
      <c r="F61" s="30">
        <v>9.2260000000000009</v>
      </c>
      <c r="G61" s="30">
        <v>9.1300000000000008</v>
      </c>
      <c r="H61" s="30">
        <v>10.134</v>
      </c>
      <c r="I61" s="30">
        <v>10.067</v>
      </c>
      <c r="J61" s="30">
        <v>9.0839999999999996</v>
      </c>
      <c r="K61" s="30">
        <v>9.5860000000000003</v>
      </c>
      <c r="L61" s="30">
        <v>6.5</v>
      </c>
      <c r="M61" s="30">
        <v>6.34</v>
      </c>
      <c r="N61" s="30">
        <v>5.7409999999999997</v>
      </c>
      <c r="O61" s="30">
        <v>5.6989999999999998</v>
      </c>
      <c r="P61" s="30">
        <v>6.0119999999999996</v>
      </c>
      <c r="Q61" s="30">
        <v>5.7169999999999996</v>
      </c>
      <c r="R61" s="30">
        <v>6.0979999999999999</v>
      </c>
      <c r="S61" s="30">
        <v>6.1639999999999997</v>
      </c>
      <c r="T61" s="30">
        <v>6.077</v>
      </c>
      <c r="U61" s="30">
        <v>6.31</v>
      </c>
      <c r="V61" s="30">
        <v>12.297000000000001</v>
      </c>
      <c r="W61" s="30">
        <v>13.821</v>
      </c>
      <c r="X61" s="30">
        <v>12.883010000000001</v>
      </c>
      <c r="Y61" s="30">
        <v>13.021000000000001</v>
      </c>
      <c r="Z61" s="30">
        <v>15.336</v>
      </c>
      <c r="AA61" s="30">
        <v>10.651999999999999</v>
      </c>
      <c r="AB61" s="30">
        <v>11.002000000000001</v>
      </c>
      <c r="AC61" s="30">
        <v>13.17</v>
      </c>
      <c r="AD61" s="30">
        <v>12.609</v>
      </c>
      <c r="AE61" s="30">
        <v>12.406000000000001</v>
      </c>
      <c r="AF61" s="30">
        <v>11.920999999999999</v>
      </c>
      <c r="AG61" s="30">
        <v>7.3659999999999997</v>
      </c>
      <c r="AH61" s="30">
        <v>7.7864719999999998</v>
      </c>
      <c r="AI61" s="30">
        <v>9.4189039999999995</v>
      </c>
      <c r="AJ61" s="31" t="s">
        <v>37</v>
      </c>
      <c r="AK61" s="30" t="s">
        <v>37</v>
      </c>
      <c r="AL61" s="30" t="s">
        <v>37</v>
      </c>
      <c r="AM61" s="30" t="s">
        <v>37</v>
      </c>
      <c r="AN61" s="30" t="s">
        <v>37</v>
      </c>
      <c r="AO61" s="30" t="s">
        <v>37</v>
      </c>
      <c r="AP61" s="30" t="s">
        <v>37</v>
      </c>
      <c r="AQ61" s="30" t="s">
        <v>37</v>
      </c>
      <c r="AR61" s="30" t="s">
        <v>37</v>
      </c>
      <c r="AS61" s="30" t="s">
        <v>37</v>
      </c>
      <c r="AT61" s="30" t="s">
        <v>37</v>
      </c>
      <c r="AU61" s="30" t="s">
        <v>37</v>
      </c>
      <c r="AV61" s="30" t="s">
        <v>37</v>
      </c>
      <c r="AW61" s="30" t="s">
        <v>37</v>
      </c>
      <c r="AX61" s="30" t="s">
        <v>37</v>
      </c>
      <c r="AY61" s="30" t="s">
        <v>37</v>
      </c>
      <c r="AZ61" s="30" t="s">
        <v>37</v>
      </c>
      <c r="BA61" s="30" t="s">
        <v>37</v>
      </c>
      <c r="BB61" s="30" t="s">
        <v>37</v>
      </c>
      <c r="BC61" s="30" t="s">
        <v>37</v>
      </c>
      <c r="BD61" s="30" t="s">
        <v>37</v>
      </c>
      <c r="BE61" s="30" t="s">
        <v>37</v>
      </c>
      <c r="BF61" s="30" t="s">
        <v>37</v>
      </c>
      <c r="BG61" s="30" t="s">
        <v>37</v>
      </c>
      <c r="BH61" s="30" t="s">
        <v>37</v>
      </c>
      <c r="BI61" s="30" t="s">
        <v>37</v>
      </c>
      <c r="BJ61" s="30" t="s">
        <v>45</v>
      </c>
      <c r="BK61" s="30" t="s">
        <v>45</v>
      </c>
      <c r="BL61" s="30" t="s">
        <v>45</v>
      </c>
      <c r="BM61" s="30" t="s">
        <v>45</v>
      </c>
      <c r="BN61" s="30" t="s">
        <v>45</v>
      </c>
      <c r="BO61" s="30" t="s">
        <v>45</v>
      </c>
      <c r="BP61" s="30" t="s">
        <v>45</v>
      </c>
      <c r="BQ61" s="30" t="s">
        <v>45</v>
      </c>
      <c r="BR61" s="31" t="s">
        <v>37</v>
      </c>
      <c r="BS61" s="30" t="s">
        <v>37</v>
      </c>
      <c r="BT61" s="30" t="s">
        <v>37</v>
      </c>
      <c r="BU61" s="30" t="s">
        <v>37</v>
      </c>
      <c r="BV61" s="30" t="s">
        <v>37</v>
      </c>
      <c r="BW61" s="30" t="s">
        <v>37</v>
      </c>
      <c r="BX61" s="30" t="s">
        <v>37</v>
      </c>
      <c r="BY61" s="30" t="s">
        <v>45</v>
      </c>
      <c r="BZ61" s="30" t="s">
        <v>45</v>
      </c>
      <c r="CA61" s="30" t="s">
        <v>45</v>
      </c>
      <c r="CB61" s="30" t="s">
        <v>45</v>
      </c>
      <c r="CC61" s="30" t="s">
        <v>45</v>
      </c>
      <c r="CD61" s="30" t="s">
        <v>45</v>
      </c>
      <c r="CE61" s="30" t="s">
        <v>45</v>
      </c>
      <c r="CF61" s="30" t="s">
        <v>45</v>
      </c>
      <c r="CG61" s="26">
        <f t="shared" si="142"/>
        <v>7.3929999999999998</v>
      </c>
      <c r="CH61" s="27">
        <f t="shared" si="143"/>
        <v>7.7370000000000001</v>
      </c>
      <c r="CI61" s="27">
        <f t="shared" si="144"/>
        <v>8.1489999999999991</v>
      </c>
      <c r="CJ61" s="27">
        <f t="shared" si="145"/>
        <v>8.4120000000000008</v>
      </c>
      <c r="CK61" s="27">
        <f t="shared" si="146"/>
        <v>9.2260000000000009</v>
      </c>
      <c r="CL61" s="27">
        <f t="shared" si="147"/>
        <v>9.1300000000000008</v>
      </c>
      <c r="CM61" s="27">
        <f t="shared" si="148"/>
        <v>10.134</v>
      </c>
      <c r="CN61" s="27">
        <f t="shared" si="149"/>
        <v>10.067</v>
      </c>
      <c r="CO61" s="27">
        <f t="shared" si="150"/>
        <v>9.0839999999999996</v>
      </c>
      <c r="CP61" s="27">
        <f t="shared" si="151"/>
        <v>9.5860000000000003</v>
      </c>
      <c r="CQ61" s="27">
        <f t="shared" si="152"/>
        <v>6.5</v>
      </c>
      <c r="CR61" s="27">
        <f t="shared" si="153"/>
        <v>6.34</v>
      </c>
      <c r="CS61" s="27">
        <f t="shared" si="154"/>
        <v>5.7409999999999997</v>
      </c>
      <c r="CT61" s="27">
        <f t="shared" si="155"/>
        <v>5.6989999999999998</v>
      </c>
      <c r="CU61" s="27">
        <f t="shared" si="156"/>
        <v>6.0119999999999996</v>
      </c>
      <c r="CV61" s="27">
        <f t="shared" si="157"/>
        <v>5.7169999999999996</v>
      </c>
      <c r="CW61" s="27">
        <f t="shared" si="158"/>
        <v>6.0979999999999999</v>
      </c>
      <c r="CX61" s="27">
        <f t="shared" si="159"/>
        <v>6.1639999999999997</v>
      </c>
      <c r="CY61" s="27">
        <f t="shared" si="160"/>
        <v>6.077</v>
      </c>
      <c r="CZ61" s="27">
        <f t="shared" si="161"/>
        <v>6.31</v>
      </c>
      <c r="DA61" s="27">
        <f t="shared" si="162"/>
        <v>12.297000000000001</v>
      </c>
      <c r="DB61" s="27">
        <f t="shared" si="163"/>
        <v>13.821</v>
      </c>
      <c r="DC61" s="27">
        <f t="shared" si="164"/>
        <v>12.883010000000001</v>
      </c>
      <c r="DD61" s="27">
        <f t="shared" si="165"/>
        <v>13.021000000000001</v>
      </c>
      <c r="DE61" s="27">
        <f t="shared" si="166"/>
        <v>15.336</v>
      </c>
      <c r="DF61" s="27">
        <f t="shared" si="167"/>
        <v>10.651999999999999</v>
      </c>
      <c r="DG61" s="27">
        <f t="shared" si="168"/>
        <v>11.002000000000001</v>
      </c>
      <c r="DH61" s="27">
        <f t="shared" si="169"/>
        <v>13.17</v>
      </c>
      <c r="DI61" s="27">
        <f t="shared" si="170"/>
        <v>12.609</v>
      </c>
      <c r="DJ61" s="27">
        <f t="shared" si="171"/>
        <v>12.406000000000001</v>
      </c>
      <c r="DK61" s="27">
        <f t="shared" si="172"/>
        <v>11.920999999999999</v>
      </c>
      <c r="DL61" s="27">
        <f t="shared" si="173"/>
        <v>7.3659999999999997</v>
      </c>
      <c r="DM61" s="27">
        <f t="shared" si="174"/>
        <v>7.7864719999999998</v>
      </c>
      <c r="DN61" s="27">
        <f t="shared" si="174"/>
        <v>9.4189039999999995</v>
      </c>
      <c r="EO61" s="22"/>
      <c r="EP61" s="22"/>
      <c r="EQ61" s="22"/>
      <c r="ER61" s="22"/>
      <c r="ES61" s="22"/>
    </row>
    <row r="62" spans="1:149">
      <c r="A62" s="32" t="s">
        <v>90</v>
      </c>
      <c r="B62" s="33">
        <v>7.1139999999999999</v>
      </c>
      <c r="C62" s="33">
        <v>7.5579999999999998</v>
      </c>
      <c r="D62" s="33">
        <v>7.8879999999999999</v>
      </c>
      <c r="E62" s="33">
        <v>8.1059999999999999</v>
      </c>
      <c r="F62" s="33">
        <v>8.2420000000000009</v>
      </c>
      <c r="G62" s="33">
        <v>9.4260000000000002</v>
      </c>
      <c r="H62" s="33">
        <v>11.021000000000001</v>
      </c>
      <c r="I62" s="33">
        <v>10.807</v>
      </c>
      <c r="J62" s="33">
        <v>11.129</v>
      </c>
      <c r="K62" s="33">
        <v>11.12</v>
      </c>
      <c r="L62" s="33">
        <v>11.167</v>
      </c>
      <c r="M62" s="33">
        <v>11.788</v>
      </c>
      <c r="N62" s="33">
        <v>11.865</v>
      </c>
      <c r="O62" s="33">
        <v>11.308999999999999</v>
      </c>
      <c r="P62" s="33">
        <v>12.324999999999999</v>
      </c>
      <c r="Q62" s="33">
        <v>12.76</v>
      </c>
      <c r="R62" s="33">
        <v>13.739000000000001</v>
      </c>
      <c r="S62" s="33">
        <v>14.327</v>
      </c>
      <c r="T62" s="33">
        <v>15.545</v>
      </c>
      <c r="U62" s="33">
        <v>16.225000000000001</v>
      </c>
      <c r="V62" s="33">
        <v>16.858000000000001</v>
      </c>
      <c r="W62" s="33">
        <v>15.69</v>
      </c>
      <c r="X62" s="33">
        <v>17.459437000000001</v>
      </c>
      <c r="Y62" s="33">
        <v>17.189</v>
      </c>
      <c r="Z62" s="33">
        <v>18.804000000000002</v>
      </c>
      <c r="AA62" s="33">
        <v>17.292999999999999</v>
      </c>
      <c r="AB62" s="33">
        <v>19.25</v>
      </c>
      <c r="AC62" s="33">
        <v>17.242000000000001</v>
      </c>
      <c r="AD62" s="33">
        <v>18.239000000000001</v>
      </c>
      <c r="AE62" s="33">
        <v>17.439</v>
      </c>
      <c r="AF62" s="33">
        <v>17.283999999999999</v>
      </c>
      <c r="AG62" s="33">
        <v>16.222999999999999</v>
      </c>
      <c r="AH62" s="33">
        <v>16.764448999999999</v>
      </c>
      <c r="AI62" s="33">
        <v>17.982558999999998</v>
      </c>
      <c r="AJ62" s="34">
        <v>0.106</v>
      </c>
      <c r="AK62" s="33">
        <v>0.112</v>
      </c>
      <c r="AL62" s="33">
        <v>0.13200000000000001</v>
      </c>
      <c r="AM62" s="33">
        <v>0.15</v>
      </c>
      <c r="AN62" s="33">
        <v>0.14499999999999999</v>
      </c>
      <c r="AO62" s="33">
        <v>0.13700000000000001</v>
      </c>
      <c r="AP62" s="33">
        <v>0.151</v>
      </c>
      <c r="AQ62" s="33">
        <v>0.158</v>
      </c>
      <c r="AR62" s="33">
        <v>0.16300000000000001</v>
      </c>
      <c r="AS62" s="33">
        <v>0.151</v>
      </c>
      <c r="AT62" s="33">
        <v>0.14699999999999999</v>
      </c>
      <c r="AU62" s="33">
        <v>0.14599999999999999</v>
      </c>
      <c r="AV62" s="33">
        <v>0.14799999999999999</v>
      </c>
      <c r="AW62" s="33">
        <v>0.14799999999999999</v>
      </c>
      <c r="AX62" s="33">
        <v>0.13100000000000001</v>
      </c>
      <c r="AY62" s="33">
        <v>0.10199999999999999</v>
      </c>
      <c r="AZ62" s="33">
        <v>0.17899999999999999</v>
      </c>
      <c r="BA62" s="33">
        <v>0.21099999999999999</v>
      </c>
      <c r="BB62" s="33">
        <v>0.313</v>
      </c>
      <c r="BC62" s="33">
        <v>0.30599999999999999</v>
      </c>
      <c r="BD62" s="33">
        <v>0.308</v>
      </c>
      <c r="BE62" s="33">
        <v>0.248</v>
      </c>
      <c r="BF62" s="33">
        <v>0.29495499999999997</v>
      </c>
      <c r="BG62" s="33">
        <v>0.27100000000000002</v>
      </c>
      <c r="BH62" s="33">
        <v>0.36299999999999999</v>
      </c>
      <c r="BI62" s="33">
        <v>0.33800000000000002</v>
      </c>
      <c r="BJ62" s="33">
        <v>0.24299999999999999</v>
      </c>
      <c r="BK62" s="33">
        <v>0.70899999999999996</v>
      </c>
      <c r="BL62" s="33">
        <v>0.29399999999999998</v>
      </c>
      <c r="BM62" s="30">
        <v>0.32800000000000001</v>
      </c>
      <c r="BN62" s="30">
        <v>0.56299999999999994</v>
      </c>
      <c r="BO62" s="264">
        <v>0.70599999999999996</v>
      </c>
      <c r="BP62" s="33">
        <v>0.72575000000000001</v>
      </c>
      <c r="BQ62" s="33">
        <v>0.83398499999999998</v>
      </c>
      <c r="BR62" s="34" t="s">
        <v>37</v>
      </c>
      <c r="BS62" s="33">
        <v>0.72</v>
      </c>
      <c r="BT62" s="33">
        <v>0.85299999999999998</v>
      </c>
      <c r="BU62" s="33">
        <v>0.72463200000000005</v>
      </c>
      <c r="BV62" s="33">
        <v>0.78600000000000003</v>
      </c>
      <c r="BW62" s="33">
        <v>1.6679999999999999</v>
      </c>
      <c r="BX62" s="33">
        <v>2.387</v>
      </c>
      <c r="BY62" s="33">
        <v>1.8</v>
      </c>
      <c r="BZ62" s="33">
        <v>2.3570000000000002</v>
      </c>
      <c r="CA62" s="33">
        <v>2.8050000000000002</v>
      </c>
      <c r="CB62" s="33">
        <v>2.35</v>
      </c>
      <c r="CC62" s="33">
        <v>2.5529999999999999</v>
      </c>
      <c r="CD62" s="33">
        <v>2.95</v>
      </c>
      <c r="CE62" s="33">
        <v>3.2534299999999998</v>
      </c>
      <c r="CF62" s="33">
        <v>2.504724</v>
      </c>
      <c r="CG62" s="35">
        <f t="shared" si="142"/>
        <v>7.22</v>
      </c>
      <c r="CH62" s="36">
        <f t="shared" si="143"/>
        <v>7.67</v>
      </c>
      <c r="CI62" s="36">
        <f t="shared" si="144"/>
        <v>8.02</v>
      </c>
      <c r="CJ62" s="36">
        <f t="shared" si="145"/>
        <v>8.2560000000000002</v>
      </c>
      <c r="CK62" s="36">
        <f t="shared" si="146"/>
        <v>8.3870000000000005</v>
      </c>
      <c r="CL62" s="36">
        <f t="shared" si="147"/>
        <v>9.5630000000000006</v>
      </c>
      <c r="CM62" s="36">
        <f t="shared" si="148"/>
        <v>11.172000000000001</v>
      </c>
      <c r="CN62" s="36">
        <f t="shared" si="149"/>
        <v>10.965</v>
      </c>
      <c r="CO62" s="36">
        <f t="shared" si="150"/>
        <v>11.292</v>
      </c>
      <c r="CP62" s="36">
        <f t="shared" si="151"/>
        <v>11.270999999999999</v>
      </c>
      <c r="CQ62" s="36">
        <f t="shared" si="152"/>
        <v>11.314</v>
      </c>
      <c r="CR62" s="36">
        <f t="shared" si="153"/>
        <v>11.934000000000001</v>
      </c>
      <c r="CS62" s="36">
        <f t="shared" si="154"/>
        <v>12.013</v>
      </c>
      <c r="CT62" s="36">
        <f t="shared" si="155"/>
        <v>11.456999999999999</v>
      </c>
      <c r="CU62" s="36">
        <f t="shared" si="156"/>
        <v>12.456</v>
      </c>
      <c r="CV62" s="36">
        <f t="shared" si="157"/>
        <v>12.862</v>
      </c>
      <c r="CW62" s="36">
        <f t="shared" si="158"/>
        <v>13.918000000000001</v>
      </c>
      <c r="CX62" s="36">
        <f t="shared" si="159"/>
        <v>14.538</v>
      </c>
      <c r="CY62" s="36">
        <f t="shared" si="160"/>
        <v>15.858000000000001</v>
      </c>
      <c r="CZ62" s="36">
        <f t="shared" si="161"/>
        <v>16.531000000000002</v>
      </c>
      <c r="DA62" s="36">
        <f t="shared" si="162"/>
        <v>17.885999999999999</v>
      </c>
      <c r="DB62" s="36">
        <f t="shared" si="163"/>
        <v>16.791</v>
      </c>
      <c r="DC62" s="36">
        <f t="shared" si="164"/>
        <v>18.479024000000003</v>
      </c>
      <c r="DD62" s="36">
        <f t="shared" si="165"/>
        <v>18.246000000000002</v>
      </c>
      <c r="DE62" s="36">
        <f t="shared" si="166"/>
        <v>20.835000000000001</v>
      </c>
      <c r="DF62" s="36">
        <f t="shared" si="167"/>
        <v>20.018000000000001</v>
      </c>
      <c r="DG62" s="36">
        <f t="shared" si="168"/>
        <v>21.292999999999999</v>
      </c>
      <c r="DH62" s="36">
        <f t="shared" si="169"/>
        <v>20.308</v>
      </c>
      <c r="DI62" s="36">
        <f t="shared" si="170"/>
        <v>21.338000000000001</v>
      </c>
      <c r="DJ62" s="36">
        <f t="shared" si="171"/>
        <v>20.117000000000001</v>
      </c>
      <c r="DK62" s="36">
        <f t="shared" si="172"/>
        <v>20.399999999999999</v>
      </c>
      <c r="DL62" s="36">
        <f t="shared" si="173"/>
        <v>19.878999999999998</v>
      </c>
      <c r="DM62" s="36">
        <f t="shared" si="174"/>
        <v>20.743628999999999</v>
      </c>
      <c r="DN62" s="36">
        <f t="shared" si="174"/>
        <v>21.321267999999996</v>
      </c>
      <c r="EO62" s="22"/>
      <c r="EP62" s="22"/>
      <c r="EQ62" s="22"/>
      <c r="ER62" s="22"/>
      <c r="ES62" s="22"/>
    </row>
    <row r="63" spans="1:149">
      <c r="A63" s="47" t="s">
        <v>91</v>
      </c>
      <c r="B63" s="48">
        <v>0.876</v>
      </c>
      <c r="C63" s="48">
        <v>0.95899999999999996</v>
      </c>
      <c r="D63" s="48">
        <v>1.1060000000000001</v>
      </c>
      <c r="E63" s="48">
        <v>1.0589999999999999</v>
      </c>
      <c r="F63" s="48">
        <v>1.1060000000000001</v>
      </c>
      <c r="G63" s="48">
        <v>1.075</v>
      </c>
      <c r="H63" s="48">
        <v>1.069</v>
      </c>
      <c r="I63" s="48">
        <v>0.97399999999999998</v>
      </c>
      <c r="J63" s="48">
        <v>0.97</v>
      </c>
      <c r="K63" s="48">
        <v>1.0149999999999999</v>
      </c>
      <c r="L63" s="48">
        <v>1.022</v>
      </c>
      <c r="M63" s="48">
        <v>1.022</v>
      </c>
      <c r="N63" s="48">
        <v>0.93899999999999995</v>
      </c>
      <c r="O63" s="48">
        <v>0.93899999999999995</v>
      </c>
      <c r="P63" s="48">
        <v>0.93899999999999995</v>
      </c>
      <c r="Q63" s="48">
        <v>0.72799999999999998</v>
      </c>
      <c r="R63" s="48">
        <v>0.74299999999999999</v>
      </c>
      <c r="S63" s="48">
        <v>0.78100000000000003</v>
      </c>
      <c r="T63" s="48">
        <v>1.321</v>
      </c>
      <c r="U63" s="48">
        <f>((W63-T63)/3)+T63</f>
        <v>1.8066666666666666</v>
      </c>
      <c r="V63" s="48">
        <f>((X63-U63)/3)+U63</f>
        <v>2.3111877777777776</v>
      </c>
      <c r="W63" s="48">
        <v>2.778</v>
      </c>
      <c r="X63" s="48">
        <v>3.32023</v>
      </c>
      <c r="Y63" s="48">
        <v>4.399</v>
      </c>
      <c r="Z63" s="48">
        <v>2.9420000000000002</v>
      </c>
      <c r="AA63" s="48">
        <v>34.209000000000003</v>
      </c>
      <c r="AB63" s="48">
        <v>1.9159999999999999</v>
      </c>
      <c r="AC63" s="48">
        <v>2.0840000000000001</v>
      </c>
      <c r="AD63" s="48">
        <v>1.512</v>
      </c>
      <c r="AE63" s="48">
        <v>1.177</v>
      </c>
      <c r="AF63" s="261">
        <v>1.1970000000000001</v>
      </c>
      <c r="AG63" s="48">
        <v>0.95</v>
      </c>
      <c r="AH63" s="48">
        <v>0.74577099999999996</v>
      </c>
      <c r="AI63" s="48">
        <v>1.070017</v>
      </c>
      <c r="AJ63" s="49" t="s">
        <v>37</v>
      </c>
      <c r="AK63" s="48">
        <v>0.14699999999999999</v>
      </c>
      <c r="AL63" s="48" t="s">
        <v>37</v>
      </c>
      <c r="AM63" s="48" t="s">
        <v>37</v>
      </c>
      <c r="AN63" s="48" t="s">
        <v>37</v>
      </c>
      <c r="AO63" s="48" t="s">
        <v>37</v>
      </c>
      <c r="AP63" s="48" t="s">
        <v>37</v>
      </c>
      <c r="AQ63" s="48" t="s">
        <v>37</v>
      </c>
      <c r="AR63" s="48">
        <v>0.04</v>
      </c>
      <c r="AS63" s="48">
        <v>5.2999999999999999E-2</v>
      </c>
      <c r="AT63" s="48">
        <v>5.3999999999999999E-2</v>
      </c>
      <c r="AU63" s="48">
        <v>5.3499999999999999E-2</v>
      </c>
      <c r="AV63" s="48">
        <v>6.8000000000000005E-2</v>
      </c>
      <c r="AW63" s="48">
        <v>6.8000000000000005E-2</v>
      </c>
      <c r="AX63" s="48">
        <v>6.8000000000000005E-2</v>
      </c>
      <c r="AY63" s="48">
        <v>1.4999999999999999E-2</v>
      </c>
      <c r="AZ63" s="48" t="s">
        <v>37</v>
      </c>
      <c r="BA63" s="48" t="s">
        <v>37</v>
      </c>
      <c r="BB63" s="48" t="s">
        <v>37</v>
      </c>
      <c r="BC63" s="48" t="s">
        <v>37</v>
      </c>
      <c r="BD63" s="48" t="s">
        <v>37</v>
      </c>
      <c r="BE63" s="48" t="s">
        <v>37</v>
      </c>
      <c r="BF63" s="48" t="s">
        <v>37</v>
      </c>
      <c r="BG63" s="48" t="s">
        <v>37</v>
      </c>
      <c r="BH63" s="48" t="s">
        <v>37</v>
      </c>
      <c r="BI63" s="48" t="s">
        <v>37</v>
      </c>
      <c r="BJ63" s="33" t="s">
        <v>45</v>
      </c>
      <c r="BK63" s="33" t="s">
        <v>45</v>
      </c>
      <c r="BL63" s="33" t="s">
        <v>45</v>
      </c>
      <c r="BM63" s="33" t="s">
        <v>45</v>
      </c>
      <c r="BN63" s="33" t="s">
        <v>45</v>
      </c>
      <c r="BO63" s="264" t="s">
        <v>45</v>
      </c>
      <c r="BP63" s="33" t="s">
        <v>45</v>
      </c>
      <c r="BQ63" s="33" t="s">
        <v>45</v>
      </c>
      <c r="BR63" s="49">
        <v>1.6</v>
      </c>
      <c r="BS63" s="48" t="s">
        <v>37</v>
      </c>
      <c r="BT63" s="48" t="s">
        <v>37</v>
      </c>
      <c r="BU63" s="48" t="s">
        <v>37</v>
      </c>
      <c r="BV63" s="48" t="s">
        <v>37</v>
      </c>
      <c r="BW63" s="48" t="s">
        <v>37</v>
      </c>
      <c r="BX63" s="48" t="s">
        <v>37</v>
      </c>
      <c r="BY63" s="48" t="s">
        <v>45</v>
      </c>
      <c r="BZ63" s="48" t="s">
        <v>45</v>
      </c>
      <c r="CA63" s="48" t="s">
        <v>45</v>
      </c>
      <c r="CB63" s="48" t="s">
        <v>45</v>
      </c>
      <c r="CC63" s="48" t="s">
        <v>45</v>
      </c>
      <c r="CD63" s="261" t="s">
        <v>45</v>
      </c>
      <c r="CE63" s="48" t="s">
        <v>45</v>
      </c>
      <c r="CF63" s="48" t="s">
        <v>45</v>
      </c>
      <c r="CG63" s="20">
        <f t="shared" si="142"/>
        <v>0.876</v>
      </c>
      <c r="CH63" s="21">
        <f t="shared" si="143"/>
        <v>1.1059999999999999</v>
      </c>
      <c r="CI63" s="21">
        <f t="shared" si="144"/>
        <v>1.1060000000000001</v>
      </c>
      <c r="CJ63" s="21">
        <f t="shared" si="145"/>
        <v>1.0589999999999999</v>
      </c>
      <c r="CK63" s="21">
        <f t="shared" si="146"/>
        <v>1.1060000000000001</v>
      </c>
      <c r="CL63" s="21">
        <f t="shared" si="147"/>
        <v>1.075</v>
      </c>
      <c r="CM63" s="21">
        <f t="shared" si="148"/>
        <v>1.069</v>
      </c>
      <c r="CN63" s="21">
        <f t="shared" si="149"/>
        <v>0.97399999999999998</v>
      </c>
      <c r="CO63" s="21">
        <f t="shared" si="150"/>
        <v>1.01</v>
      </c>
      <c r="CP63" s="21">
        <f t="shared" si="151"/>
        <v>1.0679999999999998</v>
      </c>
      <c r="CQ63" s="21">
        <f t="shared" si="152"/>
        <v>1.0760000000000001</v>
      </c>
      <c r="CR63" s="21">
        <f t="shared" si="153"/>
        <v>1.0755000000000001</v>
      </c>
      <c r="CS63" s="21">
        <f t="shared" si="154"/>
        <v>1.0069999999999999</v>
      </c>
      <c r="CT63" s="21">
        <f t="shared" si="155"/>
        <v>1.0069999999999999</v>
      </c>
      <c r="CU63" s="21">
        <f t="shared" si="156"/>
        <v>1.0069999999999999</v>
      </c>
      <c r="CV63" s="21">
        <f t="shared" si="157"/>
        <v>0.74299999999999999</v>
      </c>
      <c r="CW63" s="21">
        <f t="shared" si="158"/>
        <v>0.74299999999999999</v>
      </c>
      <c r="CX63" s="21">
        <f t="shared" si="159"/>
        <v>0.78100000000000003</v>
      </c>
      <c r="CY63" s="21">
        <f t="shared" si="160"/>
        <v>1.321</v>
      </c>
      <c r="CZ63" s="21">
        <f t="shared" si="161"/>
        <v>3.4066666666666667</v>
      </c>
      <c r="DA63" s="21">
        <f t="shared" si="162"/>
        <v>2.3111877777777776</v>
      </c>
      <c r="DB63" s="21">
        <f t="shared" si="163"/>
        <v>2.778</v>
      </c>
      <c r="DC63" s="21">
        <f t="shared" si="164"/>
        <v>3.32023</v>
      </c>
      <c r="DD63" s="21">
        <f t="shared" si="165"/>
        <v>4.399</v>
      </c>
      <c r="DE63" s="21">
        <f t="shared" si="166"/>
        <v>2.9420000000000002</v>
      </c>
      <c r="DF63" s="21">
        <f t="shared" si="167"/>
        <v>34.209000000000003</v>
      </c>
      <c r="DG63" s="21">
        <f t="shared" si="168"/>
        <v>1.9159999999999999</v>
      </c>
      <c r="DH63" s="21">
        <f t="shared" si="169"/>
        <v>2.0840000000000001</v>
      </c>
      <c r="DI63" s="21">
        <f t="shared" si="170"/>
        <v>1.512</v>
      </c>
      <c r="DJ63" s="21">
        <f t="shared" si="171"/>
        <v>1.177</v>
      </c>
      <c r="DK63" s="21">
        <f t="shared" si="172"/>
        <v>1.1970000000000001</v>
      </c>
      <c r="DL63" s="21">
        <f t="shared" si="173"/>
        <v>0.95</v>
      </c>
      <c r="DM63" s="21">
        <f t="shared" si="174"/>
        <v>0.74577099999999996</v>
      </c>
      <c r="DN63" s="21">
        <f t="shared" si="174"/>
        <v>1.070017</v>
      </c>
      <c r="EO63" s="22"/>
      <c r="EP63" s="22"/>
      <c r="EQ63" s="22"/>
      <c r="ER63" s="22"/>
      <c r="ES63" s="22"/>
    </row>
    <row r="65" spans="2:149" ht="251.25" customHeight="1">
      <c r="B65" s="50" t="s">
        <v>92</v>
      </c>
      <c r="C65" s="50" t="s">
        <v>93</v>
      </c>
      <c r="D65" s="50" t="s">
        <v>94</v>
      </c>
      <c r="E65" s="50" t="s">
        <v>95</v>
      </c>
      <c r="F65" s="50" t="s">
        <v>96</v>
      </c>
      <c r="G65" s="50" t="s">
        <v>97</v>
      </c>
      <c r="H65" s="50" t="s">
        <v>98</v>
      </c>
      <c r="I65" s="50" t="s">
        <v>99</v>
      </c>
      <c r="J65" s="50" t="s">
        <v>100</v>
      </c>
      <c r="K65" s="50" t="s">
        <v>101</v>
      </c>
      <c r="L65" s="50" t="s">
        <v>102</v>
      </c>
      <c r="M65" s="50" t="s">
        <v>103</v>
      </c>
      <c r="N65" s="50" t="s">
        <v>104</v>
      </c>
      <c r="O65" s="50" t="s">
        <v>105</v>
      </c>
      <c r="P65" s="50" t="s">
        <v>106</v>
      </c>
      <c r="Q65" s="50" t="s">
        <v>107</v>
      </c>
      <c r="R65" s="50" t="s">
        <v>108</v>
      </c>
      <c r="S65" s="50" t="s">
        <v>109</v>
      </c>
      <c r="T65" s="50" t="s">
        <v>110</v>
      </c>
      <c r="U65" s="50" t="s">
        <v>111</v>
      </c>
      <c r="V65" s="50" t="s">
        <v>112</v>
      </c>
      <c r="W65" s="50" t="s">
        <v>113</v>
      </c>
      <c r="X65" s="50" t="s">
        <v>114</v>
      </c>
      <c r="Y65" s="50" t="s">
        <v>115</v>
      </c>
      <c r="Z65" s="50" t="s">
        <v>116</v>
      </c>
      <c r="AA65" s="50" t="s">
        <v>117</v>
      </c>
      <c r="AB65" s="50" t="s">
        <v>195</v>
      </c>
      <c r="AC65" s="50" t="s">
        <v>196</v>
      </c>
      <c r="AD65" s="50" t="s">
        <v>199</v>
      </c>
      <c r="AE65" s="50" t="s">
        <v>203</v>
      </c>
      <c r="AF65" s="50" t="s">
        <v>208</v>
      </c>
      <c r="AG65" s="50" t="s">
        <v>211</v>
      </c>
      <c r="AH65" s="50" t="s">
        <v>218</v>
      </c>
      <c r="AI65" s="50" t="s">
        <v>223</v>
      </c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217"/>
      <c r="CH65" s="217"/>
      <c r="CI65" s="217"/>
      <c r="CJ65" s="217"/>
      <c r="CK65" s="217"/>
      <c r="CL65" s="217"/>
      <c r="CM65" s="217"/>
      <c r="CN65" s="217"/>
      <c r="CO65" s="217"/>
      <c r="CP65" s="217"/>
      <c r="CQ65" s="217"/>
      <c r="CR65" s="217"/>
      <c r="CS65" s="217"/>
      <c r="CT65" s="217"/>
      <c r="CU65" s="217"/>
      <c r="CV65" s="217"/>
      <c r="CW65" s="217"/>
      <c r="CX65" s="217"/>
      <c r="CY65" s="217"/>
      <c r="CZ65" s="217"/>
      <c r="DA65" s="217"/>
      <c r="DB65" s="217"/>
      <c r="DC65" s="217"/>
      <c r="DD65" s="217"/>
      <c r="DE65" s="217"/>
      <c r="DF65" s="217"/>
      <c r="DG65" s="217"/>
      <c r="EO65" s="5"/>
      <c r="EP65" s="5"/>
      <c r="EQ65" s="5"/>
      <c r="ER65" s="5"/>
      <c r="ES65" s="5"/>
    </row>
    <row r="66" spans="2:149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02"/>
      <c r="CH66" s="202"/>
      <c r="CI66" s="202"/>
      <c r="CJ66" s="202"/>
      <c r="CK66" s="202"/>
      <c r="CL66" s="202"/>
      <c r="CM66" s="202"/>
      <c r="CN66" s="202"/>
      <c r="CO66" s="202"/>
      <c r="CP66" s="202"/>
      <c r="CQ66" s="202"/>
      <c r="CR66" s="202"/>
      <c r="CS66" s="202"/>
      <c r="CT66" s="202"/>
      <c r="CU66" s="202"/>
      <c r="CV66" s="202"/>
      <c r="CW66" s="202"/>
      <c r="CX66" s="202"/>
      <c r="CY66" s="202"/>
      <c r="CZ66" s="202"/>
      <c r="DA66" s="202"/>
      <c r="DB66" s="202"/>
      <c r="DC66" s="202"/>
      <c r="DD66" s="202"/>
      <c r="DE66" s="202"/>
      <c r="DF66" s="202"/>
      <c r="DG66" s="202"/>
    </row>
    <row r="67" spans="2:149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02"/>
      <c r="CH67" s="202"/>
      <c r="CI67" s="202"/>
      <c r="CJ67" s="202"/>
      <c r="CK67" s="202"/>
      <c r="CL67" s="202"/>
      <c r="CM67" s="202"/>
      <c r="CN67" s="202"/>
      <c r="CO67" s="202"/>
      <c r="CP67" s="202"/>
      <c r="CQ67" s="202"/>
      <c r="CR67" s="202"/>
      <c r="CS67" s="202"/>
      <c r="CT67" s="202"/>
      <c r="CU67" s="202"/>
      <c r="CV67" s="202"/>
      <c r="CW67" s="202"/>
      <c r="CX67" s="202"/>
      <c r="CY67" s="202"/>
      <c r="CZ67" s="202"/>
      <c r="DA67" s="202"/>
      <c r="DB67" s="202"/>
      <c r="DC67" s="202"/>
      <c r="DD67" s="202"/>
      <c r="DE67" s="202"/>
      <c r="DF67" s="202"/>
      <c r="DG67" s="202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CC"/>
  </sheetPr>
  <dimension ref="A1:ES67"/>
  <sheetViews>
    <sheetView zoomScale="80" zoomScaleNormal="80" workbookViewId="0">
      <pane xSplit="1" ySplit="3" topLeftCell="AQ4" activePane="bottomRight" state="frozen"/>
      <selection pane="topRight" activeCell="B1" sqref="B1"/>
      <selection pane="bottomLeft" activeCell="A4" sqref="A4"/>
      <selection pane="bottomRight" activeCell="A35" sqref="A35:XFD35"/>
    </sheetView>
  </sheetViews>
  <sheetFormatPr defaultColWidth="9.140625" defaultRowHeight="12.75"/>
  <cols>
    <col min="1" max="1" width="23.42578125" customWidth="1"/>
    <col min="2" max="34" width="9.7109375" style="8" customWidth="1"/>
    <col min="35" max="35" width="10.5703125" style="8" customWidth="1"/>
    <col min="36" max="68" width="9.7109375" style="8" customWidth="1"/>
    <col min="69" max="69" width="10.5703125" style="8" customWidth="1"/>
    <col min="70" max="83" width="9.7109375" style="8" customWidth="1"/>
    <col min="84" max="84" width="10.5703125" style="8" customWidth="1"/>
    <col min="85" max="118" width="9.7109375" style="11" customWidth="1"/>
    <col min="119" max="144" width="9.140625" style="5"/>
    <col min="145" max="149" width="9.7109375" style="12" customWidth="1"/>
    <col min="150" max="16384" width="9.140625" style="5"/>
  </cols>
  <sheetData>
    <row r="1" spans="1:149">
      <c r="B1" s="1" t="s">
        <v>118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 t="s">
        <v>119</v>
      </c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3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EO1" s="6"/>
      <c r="EP1" s="6"/>
      <c r="EQ1" s="6"/>
      <c r="ER1" s="6"/>
      <c r="ES1" s="6"/>
    </row>
    <row r="2" spans="1:149">
      <c r="B2" s="7" t="s">
        <v>120</v>
      </c>
      <c r="AJ2" s="9" t="s">
        <v>121</v>
      </c>
      <c r="BR2" s="9" t="s">
        <v>122</v>
      </c>
      <c r="CG2" s="10" t="s">
        <v>123</v>
      </c>
      <c r="DJ2" s="4"/>
      <c r="DK2" s="266"/>
      <c r="DL2" s="4"/>
      <c r="DM2" s="4"/>
      <c r="DN2" s="4"/>
    </row>
    <row r="3" spans="1:149"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3" t="s">
        <v>17</v>
      </c>
      <c r="O3" s="13" t="s">
        <v>18</v>
      </c>
      <c r="P3" s="13" t="s">
        <v>19</v>
      </c>
      <c r="Q3" s="13" t="s">
        <v>20</v>
      </c>
      <c r="R3" s="13" t="s">
        <v>21</v>
      </c>
      <c r="S3" s="13" t="s">
        <v>22</v>
      </c>
      <c r="T3" s="13" t="s">
        <v>23</v>
      </c>
      <c r="U3" s="13" t="s">
        <v>24</v>
      </c>
      <c r="V3" s="13" t="s">
        <v>25</v>
      </c>
      <c r="W3" s="13" t="s">
        <v>26</v>
      </c>
      <c r="X3" s="13" t="s">
        <v>27</v>
      </c>
      <c r="Y3" s="13" t="s">
        <v>28</v>
      </c>
      <c r="Z3" s="13" t="s">
        <v>32</v>
      </c>
      <c r="AA3" s="13" t="s">
        <v>30</v>
      </c>
      <c r="AB3" s="13" t="s">
        <v>31</v>
      </c>
      <c r="AC3" s="13" t="s">
        <v>193</v>
      </c>
      <c r="AD3" s="13" t="s">
        <v>198</v>
      </c>
      <c r="AE3" s="13" t="s">
        <v>202</v>
      </c>
      <c r="AF3" s="13" t="s">
        <v>207</v>
      </c>
      <c r="AG3" s="13" t="s">
        <v>210</v>
      </c>
      <c r="AH3" s="233" t="s">
        <v>217</v>
      </c>
      <c r="AI3" s="295" t="s">
        <v>221</v>
      </c>
      <c r="AJ3" s="14" t="s">
        <v>5</v>
      </c>
      <c r="AK3" s="13" t="s">
        <v>6</v>
      </c>
      <c r="AL3" s="13" t="s">
        <v>7</v>
      </c>
      <c r="AM3" s="13" t="s">
        <v>8</v>
      </c>
      <c r="AN3" s="13" t="s">
        <v>9</v>
      </c>
      <c r="AO3" s="13" t="s">
        <v>10</v>
      </c>
      <c r="AP3" s="13" t="s">
        <v>11</v>
      </c>
      <c r="AQ3" s="13" t="s">
        <v>12</v>
      </c>
      <c r="AR3" s="13" t="s">
        <v>13</v>
      </c>
      <c r="AS3" s="13" t="s">
        <v>14</v>
      </c>
      <c r="AT3" s="13" t="s">
        <v>15</v>
      </c>
      <c r="AU3" s="13" t="s">
        <v>16</v>
      </c>
      <c r="AV3" s="13" t="s">
        <v>17</v>
      </c>
      <c r="AW3" s="13" t="s">
        <v>18</v>
      </c>
      <c r="AX3" s="13" t="s">
        <v>19</v>
      </c>
      <c r="AY3" s="13" t="s">
        <v>20</v>
      </c>
      <c r="AZ3" s="13" t="s">
        <v>21</v>
      </c>
      <c r="BA3" s="13" t="s">
        <v>22</v>
      </c>
      <c r="BB3" s="13" t="s">
        <v>23</v>
      </c>
      <c r="BC3" s="13" t="s">
        <v>24</v>
      </c>
      <c r="BD3" s="13" t="s">
        <v>25</v>
      </c>
      <c r="BE3" s="13" t="s">
        <v>26</v>
      </c>
      <c r="BF3" s="13" t="s">
        <v>27</v>
      </c>
      <c r="BG3" s="13" t="s">
        <v>28</v>
      </c>
      <c r="BH3" s="13" t="s">
        <v>32</v>
      </c>
      <c r="BI3" s="13" t="s">
        <v>30</v>
      </c>
      <c r="BJ3" s="13" t="s">
        <v>31</v>
      </c>
      <c r="BK3" s="13" t="s">
        <v>193</v>
      </c>
      <c r="BL3" s="13" t="s">
        <v>198</v>
      </c>
      <c r="BM3" s="13" t="s">
        <v>202</v>
      </c>
      <c r="BN3" s="13" t="s">
        <v>207</v>
      </c>
      <c r="BO3" s="13" t="s">
        <v>210</v>
      </c>
      <c r="BP3" s="233" t="s">
        <v>217</v>
      </c>
      <c r="BQ3" s="295" t="s">
        <v>221</v>
      </c>
      <c r="BR3" s="14" t="s">
        <v>124</v>
      </c>
      <c r="BS3" s="13" t="s">
        <v>125</v>
      </c>
      <c r="BT3" s="13" t="s">
        <v>126</v>
      </c>
      <c r="BU3" s="13" t="s">
        <v>27</v>
      </c>
      <c r="BV3" s="13" t="s">
        <v>28</v>
      </c>
      <c r="BW3" s="13" t="s">
        <v>29</v>
      </c>
      <c r="BX3" s="13" t="s">
        <v>30</v>
      </c>
      <c r="BY3" s="13" t="s">
        <v>31</v>
      </c>
      <c r="BZ3" s="13" t="s">
        <v>193</v>
      </c>
      <c r="CA3" s="13" t="s">
        <v>198</v>
      </c>
      <c r="CB3" s="13" t="s">
        <v>202</v>
      </c>
      <c r="CC3" s="13" t="s">
        <v>207</v>
      </c>
      <c r="CD3" s="13" t="s">
        <v>210</v>
      </c>
      <c r="CE3" s="233" t="s">
        <v>217</v>
      </c>
      <c r="CF3" s="295" t="s">
        <v>221</v>
      </c>
      <c r="CG3" s="15" t="s">
        <v>5</v>
      </c>
      <c r="CH3" s="16" t="s">
        <v>6</v>
      </c>
      <c r="CI3" s="16" t="s">
        <v>7</v>
      </c>
      <c r="CJ3" s="16" t="s">
        <v>8</v>
      </c>
      <c r="CK3" s="16" t="s">
        <v>9</v>
      </c>
      <c r="CL3" s="16" t="s">
        <v>10</v>
      </c>
      <c r="CM3" s="16" t="s">
        <v>11</v>
      </c>
      <c r="CN3" s="16" t="s">
        <v>12</v>
      </c>
      <c r="CO3" s="16" t="s">
        <v>13</v>
      </c>
      <c r="CP3" s="16" t="s">
        <v>14</v>
      </c>
      <c r="CQ3" s="16" t="s">
        <v>15</v>
      </c>
      <c r="CR3" s="16" t="s">
        <v>16</v>
      </c>
      <c r="CS3" s="16" t="s">
        <v>17</v>
      </c>
      <c r="CT3" s="16" t="s">
        <v>18</v>
      </c>
      <c r="CU3" s="16" t="s">
        <v>19</v>
      </c>
      <c r="CV3" s="16" t="s">
        <v>20</v>
      </c>
      <c r="CW3" s="16" t="s">
        <v>21</v>
      </c>
      <c r="CX3" s="16" t="s">
        <v>22</v>
      </c>
      <c r="CY3" s="16" t="s">
        <v>23</v>
      </c>
      <c r="CZ3" s="16" t="s">
        <v>24</v>
      </c>
      <c r="DA3" s="16" t="s">
        <v>25</v>
      </c>
      <c r="DB3" s="16" t="s">
        <v>26</v>
      </c>
      <c r="DC3" s="16" t="s">
        <v>27</v>
      </c>
      <c r="DD3" s="16" t="s">
        <v>28</v>
      </c>
      <c r="DE3" s="16" t="s">
        <v>29</v>
      </c>
      <c r="DF3" s="16" t="s">
        <v>30</v>
      </c>
      <c r="DG3" s="16" t="s">
        <v>31</v>
      </c>
      <c r="DH3" s="16" t="s">
        <v>193</v>
      </c>
      <c r="DI3" s="16" t="s">
        <v>198</v>
      </c>
      <c r="DJ3" s="11" t="s">
        <v>202</v>
      </c>
      <c r="DK3" s="16" t="s">
        <v>207</v>
      </c>
      <c r="DL3" s="16" t="s">
        <v>210</v>
      </c>
      <c r="DM3" s="234" t="s">
        <v>217</v>
      </c>
      <c r="DN3" s="296" t="s">
        <v>221</v>
      </c>
    </row>
    <row r="4" spans="1:149">
      <c r="A4" s="17" t="s">
        <v>33</v>
      </c>
      <c r="B4" s="18">
        <f>SUM(B5,B23,B38,B52,B63)</f>
        <v>110.88800000000001</v>
      </c>
      <c r="C4" s="18">
        <f t="shared" ref="C4:CI4" si="0">SUM(C5,C23,C38,C52,C63)</f>
        <v>122.679</v>
      </c>
      <c r="D4" s="18">
        <f t="shared" si="0"/>
        <v>127.029</v>
      </c>
      <c r="E4" s="18">
        <f t="shared" si="0"/>
        <v>144.05600000000001</v>
      </c>
      <c r="F4" s="18">
        <f t="shared" si="0"/>
        <v>151.31</v>
      </c>
      <c r="G4" s="18">
        <f t="shared" si="0"/>
        <v>169.81199999999998</v>
      </c>
      <c r="H4" s="18">
        <f t="shared" si="0"/>
        <v>202.09739999999999</v>
      </c>
      <c r="I4" s="18">
        <f t="shared" si="0"/>
        <v>217.46600000000001</v>
      </c>
      <c r="J4" s="18">
        <f t="shared" si="0"/>
        <v>207.03100000000001</v>
      </c>
      <c r="K4" s="18">
        <f t="shared" si="0"/>
        <v>212.87200000000001</v>
      </c>
      <c r="L4" s="18">
        <f t="shared" si="0"/>
        <v>244.48600000000002</v>
      </c>
      <c r="M4" s="18">
        <f t="shared" si="0"/>
        <v>360.85640000000001</v>
      </c>
      <c r="N4" s="18">
        <f t="shared" si="0"/>
        <v>411.52310000000006</v>
      </c>
      <c r="O4" s="18">
        <f t="shared" si="0"/>
        <v>458.51799999999997</v>
      </c>
      <c r="P4" s="18">
        <f t="shared" si="0"/>
        <v>553.95724999999993</v>
      </c>
      <c r="Q4" s="18">
        <f t="shared" si="0"/>
        <v>671.71950000000004</v>
      </c>
      <c r="R4" s="18">
        <f t="shared" si="0"/>
        <v>878.23675000000003</v>
      </c>
      <c r="S4" s="18">
        <f t="shared" si="0"/>
        <v>1089.662</v>
      </c>
      <c r="T4" s="18">
        <f t="shared" si="0"/>
        <v>1209.4389000000001</v>
      </c>
      <c r="U4" s="18">
        <f t="shared" si="0"/>
        <v>1230.0749666666668</v>
      </c>
      <c r="V4" s="18">
        <f t="shared" si="0"/>
        <v>1491.2140333333332</v>
      </c>
      <c r="W4" s="18">
        <f t="shared" si="0"/>
        <v>1739.3146169999998</v>
      </c>
      <c r="X4" s="18">
        <f t="shared" si="0"/>
        <v>1896.5095389999999</v>
      </c>
      <c r="Y4" s="18">
        <f t="shared" si="0"/>
        <v>2080.8202416666668</v>
      </c>
      <c r="Z4" s="18">
        <f t="shared" si="0"/>
        <v>2167.4898333333335</v>
      </c>
      <c r="AA4" s="18">
        <f t="shared" si="0"/>
        <v>2356.3029999999999</v>
      </c>
      <c r="AB4" s="18">
        <f t="shared" si="0"/>
        <v>2423.0950000000003</v>
      </c>
      <c r="AC4" s="18">
        <f t="shared" ref="AC4:AH4" si="1">SUM(AC5,AC23,AC38,AC52,AC63)</f>
        <v>2637.9290000000001</v>
      </c>
      <c r="AD4" s="18">
        <f t="shared" si="1"/>
        <v>2394.328</v>
      </c>
      <c r="AE4" s="18">
        <f t="shared" si="1"/>
        <v>2335.5260000000003</v>
      </c>
      <c r="AF4" s="18">
        <f t="shared" si="1"/>
        <v>2396.357</v>
      </c>
      <c r="AG4" s="18">
        <f t="shared" si="1"/>
        <v>2454.5140000000001</v>
      </c>
      <c r="AH4" s="18">
        <f t="shared" si="1"/>
        <v>2522.762921</v>
      </c>
      <c r="AI4" s="18">
        <f t="shared" ref="AI4" si="2">SUM(AI5,AI23,AI38,AI52,AI63)</f>
        <v>2544.5061140000003</v>
      </c>
      <c r="AJ4" s="19">
        <f t="shared" si="0"/>
        <v>4.7560000000000002</v>
      </c>
      <c r="AK4" s="18">
        <f t="shared" si="0"/>
        <v>9.8659999999999997</v>
      </c>
      <c r="AL4" s="18">
        <f t="shared" si="0"/>
        <v>11.02</v>
      </c>
      <c r="AM4" s="18">
        <f t="shared" si="0"/>
        <v>11.792999999999999</v>
      </c>
      <c r="AN4" s="18">
        <f t="shared" si="0"/>
        <v>14.007249999999999</v>
      </c>
      <c r="AO4" s="18">
        <f t="shared" si="0"/>
        <v>11.779500000000001</v>
      </c>
      <c r="AP4" s="18">
        <f t="shared" si="0"/>
        <v>15.091750000000001</v>
      </c>
      <c r="AQ4" s="18">
        <f t="shared" si="0"/>
        <v>16.216000000000001</v>
      </c>
      <c r="AR4" s="18">
        <f t="shared" si="0"/>
        <v>13.290499999999998</v>
      </c>
      <c r="AS4" s="18">
        <f t="shared" si="0"/>
        <v>12.725</v>
      </c>
      <c r="AT4" s="18">
        <f t="shared" si="0"/>
        <v>11.456</v>
      </c>
      <c r="AU4" s="18">
        <f t="shared" si="0"/>
        <v>35.936</v>
      </c>
      <c r="AV4" s="18">
        <f t="shared" si="0"/>
        <v>23.553000000000001</v>
      </c>
      <c r="AW4" s="18">
        <f t="shared" si="0"/>
        <v>29.799000000000003</v>
      </c>
      <c r="AX4" s="18">
        <f t="shared" si="0"/>
        <v>51.275799999999997</v>
      </c>
      <c r="AY4" s="18">
        <f t="shared" si="0"/>
        <v>49.747000000000007</v>
      </c>
      <c r="AZ4" s="18">
        <f t="shared" si="0"/>
        <v>52.083050000000007</v>
      </c>
      <c r="BA4" s="18">
        <f t="shared" si="0"/>
        <v>51.018500000000003</v>
      </c>
      <c r="BB4" s="18">
        <f t="shared" si="0"/>
        <v>68.644916666666674</v>
      </c>
      <c r="BC4" s="18">
        <f t="shared" si="0"/>
        <v>33.637333333333338</v>
      </c>
      <c r="BD4" s="18">
        <f t="shared" si="0"/>
        <v>25.311</v>
      </c>
      <c r="BE4" s="18">
        <f t="shared" si="0"/>
        <v>27.201499999999999</v>
      </c>
      <c r="BF4" s="18">
        <f t="shared" si="0"/>
        <v>28.858714000000003</v>
      </c>
      <c r="BG4" s="18">
        <f t="shared" si="0"/>
        <v>32.901999999999994</v>
      </c>
      <c r="BH4" s="18">
        <f t="shared" si="0"/>
        <v>32.96</v>
      </c>
      <c r="BI4" s="18">
        <f t="shared" si="0"/>
        <v>36.965000000000003</v>
      </c>
      <c r="BJ4" s="18">
        <f t="shared" si="0"/>
        <v>33.298499999999997</v>
      </c>
      <c r="BK4" s="18">
        <f t="shared" ref="BK4:BP4" si="3">SUM(BK5,BK23,BK38,BK52,BK63)</f>
        <v>29.854000000000003</v>
      </c>
      <c r="BL4" s="18">
        <f t="shared" si="3"/>
        <v>35.337999999999994</v>
      </c>
      <c r="BM4" s="18">
        <f t="shared" si="3"/>
        <v>29.090999999999998</v>
      </c>
      <c r="BN4" s="18">
        <f t="shared" si="3"/>
        <v>32.701000000000001</v>
      </c>
      <c r="BO4" s="18">
        <f t="shared" si="3"/>
        <v>25.384</v>
      </c>
      <c r="BP4" s="18">
        <f t="shared" si="3"/>
        <v>36.529693999999999</v>
      </c>
      <c r="BQ4" s="18">
        <f t="shared" ref="BQ4" si="4">SUM(BQ5,BQ23,BQ38,BQ52,BQ63)</f>
        <v>42.892358000000002</v>
      </c>
      <c r="BR4" s="19">
        <f t="shared" si="0"/>
        <v>321.005</v>
      </c>
      <c r="BS4" s="18">
        <f t="shared" si="0"/>
        <v>149.28050000000002</v>
      </c>
      <c r="BT4" s="18">
        <f t="shared" si="0"/>
        <v>13.9795</v>
      </c>
      <c r="BU4" s="18">
        <f t="shared" si="0"/>
        <v>9.4166089999999976</v>
      </c>
      <c r="BV4" s="18">
        <f t="shared" si="0"/>
        <v>16.045000000000002</v>
      </c>
      <c r="BW4" s="18">
        <f t="shared" si="0"/>
        <v>10.776999999999999</v>
      </c>
      <c r="BX4" s="18">
        <f t="shared" si="0"/>
        <v>8.761000000000001</v>
      </c>
      <c r="BY4" s="18">
        <f t="shared" si="0"/>
        <v>4.0150000000000006</v>
      </c>
      <c r="BZ4" s="18">
        <f t="shared" ref="BZ4:CE4" si="5">SUM(BZ5,BZ23,BZ38,BZ52,BZ63)</f>
        <v>7.1509999999999998</v>
      </c>
      <c r="CA4" s="18">
        <f t="shared" si="5"/>
        <v>15.209</v>
      </c>
      <c r="CB4" s="18">
        <f t="shared" si="5"/>
        <v>25.986999999999998</v>
      </c>
      <c r="CC4" s="18">
        <f t="shared" si="5"/>
        <v>17.863</v>
      </c>
      <c r="CD4" s="18">
        <f t="shared" si="5"/>
        <v>16.121000000000002</v>
      </c>
      <c r="CE4" s="18">
        <f t="shared" si="5"/>
        <v>17.012705</v>
      </c>
      <c r="CF4" s="18">
        <f t="shared" ref="CF4" si="6">SUM(CF5,CF23,CF38,CF52,CF63)</f>
        <v>6.5657719999999999</v>
      </c>
      <c r="CG4" s="20">
        <f t="shared" si="0"/>
        <v>115.64400000000001</v>
      </c>
      <c r="CH4" s="21">
        <f t="shared" si="0"/>
        <v>132.54500000000002</v>
      </c>
      <c r="CI4" s="21">
        <f t="shared" si="0"/>
        <v>138.04899999999998</v>
      </c>
      <c r="CJ4" s="21">
        <f t="shared" ref="CJ4:DG4" si="7">SUM(CJ5,CJ23,CJ38,CJ52,CJ63)</f>
        <v>155.84899999999999</v>
      </c>
      <c r="CK4" s="21">
        <f t="shared" si="7"/>
        <v>165.31725000000003</v>
      </c>
      <c r="CL4" s="21">
        <f t="shared" si="7"/>
        <v>181.5915</v>
      </c>
      <c r="CM4" s="21">
        <f t="shared" si="7"/>
        <v>217.18914999999998</v>
      </c>
      <c r="CN4" s="21">
        <f t="shared" si="7"/>
        <v>233.68200000000002</v>
      </c>
      <c r="CO4" s="21">
        <f t="shared" si="7"/>
        <v>220.32149999999996</v>
      </c>
      <c r="CP4" s="21">
        <f t="shared" si="7"/>
        <v>225.59699999999998</v>
      </c>
      <c r="CQ4" s="21">
        <f t="shared" si="7"/>
        <v>255.94200000000001</v>
      </c>
      <c r="CR4" s="21">
        <f t="shared" si="7"/>
        <v>396.79240000000004</v>
      </c>
      <c r="CS4" s="21">
        <f t="shared" si="7"/>
        <v>435.0761</v>
      </c>
      <c r="CT4" s="21">
        <f t="shared" si="7"/>
        <v>488.31700000000006</v>
      </c>
      <c r="CU4" s="21">
        <f t="shared" si="7"/>
        <v>605.23304999999993</v>
      </c>
      <c r="CV4" s="21">
        <f t="shared" si="7"/>
        <v>721.46650000000011</v>
      </c>
      <c r="CW4" s="21">
        <f t="shared" si="7"/>
        <v>930.3198000000001</v>
      </c>
      <c r="CX4" s="21">
        <f t="shared" si="7"/>
        <v>1140.6805000000002</v>
      </c>
      <c r="CY4" s="21">
        <f t="shared" si="7"/>
        <v>1278.0838166666667</v>
      </c>
      <c r="CZ4" s="21">
        <f t="shared" si="7"/>
        <v>1584.7172999999996</v>
      </c>
      <c r="DA4" s="21">
        <f t="shared" si="7"/>
        <v>1665.8055333333325</v>
      </c>
      <c r="DB4" s="21">
        <f t="shared" si="7"/>
        <v>1780.495617</v>
      </c>
      <c r="DC4" s="21">
        <f t="shared" si="7"/>
        <v>1934.784862</v>
      </c>
      <c r="DD4" s="21">
        <f t="shared" si="7"/>
        <v>2129.7672416666665</v>
      </c>
      <c r="DE4" s="21">
        <f t="shared" si="7"/>
        <v>2211.2268333333336</v>
      </c>
      <c r="DF4" s="21">
        <f t="shared" si="7"/>
        <v>2402.0289999999995</v>
      </c>
      <c r="DG4" s="21">
        <f t="shared" si="7"/>
        <v>2460.4084999999995</v>
      </c>
      <c r="DH4" s="21">
        <f>SUM(DH5,DH23,DH38,DH52,DH63)</f>
        <v>2674.9339999999997</v>
      </c>
      <c r="DI4" s="21">
        <f>SUM(DI5,DI23,DI38,DI52,DI63)</f>
        <v>2444.875</v>
      </c>
      <c r="DJ4" s="21">
        <f t="shared" ref="DJ4:DK4" si="8">SUM(DJ5,DJ23,DJ38,DJ52,DJ63)</f>
        <v>2390.6039999999998</v>
      </c>
      <c r="DK4" s="21">
        <f t="shared" si="8"/>
        <v>2446.9209999999998</v>
      </c>
      <c r="DL4" s="21">
        <f t="shared" ref="DL4:DM4" si="9">SUM(DL5,DL23,DL38,DL52,DL63)</f>
        <v>2496.0190000000002</v>
      </c>
      <c r="DM4" s="21">
        <f t="shared" si="9"/>
        <v>2576.3053199999995</v>
      </c>
      <c r="DN4" s="21">
        <f t="shared" ref="DN4" si="10">SUM(DN5,DN23,DN38,DN52,DN63)</f>
        <v>2593.9642440000002</v>
      </c>
      <c r="EO4" s="22"/>
      <c r="EP4" s="22"/>
      <c r="EQ4" s="22"/>
      <c r="ER4" s="22"/>
      <c r="ES4" s="22"/>
    </row>
    <row r="5" spans="1:149">
      <c r="A5" s="23" t="s">
        <v>34</v>
      </c>
      <c r="B5" s="24">
        <f>SUM(B7:B22)</f>
        <v>61.951999999999998</v>
      </c>
      <c r="C5" s="24">
        <f t="shared" ref="C5:CI5" si="11">SUM(C7:C22)</f>
        <v>62.739000000000004</v>
      </c>
      <c r="D5" s="24">
        <f t="shared" si="11"/>
        <v>68.769000000000005</v>
      </c>
      <c r="E5" s="24">
        <f t="shared" si="11"/>
        <v>74.204000000000008</v>
      </c>
      <c r="F5" s="24">
        <f t="shared" si="11"/>
        <v>78.474999999999994</v>
      </c>
      <c r="G5" s="24">
        <f t="shared" si="11"/>
        <v>93.562999999999988</v>
      </c>
      <c r="H5" s="24">
        <f t="shared" si="11"/>
        <v>104.01</v>
      </c>
      <c r="I5" s="24">
        <f t="shared" si="11"/>
        <v>115.03099999999999</v>
      </c>
      <c r="J5" s="24">
        <f t="shared" si="11"/>
        <v>118.76600000000001</v>
      </c>
      <c r="K5" s="24">
        <f t="shared" si="11"/>
        <v>128.59900000000002</v>
      </c>
      <c r="L5" s="24">
        <f t="shared" si="11"/>
        <v>158.68100000000001</v>
      </c>
      <c r="M5" s="24">
        <f t="shared" si="11"/>
        <v>251.23399999999995</v>
      </c>
      <c r="N5" s="24">
        <f t="shared" si="11"/>
        <v>300.06060000000002</v>
      </c>
      <c r="O5" s="24">
        <f t="shared" si="11"/>
        <v>340.048</v>
      </c>
      <c r="P5" s="24">
        <f t="shared" si="11"/>
        <v>413.09799999999996</v>
      </c>
      <c r="Q5" s="24">
        <f t="shared" si="11"/>
        <v>520.69799999999998</v>
      </c>
      <c r="R5" s="24">
        <f t="shared" si="11"/>
        <v>692.077</v>
      </c>
      <c r="S5" s="24">
        <f t="shared" si="11"/>
        <v>877.21299999999997</v>
      </c>
      <c r="T5" s="24">
        <f t="shared" si="11"/>
        <v>970.07099999999991</v>
      </c>
      <c r="U5" s="24">
        <f t="shared" si="11"/>
        <v>1016.811</v>
      </c>
      <c r="V5" s="24">
        <f t="shared" si="11"/>
        <v>1171.675</v>
      </c>
      <c r="W5" s="24">
        <f t="shared" si="11"/>
        <v>1294.5489999999998</v>
      </c>
      <c r="X5" s="24">
        <f t="shared" si="11"/>
        <v>1494.6240649999997</v>
      </c>
      <c r="Y5" s="24">
        <f t="shared" si="11"/>
        <v>1636.3720000000001</v>
      </c>
      <c r="Z5" s="24">
        <f t="shared" si="11"/>
        <v>1757.4340000000002</v>
      </c>
      <c r="AA5" s="24">
        <f t="shared" si="11"/>
        <v>1944.1210000000001</v>
      </c>
      <c r="AB5" s="24">
        <f t="shared" si="11"/>
        <v>2120.3450000000003</v>
      </c>
      <c r="AC5" s="24">
        <f t="shared" ref="AC5:AH5" si="12">SUM(AC7:AC22)</f>
        <v>2346.5140000000001</v>
      </c>
      <c r="AD5" s="24">
        <f t="shared" si="12"/>
        <v>2093.8809999999999</v>
      </c>
      <c r="AE5" s="24">
        <f t="shared" si="12"/>
        <v>2048.5990000000002</v>
      </c>
      <c r="AF5" s="24">
        <f t="shared" si="12"/>
        <v>2094.953</v>
      </c>
      <c r="AG5" s="24">
        <f t="shared" si="12"/>
        <v>2135.8070000000002</v>
      </c>
      <c r="AH5" s="24">
        <f t="shared" si="12"/>
        <v>2200.1853550000001</v>
      </c>
      <c r="AI5" s="24">
        <f t="shared" ref="AI5" si="13">SUM(AI7:AI22)</f>
        <v>2178.1562999999996</v>
      </c>
      <c r="AJ5" s="25">
        <f t="shared" si="11"/>
        <v>0.98</v>
      </c>
      <c r="AK5" s="24">
        <f t="shared" si="11"/>
        <v>2.302</v>
      </c>
      <c r="AL5" s="24">
        <f t="shared" si="11"/>
        <v>2.9379999999999997</v>
      </c>
      <c r="AM5" s="24">
        <f t="shared" si="11"/>
        <v>2.5129999999999999</v>
      </c>
      <c r="AN5" s="24">
        <f t="shared" si="11"/>
        <v>2.8872499999999999</v>
      </c>
      <c r="AO5" s="24">
        <f t="shared" si="11"/>
        <v>3.0715000000000003</v>
      </c>
      <c r="AP5" s="24">
        <f t="shared" si="11"/>
        <v>3.4937500000000004</v>
      </c>
      <c r="AQ5" s="24">
        <f t="shared" si="11"/>
        <v>3.8630000000000004</v>
      </c>
      <c r="AR5" s="24">
        <f t="shared" si="11"/>
        <v>3.1564999999999999</v>
      </c>
      <c r="AS5" s="24">
        <f t="shared" si="11"/>
        <v>2.1189999999999998</v>
      </c>
      <c r="AT5" s="24">
        <f t="shared" si="11"/>
        <v>2.41</v>
      </c>
      <c r="AU5" s="24">
        <f t="shared" si="11"/>
        <v>18.318000000000001</v>
      </c>
      <c r="AV5" s="24">
        <f t="shared" si="11"/>
        <v>14.353999999999999</v>
      </c>
      <c r="AW5" s="24">
        <f t="shared" si="11"/>
        <v>17.36</v>
      </c>
      <c r="AX5" s="24">
        <f t="shared" si="11"/>
        <v>34.286999999999999</v>
      </c>
      <c r="AY5" s="24">
        <f t="shared" si="11"/>
        <v>38.111000000000004</v>
      </c>
      <c r="AZ5" s="24">
        <f t="shared" si="11"/>
        <v>40.673999999999999</v>
      </c>
      <c r="BA5" s="24">
        <f t="shared" si="11"/>
        <v>37.768000000000001</v>
      </c>
      <c r="BB5" s="24">
        <f t="shared" si="11"/>
        <v>45.216999999999999</v>
      </c>
      <c r="BC5" s="24">
        <f t="shared" si="11"/>
        <v>16.119500000000002</v>
      </c>
      <c r="BD5" s="24">
        <f t="shared" si="11"/>
        <v>16.1675</v>
      </c>
      <c r="BE5" s="24">
        <f t="shared" si="11"/>
        <v>23.932500000000001</v>
      </c>
      <c r="BF5" s="24">
        <f t="shared" si="11"/>
        <v>24.596910000000001</v>
      </c>
      <c r="BG5" s="24">
        <f t="shared" si="11"/>
        <v>29.483000000000001</v>
      </c>
      <c r="BH5" s="24">
        <f t="shared" si="11"/>
        <v>28.809000000000001</v>
      </c>
      <c r="BI5" s="24">
        <f t="shared" si="11"/>
        <v>28.689999999999998</v>
      </c>
      <c r="BJ5" s="24">
        <f t="shared" si="11"/>
        <v>25.694500000000001</v>
      </c>
      <c r="BK5" s="24">
        <f t="shared" ref="BK5:BP5" si="14">SUM(BK7:BK22)</f>
        <v>25.92</v>
      </c>
      <c r="BL5" s="24">
        <f t="shared" si="14"/>
        <v>28.962999999999997</v>
      </c>
      <c r="BM5" s="24">
        <f t="shared" si="14"/>
        <v>24.829000000000001</v>
      </c>
      <c r="BN5" s="24">
        <f t="shared" si="14"/>
        <v>29.162000000000003</v>
      </c>
      <c r="BO5" s="24">
        <f t="shared" si="14"/>
        <v>21.504999999999999</v>
      </c>
      <c r="BP5" s="24">
        <f t="shared" si="14"/>
        <v>32.633063999999997</v>
      </c>
      <c r="BQ5" s="24">
        <f t="shared" ref="BQ5" si="15">SUM(BQ7:BQ22)</f>
        <v>38.346579000000006</v>
      </c>
      <c r="BR5" s="25">
        <f t="shared" si="11"/>
        <v>109.375</v>
      </c>
      <c r="BS5" s="24">
        <f t="shared" si="11"/>
        <v>24.0245</v>
      </c>
      <c r="BT5" s="24">
        <f t="shared" si="11"/>
        <v>9.6471</v>
      </c>
      <c r="BU5" s="24">
        <f t="shared" si="11"/>
        <v>7.9677399999999992</v>
      </c>
      <c r="BV5" s="24">
        <f t="shared" si="11"/>
        <v>14.573000000000002</v>
      </c>
      <c r="BW5" s="24">
        <f t="shared" si="11"/>
        <v>9.7189999999999994</v>
      </c>
      <c r="BX5" s="24">
        <f t="shared" si="11"/>
        <v>8.761000000000001</v>
      </c>
      <c r="BY5" s="24">
        <f t="shared" si="11"/>
        <v>3.1430000000000002</v>
      </c>
      <c r="BZ5" s="24">
        <f t="shared" ref="BZ5:CE5" si="16">SUM(BZ7:BZ22)</f>
        <v>4.5549999999999997</v>
      </c>
      <c r="CA5" s="24">
        <f t="shared" si="16"/>
        <v>3.22</v>
      </c>
      <c r="CB5" s="24">
        <f t="shared" si="16"/>
        <v>2.9179999999999997</v>
      </c>
      <c r="CC5" s="24">
        <f t="shared" si="16"/>
        <v>5.2619999999999996</v>
      </c>
      <c r="CD5" s="24">
        <f t="shared" si="16"/>
        <v>5.0810000000000004</v>
      </c>
      <c r="CE5" s="24">
        <f t="shared" si="16"/>
        <v>4.0696339999999998</v>
      </c>
      <c r="CF5" s="24">
        <f t="shared" ref="CF5" si="17">SUM(CF7:CF22)</f>
        <v>6.2248830000000002</v>
      </c>
      <c r="CG5" s="26">
        <f t="shared" si="11"/>
        <v>62.932000000000002</v>
      </c>
      <c r="CH5" s="27">
        <f t="shared" si="11"/>
        <v>65.041000000000011</v>
      </c>
      <c r="CI5" s="27">
        <f t="shared" si="11"/>
        <v>71.706999999999994</v>
      </c>
      <c r="CJ5" s="27">
        <f t="shared" ref="CJ5:DG5" si="18">SUM(CJ7:CJ22)</f>
        <v>76.716999999999985</v>
      </c>
      <c r="CK5" s="27">
        <f t="shared" si="18"/>
        <v>81.362250000000003</v>
      </c>
      <c r="CL5" s="27">
        <f t="shared" si="18"/>
        <v>96.634499999999989</v>
      </c>
      <c r="CM5" s="27">
        <f t="shared" si="18"/>
        <v>107.50375</v>
      </c>
      <c r="CN5" s="27">
        <f t="shared" si="18"/>
        <v>118.89400000000001</v>
      </c>
      <c r="CO5" s="27">
        <f t="shared" si="18"/>
        <v>121.92249999999999</v>
      </c>
      <c r="CP5" s="27">
        <f t="shared" si="18"/>
        <v>130.71799999999999</v>
      </c>
      <c r="CQ5" s="27">
        <f t="shared" si="18"/>
        <v>161.09100000000001</v>
      </c>
      <c r="CR5" s="27">
        <f t="shared" si="18"/>
        <v>269.55200000000002</v>
      </c>
      <c r="CS5" s="27">
        <f t="shared" si="18"/>
        <v>314.41460000000001</v>
      </c>
      <c r="CT5" s="27">
        <f t="shared" si="18"/>
        <v>357.40800000000002</v>
      </c>
      <c r="CU5" s="27">
        <f t="shared" si="18"/>
        <v>447.38499999999993</v>
      </c>
      <c r="CV5" s="27">
        <f t="shared" si="18"/>
        <v>558.80900000000008</v>
      </c>
      <c r="CW5" s="27">
        <f t="shared" si="18"/>
        <v>732.75099999999998</v>
      </c>
      <c r="CX5" s="27">
        <f t="shared" si="18"/>
        <v>914.98099999999999</v>
      </c>
      <c r="CY5" s="27">
        <f t="shared" si="18"/>
        <v>1015.288</v>
      </c>
      <c r="CZ5" s="27">
        <f t="shared" si="18"/>
        <v>1142.3054999999997</v>
      </c>
      <c r="DA5" s="27">
        <f t="shared" si="18"/>
        <v>1211.8669999999995</v>
      </c>
      <c r="DB5" s="27">
        <f t="shared" si="18"/>
        <v>1328.1286000000002</v>
      </c>
      <c r="DC5" s="27">
        <f t="shared" si="18"/>
        <v>1527.188715</v>
      </c>
      <c r="DD5" s="27">
        <f t="shared" si="18"/>
        <v>1680.4280000000001</v>
      </c>
      <c r="DE5" s="27">
        <f t="shared" si="18"/>
        <v>1795.962</v>
      </c>
      <c r="DF5" s="27">
        <f t="shared" si="18"/>
        <v>1981.5719999999999</v>
      </c>
      <c r="DG5" s="27">
        <f t="shared" si="18"/>
        <v>2149.1824999999999</v>
      </c>
      <c r="DH5" s="27">
        <f>SUM(DH7:DH22)</f>
        <v>2376.9889999999996</v>
      </c>
      <c r="DI5" s="27">
        <f>SUM(DI7:DI22)</f>
        <v>2126.0640000000003</v>
      </c>
      <c r="DJ5" s="27">
        <f t="shared" ref="DJ5:DK5" si="19">SUM(DJ7:DJ22)</f>
        <v>2076.346</v>
      </c>
      <c r="DK5" s="27">
        <f t="shared" si="19"/>
        <v>2129.377</v>
      </c>
      <c r="DL5" s="27">
        <f t="shared" ref="DL5:DM5" si="20">SUM(DL7:DL22)</f>
        <v>2162.393</v>
      </c>
      <c r="DM5" s="27">
        <f t="shared" si="20"/>
        <v>2236.8880529999997</v>
      </c>
      <c r="DN5" s="27">
        <f t="shared" ref="DN5" si="21">SUM(DN7:DN22)</f>
        <v>2222.727762</v>
      </c>
      <c r="EO5" s="22"/>
      <c r="EP5" s="22"/>
      <c r="EQ5" s="22"/>
      <c r="ER5" s="22"/>
      <c r="ES5" s="22"/>
    </row>
    <row r="6" spans="1:149">
      <c r="A6" s="7" t="s">
        <v>35</v>
      </c>
      <c r="AJ6" s="28"/>
      <c r="BR6" s="28"/>
      <c r="CG6" s="29"/>
    </row>
    <row r="7" spans="1:149">
      <c r="A7" s="23" t="s">
        <v>36</v>
      </c>
      <c r="B7" s="30">
        <v>2.835</v>
      </c>
      <c r="C7" s="30">
        <v>3.8660000000000001</v>
      </c>
      <c r="D7" s="30">
        <v>4.319</v>
      </c>
      <c r="E7" s="30">
        <v>4.2409999999999997</v>
      </c>
      <c r="F7" s="30">
        <v>3.923</v>
      </c>
      <c r="G7" s="30">
        <v>4.0199999999999996</v>
      </c>
      <c r="H7" s="30">
        <v>4.67</v>
      </c>
      <c r="I7" s="30">
        <v>6.51</v>
      </c>
      <c r="J7" s="30">
        <v>5.2930000000000001</v>
      </c>
      <c r="K7" s="30">
        <v>5.5090000000000003</v>
      </c>
      <c r="L7" s="30">
        <f>ROUND(6254/1000,3)</f>
        <v>6.2539999999999996</v>
      </c>
      <c r="M7" s="30">
        <f>ROUND(6806/1000,3)</f>
        <v>6.806</v>
      </c>
      <c r="N7" s="30">
        <v>6.1783999999999999</v>
      </c>
      <c r="O7" s="30">
        <v>6.2130000000000001</v>
      </c>
      <c r="P7" s="30">
        <v>5.6230000000000002</v>
      </c>
      <c r="Q7" s="30">
        <v>5.6185</v>
      </c>
      <c r="R7" s="30">
        <v>5.6559999999999997</v>
      </c>
      <c r="S7" s="30">
        <v>5.593</v>
      </c>
      <c r="T7" s="30">
        <v>5.4939999999999998</v>
      </c>
      <c r="U7" s="30">
        <v>5.0549999999999997</v>
      </c>
      <c r="V7" s="30">
        <v>1.8240000000000001</v>
      </c>
      <c r="W7" s="30">
        <v>1.7529999999999999</v>
      </c>
      <c r="X7" s="30">
        <v>2.3472680000000001</v>
      </c>
      <c r="Y7" s="30">
        <v>2.9119999999999999</v>
      </c>
      <c r="Z7" s="30">
        <v>3.5939999999999999</v>
      </c>
      <c r="AA7" s="30">
        <v>2.6219999999999999</v>
      </c>
      <c r="AB7" s="30">
        <v>2.5169999999999999</v>
      </c>
      <c r="AC7" s="30">
        <v>2.3740000000000001</v>
      </c>
      <c r="AD7" s="30">
        <v>1.8440000000000001</v>
      </c>
      <c r="AE7" s="30">
        <v>1.859</v>
      </c>
      <c r="AF7" s="30">
        <v>2.2450000000000001</v>
      </c>
      <c r="AG7" s="30">
        <v>2.3370000000000002</v>
      </c>
      <c r="AH7" s="30">
        <v>3.5361009999999999</v>
      </c>
      <c r="AI7" s="30">
        <v>4.8549740000000003</v>
      </c>
      <c r="AJ7" s="31" t="s">
        <v>37</v>
      </c>
      <c r="AK7" s="30">
        <v>0.24</v>
      </c>
      <c r="AL7" s="30">
        <v>7.5999999999999998E-2</v>
      </c>
      <c r="AM7" s="30">
        <v>0.02</v>
      </c>
      <c r="AN7" s="30">
        <f>ROUND(28/1000,3)</f>
        <v>2.8000000000000001E-2</v>
      </c>
      <c r="AO7" s="30">
        <v>2.8000000000000001E-2</v>
      </c>
      <c r="AP7" s="30">
        <v>0.10100000000000001</v>
      </c>
      <c r="AQ7" s="30">
        <v>0.127</v>
      </c>
      <c r="AR7" s="30">
        <v>0.12</v>
      </c>
      <c r="AS7" s="30">
        <v>7.1999999999999995E-2</v>
      </c>
      <c r="AT7" s="30">
        <f>ROUND(22/1000,3)</f>
        <v>2.1999999999999999E-2</v>
      </c>
      <c r="AU7" s="30">
        <f>ROUND(2978/1000,3)</f>
        <v>2.9780000000000002</v>
      </c>
      <c r="AV7" s="30" t="s">
        <v>45</v>
      </c>
      <c r="AW7" s="30" t="s">
        <v>45</v>
      </c>
      <c r="AX7" s="30" t="s">
        <v>45</v>
      </c>
      <c r="AY7" s="30" t="s">
        <v>45</v>
      </c>
      <c r="AZ7" s="30" t="s">
        <v>45</v>
      </c>
      <c r="BA7" s="30" t="s">
        <v>45</v>
      </c>
      <c r="BB7" s="30" t="s">
        <v>45</v>
      </c>
      <c r="BC7" s="30">
        <v>0.45200000000000001</v>
      </c>
      <c r="BD7" s="24">
        <f>(($AA$7-$BC$7)/4)+BC7</f>
        <v>0.99449999999999994</v>
      </c>
      <c r="BE7" s="24">
        <f>(($AA$7-$BC$7)/4)+BD7</f>
        <v>1.5369999999999999</v>
      </c>
      <c r="BF7" s="24">
        <f>(($AA$7-$BC$7)/4)+BE7</f>
        <v>2.0794999999999999</v>
      </c>
      <c r="BG7" s="30">
        <v>1.3</v>
      </c>
      <c r="BH7" s="30">
        <v>1.6</v>
      </c>
      <c r="BI7" s="30">
        <v>1.155</v>
      </c>
      <c r="BJ7" s="30">
        <v>1.149</v>
      </c>
      <c r="BK7" s="30">
        <v>1.0629999999999999</v>
      </c>
      <c r="BL7" s="30">
        <v>0.77100000000000002</v>
      </c>
      <c r="BM7" s="30">
        <v>0.74</v>
      </c>
      <c r="BN7" s="30">
        <v>0.74</v>
      </c>
      <c r="BO7" s="30">
        <v>0.74</v>
      </c>
      <c r="BP7" s="30">
        <v>0.74001399999999995</v>
      </c>
      <c r="BQ7" s="30">
        <v>1.9239999999999999</v>
      </c>
      <c r="BR7" s="31">
        <v>4.9889999999999999</v>
      </c>
      <c r="BS7" s="30" t="s">
        <v>37</v>
      </c>
      <c r="BT7" s="30" t="s">
        <v>37</v>
      </c>
      <c r="BU7" s="30" t="s">
        <v>37</v>
      </c>
      <c r="BV7" s="30" t="s">
        <v>37</v>
      </c>
      <c r="BW7" s="30" t="s">
        <v>37</v>
      </c>
      <c r="BX7" s="30" t="s">
        <v>37</v>
      </c>
      <c r="BY7" s="30" t="s">
        <v>45</v>
      </c>
      <c r="BZ7" s="30" t="s">
        <v>45</v>
      </c>
      <c r="CA7" s="30" t="s">
        <v>45</v>
      </c>
      <c r="CB7" s="30" t="s">
        <v>45</v>
      </c>
      <c r="CC7" s="30" t="s">
        <v>45</v>
      </c>
      <c r="CD7" s="30" t="s">
        <v>45</v>
      </c>
      <c r="CE7" s="30" t="s">
        <v>45</v>
      </c>
      <c r="CF7" s="30" t="s">
        <v>45</v>
      </c>
      <c r="CG7" s="26">
        <f t="shared" ref="CG7:CG21" si="22">SUM(B7,AJ7)</f>
        <v>2.835</v>
      </c>
      <c r="CH7" s="27">
        <f t="shared" ref="CH7:CH21" si="23">SUM(C7,AK7)</f>
        <v>4.1059999999999999</v>
      </c>
      <c r="CI7" s="27">
        <f t="shared" ref="CI7:CI21" si="24">SUM(D7,AL7)</f>
        <v>4.3949999999999996</v>
      </c>
      <c r="CJ7" s="27">
        <f t="shared" ref="CJ7:CJ21" si="25">SUM(E7,AM7)</f>
        <v>4.2609999999999992</v>
      </c>
      <c r="CK7" s="27">
        <f t="shared" ref="CK7:CK21" si="26">SUM(F7,AN7)</f>
        <v>3.9510000000000001</v>
      </c>
      <c r="CL7" s="27">
        <f t="shared" ref="CL7:CL21" si="27">SUM(G7,AO7)</f>
        <v>4.0479999999999992</v>
      </c>
      <c r="CM7" s="27">
        <f t="shared" ref="CM7:CM21" si="28">SUM(H7,AP7)</f>
        <v>4.7709999999999999</v>
      </c>
      <c r="CN7" s="27">
        <f t="shared" ref="CN7:CN21" si="29">SUM(I7,AQ7)</f>
        <v>6.6369999999999996</v>
      </c>
      <c r="CO7" s="27">
        <f t="shared" ref="CO7:CO21" si="30">SUM(J7,AR7)</f>
        <v>5.4130000000000003</v>
      </c>
      <c r="CP7" s="27">
        <f t="shared" ref="CP7:CP21" si="31">SUM(K7,AS7)</f>
        <v>5.5810000000000004</v>
      </c>
      <c r="CQ7" s="27">
        <f t="shared" ref="CQ7:CQ21" si="32">SUM(L7,AT7)</f>
        <v>6.2759999999999998</v>
      </c>
      <c r="CR7" s="27">
        <f t="shared" ref="CR7:CR21" si="33">SUM(M7,AU7)</f>
        <v>9.7840000000000007</v>
      </c>
      <c r="CS7" s="27">
        <f t="shared" ref="CS7:CS21" si="34">SUM(N7,AV7)</f>
        <v>6.1783999999999999</v>
      </c>
      <c r="CT7" s="27">
        <f t="shared" ref="CT7:CT21" si="35">SUM(O7,AW7)</f>
        <v>6.2130000000000001</v>
      </c>
      <c r="CU7" s="27">
        <f t="shared" ref="CU7:CU21" si="36">SUM(P7,AX7)</f>
        <v>5.6230000000000002</v>
      </c>
      <c r="CV7" s="27">
        <f t="shared" ref="CV7:CV21" si="37">SUM(Q7,AY7)</f>
        <v>5.6185</v>
      </c>
      <c r="CW7" s="27">
        <f t="shared" ref="CW7:CW21" si="38">SUM(R7,AZ7)</f>
        <v>5.6559999999999997</v>
      </c>
      <c r="CX7" s="27">
        <f t="shared" ref="CX7:CX21" si="39">SUM(S7,BA7)</f>
        <v>5.593</v>
      </c>
      <c r="CY7" s="27">
        <f t="shared" ref="CY7:CY21" si="40">SUM(T7,BB7)</f>
        <v>5.4939999999999998</v>
      </c>
      <c r="CZ7" s="27">
        <f t="shared" ref="CZ7:CZ22" si="41">SUM(U7,BC7,BR7)</f>
        <v>10.495999999999999</v>
      </c>
      <c r="DA7" s="27">
        <f t="shared" ref="DA7:DA22" si="42">SUM(V7,BD7,BS7)</f>
        <v>2.8185000000000002</v>
      </c>
      <c r="DB7" s="27">
        <f t="shared" ref="DB7:DB22" si="43">SUM(W7,BE7,BT7)</f>
        <v>3.29</v>
      </c>
      <c r="DC7" s="27">
        <f t="shared" ref="DC7:DC22" si="44">SUM(X7,BF7,BU7)</f>
        <v>4.426768</v>
      </c>
      <c r="DD7" s="27">
        <f t="shared" ref="DD7:DD22" si="45">SUM(Y7,BG7,BV7)</f>
        <v>4.2119999999999997</v>
      </c>
      <c r="DE7" s="27">
        <f t="shared" ref="DE7:DE22" si="46">SUM(Z7,BH7,BW7)</f>
        <v>5.194</v>
      </c>
      <c r="DF7" s="27">
        <f t="shared" ref="DF7:DF22" si="47">SUM(AA7,BI7,BX7)</f>
        <v>3.7770000000000001</v>
      </c>
      <c r="DG7" s="27">
        <f t="shared" ref="DG7:DG22" si="48">SUM(AB7,BJ7,BY7)</f>
        <v>3.6659999999999999</v>
      </c>
      <c r="DH7" s="27">
        <f t="shared" ref="DH7:DH22" si="49">SUM(AC7,BK7,BZ7)</f>
        <v>3.4370000000000003</v>
      </c>
      <c r="DI7" s="27">
        <f t="shared" ref="DI7:DI22" si="50">SUM(AD7,BL7,CA7)</f>
        <v>2.6150000000000002</v>
      </c>
      <c r="DJ7" s="27">
        <f t="shared" ref="DJ7:DJ22" si="51">SUM(AE7,BM7,CB7)</f>
        <v>2.5990000000000002</v>
      </c>
      <c r="DK7" s="27">
        <f t="shared" ref="DK7:DK22" si="52">SUM(AF7,BN7,CC7)</f>
        <v>2.9850000000000003</v>
      </c>
      <c r="DL7" s="27">
        <f t="shared" ref="DL7:DL22" si="53">SUM(AG7,BO7,CD7)</f>
        <v>3.077</v>
      </c>
      <c r="DM7" s="27">
        <f t="shared" ref="DM7:DN22" si="54">SUM(AH7,BP7,CE7)</f>
        <v>4.2761149999999999</v>
      </c>
      <c r="DN7" s="27">
        <f t="shared" si="54"/>
        <v>6.7789739999999998</v>
      </c>
      <c r="EO7" s="22"/>
      <c r="EP7" s="22"/>
      <c r="EQ7" s="22"/>
      <c r="ER7" s="22"/>
      <c r="ES7" s="22"/>
    </row>
    <row r="8" spans="1:149">
      <c r="A8" s="23" t="s">
        <v>38</v>
      </c>
      <c r="B8" s="30">
        <v>0.125</v>
      </c>
      <c r="C8" s="30">
        <v>0.2</v>
      </c>
      <c r="D8" s="30">
        <v>0.39200000000000002</v>
      </c>
      <c r="E8" s="30">
        <v>0.55800000000000005</v>
      </c>
      <c r="F8" s="30">
        <v>0.72199999999999998</v>
      </c>
      <c r="G8" s="30">
        <v>0.69</v>
      </c>
      <c r="H8" s="30">
        <v>0.749</v>
      </c>
      <c r="I8" s="30">
        <v>0.79</v>
      </c>
      <c r="J8" s="30">
        <v>0.76600000000000001</v>
      </c>
      <c r="K8" s="30">
        <v>0.81399999999999995</v>
      </c>
      <c r="L8" s="30">
        <f>ROUND(742/1000,3)</f>
        <v>0.74199999999999999</v>
      </c>
      <c r="M8" s="30">
        <f>ROUND(740/1000,3)</f>
        <v>0.74</v>
      </c>
      <c r="N8" s="30">
        <v>0.96240000000000003</v>
      </c>
      <c r="O8" s="30">
        <v>1.1559999999999999</v>
      </c>
      <c r="P8" s="30">
        <v>2.2410000000000001</v>
      </c>
      <c r="Q8" s="30">
        <v>4.3125</v>
      </c>
      <c r="R8" s="30">
        <v>5.9260000000000002</v>
      </c>
      <c r="S8" s="30">
        <v>8.2639999999999993</v>
      </c>
      <c r="T8" s="30">
        <v>8.891</v>
      </c>
      <c r="U8" s="30">
        <v>7.2489999999999997</v>
      </c>
      <c r="V8" s="30">
        <v>9.7720000000000002</v>
      </c>
      <c r="W8" s="30">
        <v>0.63600000000000001</v>
      </c>
      <c r="X8" s="30">
        <v>7.4958090000000004</v>
      </c>
      <c r="Y8" s="30">
        <v>8.2080000000000002</v>
      </c>
      <c r="Z8" s="30">
        <v>10.101000000000001</v>
      </c>
      <c r="AA8" s="30">
        <v>10.259</v>
      </c>
      <c r="AB8" s="30">
        <v>10.760999999999999</v>
      </c>
      <c r="AC8" s="30">
        <v>134.125</v>
      </c>
      <c r="AD8" s="30">
        <v>140.86500000000001</v>
      </c>
      <c r="AE8" s="30">
        <v>141.45699999999999</v>
      </c>
      <c r="AF8" s="30">
        <v>125.83499999999999</v>
      </c>
      <c r="AG8" s="30">
        <v>119.354</v>
      </c>
      <c r="AH8" s="30">
        <v>111.362656</v>
      </c>
      <c r="AI8" s="30">
        <v>102.18837600000001</v>
      </c>
      <c r="AJ8" s="31" t="s">
        <v>37</v>
      </c>
      <c r="AK8" s="30" t="s">
        <v>37</v>
      </c>
      <c r="AL8" s="30" t="s">
        <v>37</v>
      </c>
      <c r="AM8" s="30" t="s">
        <v>37</v>
      </c>
      <c r="AN8" s="30" t="s">
        <v>37</v>
      </c>
      <c r="AO8" s="30" t="s">
        <v>37</v>
      </c>
      <c r="AP8" s="30" t="s">
        <v>37</v>
      </c>
      <c r="AQ8" s="30" t="s">
        <v>37</v>
      </c>
      <c r="AR8" s="30">
        <v>2E-3</v>
      </c>
      <c r="AS8" s="30">
        <f>ROUND(1/1000,3)</f>
        <v>1E-3</v>
      </c>
      <c r="AT8" s="24">
        <f>((AU8-AS8)/2)+AS8</f>
        <v>7.85E-2</v>
      </c>
      <c r="AU8" s="30">
        <f>ROUND(156/1000,3)</f>
        <v>0.156</v>
      </c>
      <c r="AV8" s="30" t="s">
        <v>45</v>
      </c>
      <c r="AW8" s="30" t="s">
        <v>45</v>
      </c>
      <c r="AX8" s="30" t="s">
        <v>45</v>
      </c>
      <c r="AY8" s="30" t="s">
        <v>45</v>
      </c>
      <c r="AZ8" s="30" t="s">
        <v>45</v>
      </c>
      <c r="BA8" s="30" t="s">
        <v>45</v>
      </c>
      <c r="BB8" s="30">
        <v>1.7999999999999999E-2</v>
      </c>
      <c r="BC8" s="30">
        <v>0.182</v>
      </c>
      <c r="BD8" s="30">
        <v>0.153</v>
      </c>
      <c r="BE8" s="30">
        <v>2.927</v>
      </c>
      <c r="BF8" s="30">
        <v>3.1988029999999998</v>
      </c>
      <c r="BG8" s="30">
        <v>3.032</v>
      </c>
      <c r="BH8" s="30">
        <v>3.016</v>
      </c>
      <c r="BI8" s="30">
        <v>4.4829999999999997</v>
      </c>
      <c r="BJ8" s="30">
        <v>3.4420000000000002</v>
      </c>
      <c r="BK8" s="30">
        <v>3.496</v>
      </c>
      <c r="BL8" s="30">
        <v>5.7169999999999996</v>
      </c>
      <c r="BM8" s="30">
        <v>4.6890000000000001</v>
      </c>
      <c r="BN8" s="30">
        <v>3.74</v>
      </c>
      <c r="BO8" s="30" t="s">
        <v>45</v>
      </c>
      <c r="BP8" s="30">
        <v>6.5912759999999997</v>
      </c>
      <c r="BQ8" s="30">
        <v>6.7962280000000002</v>
      </c>
      <c r="BR8" s="31" t="s">
        <v>37</v>
      </c>
      <c r="BS8" s="30" t="s">
        <v>37</v>
      </c>
      <c r="BT8" s="30">
        <v>0.17100000000000001</v>
      </c>
      <c r="BU8" s="30">
        <v>0.249975</v>
      </c>
      <c r="BV8" s="30" t="s">
        <v>37</v>
      </c>
      <c r="BW8" s="30" t="s">
        <v>37</v>
      </c>
      <c r="BX8" s="30" t="s">
        <v>37</v>
      </c>
      <c r="BY8" s="30" t="s">
        <v>45</v>
      </c>
      <c r="BZ8" s="30" t="s">
        <v>45</v>
      </c>
      <c r="CA8" s="30" t="s">
        <v>45</v>
      </c>
      <c r="CB8" s="30" t="s">
        <v>45</v>
      </c>
      <c r="CC8" s="30">
        <v>1.077</v>
      </c>
      <c r="CD8" s="30">
        <v>1.1759999999999999</v>
      </c>
      <c r="CE8" s="30" t="s">
        <v>45</v>
      </c>
      <c r="CF8" s="30" t="s">
        <v>45</v>
      </c>
      <c r="CG8" s="26">
        <f t="shared" si="22"/>
        <v>0.125</v>
      </c>
      <c r="CH8" s="27">
        <f t="shared" si="23"/>
        <v>0.2</v>
      </c>
      <c r="CI8" s="27">
        <f t="shared" si="24"/>
        <v>0.39200000000000002</v>
      </c>
      <c r="CJ8" s="27">
        <f t="shared" si="25"/>
        <v>0.55800000000000005</v>
      </c>
      <c r="CK8" s="27">
        <f t="shared" si="26"/>
        <v>0.72199999999999998</v>
      </c>
      <c r="CL8" s="27">
        <f t="shared" si="27"/>
        <v>0.69</v>
      </c>
      <c r="CM8" s="27">
        <f t="shared" si="28"/>
        <v>0.749</v>
      </c>
      <c r="CN8" s="27">
        <f t="shared" si="29"/>
        <v>0.79</v>
      </c>
      <c r="CO8" s="27">
        <f t="shared" si="30"/>
        <v>0.76800000000000002</v>
      </c>
      <c r="CP8" s="27">
        <f t="shared" si="31"/>
        <v>0.81499999999999995</v>
      </c>
      <c r="CQ8" s="27">
        <f t="shared" si="32"/>
        <v>0.82050000000000001</v>
      </c>
      <c r="CR8" s="27">
        <f t="shared" si="33"/>
        <v>0.89600000000000002</v>
      </c>
      <c r="CS8" s="27">
        <f t="shared" si="34"/>
        <v>0.96240000000000003</v>
      </c>
      <c r="CT8" s="27">
        <f t="shared" si="35"/>
        <v>1.1559999999999999</v>
      </c>
      <c r="CU8" s="27">
        <f t="shared" si="36"/>
        <v>2.2410000000000001</v>
      </c>
      <c r="CV8" s="27">
        <f t="shared" si="37"/>
        <v>4.3125</v>
      </c>
      <c r="CW8" s="27">
        <f t="shared" si="38"/>
        <v>5.9260000000000002</v>
      </c>
      <c r="CX8" s="27">
        <f t="shared" si="39"/>
        <v>8.2639999999999993</v>
      </c>
      <c r="CY8" s="27">
        <f t="shared" si="40"/>
        <v>8.9090000000000007</v>
      </c>
      <c r="CZ8" s="27">
        <f t="shared" si="41"/>
        <v>7.431</v>
      </c>
      <c r="DA8" s="27">
        <f t="shared" si="42"/>
        <v>9.9250000000000007</v>
      </c>
      <c r="DB8" s="27">
        <f t="shared" si="43"/>
        <v>3.734</v>
      </c>
      <c r="DC8" s="27">
        <f t="shared" si="44"/>
        <v>10.944586999999999</v>
      </c>
      <c r="DD8" s="27">
        <f t="shared" si="45"/>
        <v>11.24</v>
      </c>
      <c r="DE8" s="27">
        <f t="shared" si="46"/>
        <v>13.117000000000001</v>
      </c>
      <c r="DF8" s="27">
        <f t="shared" si="47"/>
        <v>14.742000000000001</v>
      </c>
      <c r="DG8" s="27">
        <f t="shared" si="48"/>
        <v>14.202999999999999</v>
      </c>
      <c r="DH8" s="27">
        <f t="shared" si="49"/>
        <v>137.62100000000001</v>
      </c>
      <c r="DI8" s="27">
        <f t="shared" si="50"/>
        <v>146.58200000000002</v>
      </c>
      <c r="DJ8" s="27">
        <f t="shared" si="51"/>
        <v>146.14599999999999</v>
      </c>
      <c r="DK8" s="27">
        <f t="shared" si="52"/>
        <v>130.65199999999999</v>
      </c>
      <c r="DL8" s="27">
        <f t="shared" si="53"/>
        <v>120.53</v>
      </c>
      <c r="DM8" s="27">
        <f t="shared" si="54"/>
        <v>117.95393199999999</v>
      </c>
      <c r="DN8" s="27">
        <f t="shared" si="54"/>
        <v>108.984604</v>
      </c>
      <c r="EO8" s="22"/>
      <c r="EP8" s="22"/>
      <c r="EQ8" s="22"/>
      <c r="ER8" s="22"/>
      <c r="ES8" s="22"/>
    </row>
    <row r="9" spans="1:149">
      <c r="A9" s="23" t="s">
        <v>39</v>
      </c>
      <c r="B9" s="30">
        <v>0.02</v>
      </c>
      <c r="C9" s="30">
        <v>0.20599999999999999</v>
      </c>
      <c r="D9" s="30">
        <v>0.20200000000000001</v>
      </c>
      <c r="E9" s="30">
        <v>0.20300000000000001</v>
      </c>
      <c r="F9" s="30">
        <v>0.20100000000000001</v>
      </c>
      <c r="G9" s="30">
        <v>0.19900000000000001</v>
      </c>
      <c r="H9" s="30">
        <v>0.20300000000000001</v>
      </c>
      <c r="I9" s="30">
        <v>0.19700000000000001</v>
      </c>
      <c r="J9" s="30">
        <v>0.20899999999999999</v>
      </c>
      <c r="K9" s="30">
        <v>0.20499999999999999</v>
      </c>
      <c r="L9" s="30">
        <v>0.20200000000000001</v>
      </c>
      <c r="M9" s="30">
        <v>0.20200000000000001</v>
      </c>
      <c r="N9" s="30">
        <v>0.2024</v>
      </c>
      <c r="O9" s="30">
        <v>0.224</v>
      </c>
      <c r="P9" s="30">
        <v>0.25800000000000001</v>
      </c>
      <c r="Q9" s="30">
        <v>0.28299999999999997</v>
      </c>
      <c r="R9" s="30">
        <v>0.32600000000000001</v>
      </c>
      <c r="S9" s="30">
        <v>0.375</v>
      </c>
      <c r="T9" s="30">
        <v>0.41499999999999998</v>
      </c>
      <c r="U9" s="30">
        <v>0.30199999999999999</v>
      </c>
      <c r="V9" s="30">
        <v>1.1499999999999999</v>
      </c>
      <c r="W9" s="30">
        <v>2.927</v>
      </c>
      <c r="X9" s="30">
        <v>0.46101300000000001</v>
      </c>
      <c r="Y9" s="30">
        <v>3.3159999999999998</v>
      </c>
      <c r="Z9" s="30">
        <v>3.54</v>
      </c>
      <c r="AA9" s="30">
        <v>3.54</v>
      </c>
      <c r="AB9" s="30">
        <v>6.0250000000000004</v>
      </c>
      <c r="AC9" s="30">
        <v>5.6429999999999998</v>
      </c>
      <c r="AD9" s="30">
        <v>6.3979999999999997</v>
      </c>
      <c r="AE9" s="30">
        <v>6.5449999999999999</v>
      </c>
      <c r="AF9" s="30">
        <v>7.4939999999999998</v>
      </c>
      <c r="AG9" s="30">
        <v>8.1769999999999996</v>
      </c>
      <c r="AH9" s="30">
        <v>8.3911650000000009</v>
      </c>
      <c r="AI9" s="30">
        <v>8.5772980000000008</v>
      </c>
      <c r="AJ9" s="31">
        <v>2.4E-2</v>
      </c>
      <c r="AK9" s="30">
        <v>1.6E-2</v>
      </c>
      <c r="AL9" s="30">
        <v>2.4E-2</v>
      </c>
      <c r="AM9" s="30">
        <v>2.8000000000000001E-2</v>
      </c>
      <c r="AN9" s="30" t="s">
        <v>37</v>
      </c>
      <c r="AO9" s="30" t="s">
        <v>37</v>
      </c>
      <c r="AP9" s="30" t="s">
        <v>37</v>
      </c>
      <c r="AQ9" s="30" t="s">
        <v>37</v>
      </c>
      <c r="AR9" s="30" t="s">
        <v>37</v>
      </c>
      <c r="AS9" s="30" t="s">
        <v>37</v>
      </c>
      <c r="AT9" s="30" t="s">
        <v>37</v>
      </c>
      <c r="AU9" s="30" t="s">
        <v>37</v>
      </c>
      <c r="AV9" s="30" t="s">
        <v>37</v>
      </c>
      <c r="AW9" s="30" t="s">
        <v>37</v>
      </c>
      <c r="AX9" s="30" t="s">
        <v>37</v>
      </c>
      <c r="AY9" s="30" t="s">
        <v>37</v>
      </c>
      <c r="AZ9" s="30" t="s">
        <v>37</v>
      </c>
      <c r="BA9" s="30" t="s">
        <v>37</v>
      </c>
      <c r="BB9" s="30" t="s">
        <v>37</v>
      </c>
      <c r="BC9" s="30" t="s">
        <v>37</v>
      </c>
      <c r="BD9" s="30">
        <v>8.7999999999999995E-2</v>
      </c>
      <c r="BE9" s="30">
        <v>9.1999999999999998E-2</v>
      </c>
      <c r="BF9" s="30">
        <v>9.5000000000000001E-2</v>
      </c>
      <c r="BG9" s="30">
        <v>0.13600000000000001</v>
      </c>
      <c r="BH9" s="30">
        <v>0.10299999999999999</v>
      </c>
      <c r="BI9" s="30">
        <v>0.10299999999999999</v>
      </c>
      <c r="BJ9" s="30">
        <v>0.436</v>
      </c>
      <c r="BK9" s="30">
        <v>0.54700000000000004</v>
      </c>
      <c r="BL9" s="30">
        <v>0.61399999999999999</v>
      </c>
      <c r="BM9" s="30">
        <v>0.43</v>
      </c>
      <c r="BN9" s="30">
        <v>0.4</v>
      </c>
      <c r="BO9" s="30">
        <v>0.50800000000000001</v>
      </c>
      <c r="BP9" s="30">
        <v>0.2802</v>
      </c>
      <c r="BQ9" s="30">
        <v>1.7598549999999999</v>
      </c>
      <c r="BR9" s="31">
        <v>11.068</v>
      </c>
      <c r="BS9" s="24">
        <f>((BT9-BR9)/2)+BR9</f>
        <v>5.7264999999999997</v>
      </c>
      <c r="BT9" s="30">
        <v>0.38500000000000001</v>
      </c>
      <c r="BU9" s="30">
        <v>0.482819</v>
      </c>
      <c r="BV9" s="30">
        <v>0.73</v>
      </c>
      <c r="BW9" s="30">
        <v>0.06</v>
      </c>
      <c r="BX9" s="30" t="s">
        <v>37</v>
      </c>
      <c r="BY9" s="30" t="s">
        <v>45</v>
      </c>
      <c r="BZ9" s="30" t="s">
        <v>45</v>
      </c>
      <c r="CA9" s="30" t="s">
        <v>45</v>
      </c>
      <c r="CB9" s="30" t="s">
        <v>45</v>
      </c>
      <c r="CC9" s="30" t="s">
        <v>45</v>
      </c>
      <c r="CD9" s="30" t="s">
        <v>45</v>
      </c>
      <c r="CE9" s="30" t="s">
        <v>45</v>
      </c>
      <c r="CF9" s="30">
        <v>1.0920000000000001</v>
      </c>
      <c r="CG9" s="26">
        <f t="shared" si="22"/>
        <v>4.3999999999999997E-2</v>
      </c>
      <c r="CH9" s="27">
        <f t="shared" si="23"/>
        <v>0.22199999999999998</v>
      </c>
      <c r="CI9" s="27">
        <f t="shared" si="24"/>
        <v>0.22600000000000001</v>
      </c>
      <c r="CJ9" s="27">
        <f t="shared" si="25"/>
        <v>0.23100000000000001</v>
      </c>
      <c r="CK9" s="27">
        <f t="shared" si="26"/>
        <v>0.20100000000000001</v>
      </c>
      <c r="CL9" s="27">
        <f t="shared" si="27"/>
        <v>0.19900000000000001</v>
      </c>
      <c r="CM9" s="27">
        <f t="shared" si="28"/>
        <v>0.20300000000000001</v>
      </c>
      <c r="CN9" s="27">
        <f t="shared" si="29"/>
        <v>0.19700000000000001</v>
      </c>
      <c r="CO9" s="27">
        <f t="shared" si="30"/>
        <v>0.20899999999999999</v>
      </c>
      <c r="CP9" s="27">
        <f t="shared" si="31"/>
        <v>0.20499999999999999</v>
      </c>
      <c r="CQ9" s="27">
        <f t="shared" si="32"/>
        <v>0.20200000000000001</v>
      </c>
      <c r="CR9" s="27">
        <f t="shared" si="33"/>
        <v>0.20200000000000001</v>
      </c>
      <c r="CS9" s="27">
        <f t="shared" si="34"/>
        <v>0.2024</v>
      </c>
      <c r="CT9" s="27">
        <f t="shared" si="35"/>
        <v>0.224</v>
      </c>
      <c r="CU9" s="27">
        <f t="shared" si="36"/>
        <v>0.25800000000000001</v>
      </c>
      <c r="CV9" s="27">
        <f t="shared" si="37"/>
        <v>0.28299999999999997</v>
      </c>
      <c r="CW9" s="27">
        <f t="shared" si="38"/>
        <v>0.32600000000000001</v>
      </c>
      <c r="CX9" s="27">
        <f t="shared" si="39"/>
        <v>0.375</v>
      </c>
      <c r="CY9" s="27">
        <f t="shared" si="40"/>
        <v>0.41499999999999998</v>
      </c>
      <c r="CZ9" s="27">
        <f t="shared" si="41"/>
        <v>11.37</v>
      </c>
      <c r="DA9" s="27">
        <f t="shared" si="42"/>
        <v>6.9644999999999992</v>
      </c>
      <c r="DB9" s="27">
        <f t="shared" si="43"/>
        <v>3.4039999999999999</v>
      </c>
      <c r="DC9" s="27">
        <f t="shared" si="44"/>
        <v>1.038832</v>
      </c>
      <c r="DD9" s="27">
        <f t="shared" si="45"/>
        <v>4.1820000000000004</v>
      </c>
      <c r="DE9" s="27">
        <f t="shared" si="46"/>
        <v>3.7030000000000003</v>
      </c>
      <c r="DF9" s="27">
        <f t="shared" si="47"/>
        <v>3.6430000000000002</v>
      </c>
      <c r="DG9" s="27">
        <f t="shared" si="48"/>
        <v>6.4610000000000003</v>
      </c>
      <c r="DH9" s="27">
        <f t="shared" si="49"/>
        <v>6.1899999999999995</v>
      </c>
      <c r="DI9" s="27">
        <f t="shared" si="50"/>
        <v>7.0119999999999996</v>
      </c>
      <c r="DJ9" s="27">
        <f t="shared" si="51"/>
        <v>6.9749999999999996</v>
      </c>
      <c r="DK9" s="27">
        <f t="shared" si="52"/>
        <v>7.8940000000000001</v>
      </c>
      <c r="DL9" s="27">
        <f t="shared" si="53"/>
        <v>8.6849999999999987</v>
      </c>
      <c r="DM9" s="27">
        <f t="shared" si="54"/>
        <v>8.6713650000000015</v>
      </c>
      <c r="DN9" s="27">
        <f t="shared" si="54"/>
        <v>11.429153000000001</v>
      </c>
      <c r="EO9" s="22"/>
      <c r="EP9" s="22"/>
      <c r="EQ9" s="22"/>
      <c r="ER9" s="22"/>
      <c r="ES9" s="22"/>
    </row>
    <row r="10" spans="1:149">
      <c r="A10" s="23" t="s">
        <v>40</v>
      </c>
      <c r="B10" s="30">
        <v>11.951000000000001</v>
      </c>
      <c r="C10" s="30">
        <v>14.051</v>
      </c>
      <c r="D10" s="30">
        <v>16.573</v>
      </c>
      <c r="E10" s="30">
        <v>19.366</v>
      </c>
      <c r="F10" s="30">
        <v>19.88</v>
      </c>
      <c r="G10" s="30">
        <v>28.318999999999999</v>
      </c>
      <c r="H10" s="30">
        <v>33.558</v>
      </c>
      <c r="I10" s="30">
        <v>40.526000000000003</v>
      </c>
      <c r="J10" s="30">
        <v>44.506999999999998</v>
      </c>
      <c r="K10" s="30">
        <v>46.401000000000003</v>
      </c>
      <c r="L10" s="30">
        <f>ROUND(56458/1000,3)</f>
        <v>56.457999999999998</v>
      </c>
      <c r="M10" s="30">
        <f>ROUND(61886/1000,3)</f>
        <v>61.886000000000003</v>
      </c>
      <c r="N10" s="30">
        <v>65.541399999999996</v>
      </c>
      <c r="O10" s="30">
        <v>75.194000000000003</v>
      </c>
      <c r="P10" s="30">
        <v>98.632000000000005</v>
      </c>
      <c r="Q10" s="30">
        <v>133.28800000000001</v>
      </c>
      <c r="R10" s="30">
        <v>180.661</v>
      </c>
      <c r="S10" s="30">
        <v>236.44</v>
      </c>
      <c r="T10" s="30">
        <v>245.791</v>
      </c>
      <c r="U10" s="30">
        <v>202.20500000000001</v>
      </c>
      <c r="V10" s="30">
        <v>237.971</v>
      </c>
      <c r="W10" s="30">
        <v>271.59699999999998</v>
      </c>
      <c r="X10" s="30">
        <v>308.88377600000001</v>
      </c>
      <c r="Y10" s="30">
        <v>349.89800000000002</v>
      </c>
      <c r="Z10" s="30">
        <v>383.55500000000001</v>
      </c>
      <c r="AA10" s="30">
        <v>433.62400000000002</v>
      </c>
      <c r="AB10" s="30">
        <v>427.75299999999999</v>
      </c>
      <c r="AC10" s="30">
        <v>427.38099999999997</v>
      </c>
      <c r="AD10" s="30">
        <v>337.55799999999999</v>
      </c>
      <c r="AE10" s="30">
        <v>318.14299999999997</v>
      </c>
      <c r="AF10" s="30">
        <v>310.62200000000001</v>
      </c>
      <c r="AG10" s="30">
        <v>270.08300000000003</v>
      </c>
      <c r="AH10" s="30">
        <v>243.90404599999999</v>
      </c>
      <c r="AI10" s="30">
        <v>225.715631</v>
      </c>
      <c r="AJ10" s="31">
        <v>5.3999999999999999E-2</v>
      </c>
      <c r="AK10" s="30">
        <v>5.3999999999999999E-2</v>
      </c>
      <c r="AL10" s="30">
        <v>0.52800000000000002</v>
      </c>
      <c r="AM10" s="30">
        <v>0.66200000000000003</v>
      </c>
      <c r="AN10" s="30">
        <v>1.002</v>
      </c>
      <c r="AO10" s="30">
        <v>0.88500000000000001</v>
      </c>
      <c r="AP10" s="30">
        <v>1.0549999999999999</v>
      </c>
      <c r="AQ10" s="30">
        <v>1.4019999999999999</v>
      </c>
      <c r="AR10" s="30">
        <v>1.0049999999999999</v>
      </c>
      <c r="AS10" s="30">
        <v>0.3</v>
      </c>
      <c r="AT10" s="30">
        <f>ROUND(290/1000,3)</f>
        <v>0.28999999999999998</v>
      </c>
      <c r="AU10" s="30">
        <f>ROUND(743/1000,3)</f>
        <v>0.74299999999999999</v>
      </c>
      <c r="AV10" s="30">
        <v>0.76700000000000002</v>
      </c>
      <c r="AW10" s="30">
        <v>0.67500000000000004</v>
      </c>
      <c r="AX10" s="30">
        <v>0.64900000000000002</v>
      </c>
      <c r="AY10" s="30">
        <v>0.59</v>
      </c>
      <c r="AZ10" s="30">
        <v>0.255</v>
      </c>
      <c r="BA10" s="30">
        <v>0.64900000000000002</v>
      </c>
      <c r="BB10" s="30">
        <v>0.41</v>
      </c>
      <c r="BC10" s="30" t="s">
        <v>37</v>
      </c>
      <c r="BD10" s="30" t="s">
        <v>37</v>
      </c>
      <c r="BE10" s="30" t="s">
        <v>37</v>
      </c>
      <c r="BF10" s="30" t="s">
        <v>37</v>
      </c>
      <c r="BG10" s="30" t="s">
        <v>37</v>
      </c>
      <c r="BH10" s="30" t="s">
        <v>37</v>
      </c>
      <c r="BI10" s="30" t="s">
        <v>37</v>
      </c>
      <c r="BJ10" s="30" t="s">
        <v>45</v>
      </c>
      <c r="BK10" s="30" t="s">
        <v>45</v>
      </c>
      <c r="BL10" s="30" t="s">
        <v>45</v>
      </c>
      <c r="BM10" s="30" t="s">
        <v>45</v>
      </c>
      <c r="BN10" s="30" t="s">
        <v>45</v>
      </c>
      <c r="BO10" s="30" t="s">
        <v>45</v>
      </c>
      <c r="BP10" s="30" t="s">
        <v>45</v>
      </c>
      <c r="BQ10" s="30" t="s">
        <v>45</v>
      </c>
      <c r="BR10" s="31">
        <v>2.4660000000000002</v>
      </c>
      <c r="BS10" s="30">
        <v>0.93799999999999994</v>
      </c>
      <c r="BT10" s="30">
        <v>0.93799999999999994</v>
      </c>
      <c r="BU10" s="30">
        <v>1.26</v>
      </c>
      <c r="BV10" s="30">
        <v>1.76</v>
      </c>
      <c r="BW10" s="30">
        <v>2.1339999999999999</v>
      </c>
      <c r="BX10" s="30">
        <v>1.9870000000000001</v>
      </c>
      <c r="BY10" s="30">
        <v>1.9870000000000001</v>
      </c>
      <c r="BZ10" s="30">
        <v>2.008</v>
      </c>
      <c r="CA10" s="30">
        <v>2</v>
      </c>
      <c r="CB10" s="30">
        <v>2</v>
      </c>
      <c r="CC10" s="30">
        <v>3</v>
      </c>
      <c r="CD10" s="30">
        <v>3</v>
      </c>
      <c r="CE10" s="30">
        <v>3.5</v>
      </c>
      <c r="CF10" s="30">
        <v>3.5</v>
      </c>
      <c r="CG10" s="26">
        <f t="shared" si="22"/>
        <v>12.005000000000001</v>
      </c>
      <c r="CH10" s="27">
        <f t="shared" si="23"/>
        <v>14.105</v>
      </c>
      <c r="CI10" s="27">
        <f t="shared" si="24"/>
        <v>17.100999999999999</v>
      </c>
      <c r="CJ10" s="27">
        <f t="shared" si="25"/>
        <v>20.027999999999999</v>
      </c>
      <c r="CK10" s="27">
        <f t="shared" si="26"/>
        <v>20.881999999999998</v>
      </c>
      <c r="CL10" s="27">
        <f t="shared" si="27"/>
        <v>29.204000000000001</v>
      </c>
      <c r="CM10" s="27">
        <f t="shared" si="28"/>
        <v>34.613</v>
      </c>
      <c r="CN10" s="27">
        <f t="shared" si="29"/>
        <v>41.928000000000004</v>
      </c>
      <c r="CO10" s="27">
        <f t="shared" si="30"/>
        <v>45.512</v>
      </c>
      <c r="CP10" s="27">
        <f t="shared" si="31"/>
        <v>46.701000000000001</v>
      </c>
      <c r="CQ10" s="27">
        <f t="shared" si="32"/>
        <v>56.747999999999998</v>
      </c>
      <c r="CR10" s="27">
        <f t="shared" si="33"/>
        <v>62.629000000000005</v>
      </c>
      <c r="CS10" s="27">
        <f t="shared" si="34"/>
        <v>66.308399999999992</v>
      </c>
      <c r="CT10" s="27">
        <f t="shared" si="35"/>
        <v>75.869</v>
      </c>
      <c r="CU10" s="27">
        <f t="shared" si="36"/>
        <v>99.281000000000006</v>
      </c>
      <c r="CV10" s="27">
        <f t="shared" si="37"/>
        <v>133.87800000000001</v>
      </c>
      <c r="CW10" s="27">
        <f t="shared" si="38"/>
        <v>180.916</v>
      </c>
      <c r="CX10" s="27">
        <f t="shared" si="39"/>
        <v>237.089</v>
      </c>
      <c r="CY10" s="27">
        <f t="shared" si="40"/>
        <v>246.20099999999999</v>
      </c>
      <c r="CZ10" s="27">
        <f t="shared" si="41"/>
        <v>204.67100000000002</v>
      </c>
      <c r="DA10" s="27">
        <f t="shared" si="42"/>
        <v>238.90899999999999</v>
      </c>
      <c r="DB10" s="27">
        <f t="shared" si="43"/>
        <v>272.53499999999997</v>
      </c>
      <c r="DC10" s="27">
        <f t="shared" si="44"/>
        <v>310.143776</v>
      </c>
      <c r="DD10" s="27">
        <f t="shared" si="45"/>
        <v>351.65800000000002</v>
      </c>
      <c r="DE10" s="27">
        <f t="shared" si="46"/>
        <v>385.68900000000002</v>
      </c>
      <c r="DF10" s="27">
        <f t="shared" si="47"/>
        <v>435.61100000000005</v>
      </c>
      <c r="DG10" s="27">
        <f t="shared" si="48"/>
        <v>429.74</v>
      </c>
      <c r="DH10" s="27">
        <f t="shared" si="49"/>
        <v>429.38899999999995</v>
      </c>
      <c r="DI10" s="27">
        <f t="shared" si="50"/>
        <v>339.55799999999999</v>
      </c>
      <c r="DJ10" s="27">
        <f t="shared" si="51"/>
        <v>320.14299999999997</v>
      </c>
      <c r="DK10" s="27">
        <f t="shared" si="52"/>
        <v>313.62200000000001</v>
      </c>
      <c r="DL10" s="27">
        <f t="shared" si="53"/>
        <v>273.08300000000003</v>
      </c>
      <c r="DM10" s="27">
        <f t="shared" si="54"/>
        <v>247.40404599999999</v>
      </c>
      <c r="DN10" s="27">
        <f t="shared" si="54"/>
        <v>229.215631</v>
      </c>
      <c r="EO10" s="22"/>
      <c r="EP10" s="22"/>
      <c r="EQ10" s="22"/>
      <c r="ER10" s="22"/>
      <c r="ES10" s="22"/>
    </row>
    <row r="11" spans="1:149">
      <c r="A11" s="23" t="s">
        <v>41</v>
      </c>
      <c r="B11" s="30">
        <v>11.282999999999999</v>
      </c>
      <c r="C11" s="30">
        <v>10.724</v>
      </c>
      <c r="D11" s="30">
        <v>11.361000000000001</v>
      </c>
      <c r="E11" s="30">
        <v>12.048999999999999</v>
      </c>
      <c r="F11" s="30">
        <v>13.363</v>
      </c>
      <c r="G11" s="30">
        <v>14.2</v>
      </c>
      <c r="H11" s="30">
        <v>15.81</v>
      </c>
      <c r="I11" s="30">
        <v>16.315999999999999</v>
      </c>
      <c r="J11" s="30">
        <v>15.581</v>
      </c>
      <c r="K11" s="30">
        <v>19.425999999999998</v>
      </c>
      <c r="L11" s="30">
        <f>ROUND(32142/1000,3)</f>
        <v>32.142000000000003</v>
      </c>
      <c r="M11" s="30">
        <f>ROUND(111410/1000,3)</f>
        <v>111.41</v>
      </c>
      <c r="N11" s="30">
        <v>160.46299999999999</v>
      </c>
      <c r="O11" s="30">
        <v>183.702</v>
      </c>
      <c r="P11" s="30">
        <v>208.14500000000001</v>
      </c>
      <c r="Q11" s="30">
        <v>220.87799999999999</v>
      </c>
      <c r="R11" s="30">
        <v>240.458</v>
      </c>
      <c r="S11" s="30">
        <v>310.995</v>
      </c>
      <c r="T11" s="30">
        <v>360.661</v>
      </c>
      <c r="U11" s="30">
        <v>395.77499999999998</v>
      </c>
      <c r="V11" s="30">
        <v>430.49099999999999</v>
      </c>
      <c r="W11" s="30">
        <v>457.52699999999999</v>
      </c>
      <c r="X11" s="30">
        <v>460.21437200000003</v>
      </c>
      <c r="Y11" s="30">
        <v>479.41699999999997</v>
      </c>
      <c r="Z11" s="30">
        <v>496.178</v>
      </c>
      <c r="AA11" s="30">
        <v>565.22500000000002</v>
      </c>
      <c r="AB11" s="30">
        <v>671.64200000000005</v>
      </c>
      <c r="AC11" s="30">
        <v>766.98299999999995</v>
      </c>
      <c r="AD11" s="30">
        <v>561.02</v>
      </c>
      <c r="AE11" s="30">
        <v>535.99199999999996</v>
      </c>
      <c r="AF11" s="30">
        <v>569.92399999999998</v>
      </c>
      <c r="AG11" s="30">
        <v>616.09400000000005</v>
      </c>
      <c r="AH11" s="30">
        <v>688.30994099999998</v>
      </c>
      <c r="AI11" s="30">
        <v>728.85301900000002</v>
      </c>
      <c r="AJ11" s="31">
        <v>0.5</v>
      </c>
      <c r="AK11" s="30">
        <f>ROUND(500/1000,3)</f>
        <v>0.5</v>
      </c>
      <c r="AL11" s="30">
        <v>0.6</v>
      </c>
      <c r="AM11" s="30" t="s">
        <v>37</v>
      </c>
      <c r="AN11" s="30" t="s">
        <v>37</v>
      </c>
      <c r="AO11" s="30" t="s">
        <v>37</v>
      </c>
      <c r="AP11" s="30" t="s">
        <v>37</v>
      </c>
      <c r="AQ11" s="30" t="s">
        <v>37</v>
      </c>
      <c r="AR11" s="30" t="s">
        <v>37</v>
      </c>
      <c r="AS11" s="30" t="s">
        <v>37</v>
      </c>
      <c r="AT11" s="30" t="s">
        <v>37</v>
      </c>
      <c r="AU11" s="30" t="s">
        <v>37</v>
      </c>
      <c r="AV11" s="30" t="s">
        <v>37</v>
      </c>
      <c r="AW11" s="30" t="s">
        <v>37</v>
      </c>
      <c r="AX11" s="30" t="s">
        <v>37</v>
      </c>
      <c r="AY11" s="30" t="s">
        <v>37</v>
      </c>
      <c r="AZ11" s="30" t="s">
        <v>37</v>
      </c>
      <c r="BA11" s="30" t="s">
        <v>37</v>
      </c>
      <c r="BB11" s="30" t="s">
        <v>37</v>
      </c>
      <c r="BC11" s="30" t="s">
        <v>37</v>
      </c>
      <c r="BD11" s="30" t="s">
        <v>37</v>
      </c>
      <c r="BE11" s="30" t="s">
        <v>37</v>
      </c>
      <c r="BF11" s="30" t="s">
        <v>37</v>
      </c>
      <c r="BG11" s="30" t="s">
        <v>37</v>
      </c>
      <c r="BH11" s="30" t="s">
        <v>37</v>
      </c>
      <c r="BI11" s="30" t="s">
        <v>37</v>
      </c>
      <c r="BJ11" s="30" t="s">
        <v>45</v>
      </c>
      <c r="BK11" s="30" t="s">
        <v>45</v>
      </c>
      <c r="BL11" s="30" t="s">
        <v>45</v>
      </c>
      <c r="BM11" s="30" t="s">
        <v>45</v>
      </c>
      <c r="BN11" s="30" t="s">
        <v>45</v>
      </c>
      <c r="BO11" s="30" t="s">
        <v>45</v>
      </c>
      <c r="BP11" s="30" t="s">
        <v>45</v>
      </c>
      <c r="BQ11" s="30" t="s">
        <v>45</v>
      </c>
      <c r="BR11" s="31" t="s">
        <v>37</v>
      </c>
      <c r="BS11" s="30" t="s">
        <v>37</v>
      </c>
      <c r="BT11" s="30" t="s">
        <v>37</v>
      </c>
      <c r="BU11" s="30">
        <v>3.7989760000000001</v>
      </c>
      <c r="BV11" s="30">
        <v>5.9969999999999999</v>
      </c>
      <c r="BW11" s="30" t="s">
        <v>37</v>
      </c>
      <c r="BX11" s="30" t="s">
        <v>37</v>
      </c>
      <c r="BY11" s="30" t="s">
        <v>45</v>
      </c>
      <c r="BZ11" s="30" t="s">
        <v>45</v>
      </c>
      <c r="CA11" s="30" t="s">
        <v>45</v>
      </c>
      <c r="CB11" s="30" t="s">
        <v>45</v>
      </c>
      <c r="CC11" s="30" t="s">
        <v>45</v>
      </c>
      <c r="CD11" s="30" t="s">
        <v>45</v>
      </c>
      <c r="CE11" s="30" t="s">
        <v>45</v>
      </c>
      <c r="CF11" s="30" t="s">
        <v>45</v>
      </c>
      <c r="CG11" s="26">
        <f t="shared" si="22"/>
        <v>11.782999999999999</v>
      </c>
      <c r="CH11" s="27">
        <f t="shared" si="23"/>
        <v>11.224</v>
      </c>
      <c r="CI11" s="27">
        <f t="shared" si="24"/>
        <v>11.961</v>
      </c>
      <c r="CJ11" s="27">
        <f t="shared" si="25"/>
        <v>12.048999999999999</v>
      </c>
      <c r="CK11" s="27">
        <f t="shared" si="26"/>
        <v>13.363</v>
      </c>
      <c r="CL11" s="27">
        <f t="shared" si="27"/>
        <v>14.2</v>
      </c>
      <c r="CM11" s="27">
        <f t="shared" si="28"/>
        <v>15.81</v>
      </c>
      <c r="CN11" s="27">
        <f t="shared" si="29"/>
        <v>16.315999999999999</v>
      </c>
      <c r="CO11" s="27">
        <f t="shared" si="30"/>
        <v>15.581</v>
      </c>
      <c r="CP11" s="27">
        <f t="shared" si="31"/>
        <v>19.425999999999998</v>
      </c>
      <c r="CQ11" s="27">
        <f t="shared" si="32"/>
        <v>32.142000000000003</v>
      </c>
      <c r="CR11" s="27">
        <f t="shared" si="33"/>
        <v>111.41</v>
      </c>
      <c r="CS11" s="27">
        <f t="shared" si="34"/>
        <v>160.46299999999999</v>
      </c>
      <c r="CT11" s="27">
        <f t="shared" si="35"/>
        <v>183.702</v>
      </c>
      <c r="CU11" s="27">
        <f t="shared" si="36"/>
        <v>208.14500000000001</v>
      </c>
      <c r="CV11" s="27">
        <f t="shared" si="37"/>
        <v>220.87799999999999</v>
      </c>
      <c r="CW11" s="27">
        <f t="shared" si="38"/>
        <v>240.458</v>
      </c>
      <c r="CX11" s="27">
        <f t="shared" si="39"/>
        <v>310.995</v>
      </c>
      <c r="CY11" s="27">
        <f t="shared" si="40"/>
        <v>360.661</v>
      </c>
      <c r="CZ11" s="27">
        <f t="shared" si="41"/>
        <v>395.77499999999998</v>
      </c>
      <c r="DA11" s="27">
        <f t="shared" si="42"/>
        <v>430.49099999999999</v>
      </c>
      <c r="DB11" s="27">
        <f t="shared" si="43"/>
        <v>457.52699999999999</v>
      </c>
      <c r="DC11" s="27">
        <f t="shared" si="44"/>
        <v>464.01334800000001</v>
      </c>
      <c r="DD11" s="27">
        <f t="shared" si="45"/>
        <v>485.41399999999999</v>
      </c>
      <c r="DE11" s="27">
        <f t="shared" si="46"/>
        <v>496.178</v>
      </c>
      <c r="DF11" s="27">
        <f t="shared" si="47"/>
        <v>565.22500000000002</v>
      </c>
      <c r="DG11" s="27">
        <f t="shared" si="48"/>
        <v>671.64200000000005</v>
      </c>
      <c r="DH11" s="27">
        <f t="shared" si="49"/>
        <v>766.98299999999995</v>
      </c>
      <c r="DI11" s="27">
        <f t="shared" si="50"/>
        <v>561.02</v>
      </c>
      <c r="DJ11" s="27">
        <f t="shared" si="51"/>
        <v>535.99199999999996</v>
      </c>
      <c r="DK11" s="27">
        <f t="shared" si="52"/>
        <v>569.92399999999998</v>
      </c>
      <c r="DL11" s="27">
        <f t="shared" si="53"/>
        <v>616.09400000000005</v>
      </c>
      <c r="DM11" s="27">
        <f t="shared" si="54"/>
        <v>688.30994099999998</v>
      </c>
      <c r="DN11" s="27">
        <f t="shared" si="54"/>
        <v>728.85301900000002</v>
      </c>
      <c r="EO11" s="22"/>
      <c r="EP11" s="22"/>
      <c r="EQ11" s="22"/>
      <c r="ER11" s="22"/>
      <c r="ES11" s="22"/>
    </row>
    <row r="12" spans="1:149">
      <c r="A12" s="23" t="s">
        <v>42</v>
      </c>
      <c r="B12" s="30" t="s">
        <v>37</v>
      </c>
      <c r="C12" s="30" t="s">
        <v>37</v>
      </c>
      <c r="D12" s="30" t="s">
        <v>37</v>
      </c>
      <c r="E12" s="30" t="s">
        <v>37</v>
      </c>
      <c r="F12" s="30" t="s">
        <v>37</v>
      </c>
      <c r="G12" s="30" t="s">
        <v>37</v>
      </c>
      <c r="H12" s="30" t="s">
        <v>37</v>
      </c>
      <c r="I12" s="30" t="s">
        <v>37</v>
      </c>
      <c r="J12" s="30" t="s">
        <v>37</v>
      </c>
      <c r="K12" s="30" t="s">
        <v>37</v>
      </c>
      <c r="L12" s="30" t="s">
        <v>37</v>
      </c>
      <c r="M12" s="30" t="s">
        <v>37</v>
      </c>
      <c r="N12" s="30" t="s">
        <v>37</v>
      </c>
      <c r="O12" s="30" t="s">
        <v>37</v>
      </c>
      <c r="P12" s="30" t="s">
        <v>37</v>
      </c>
      <c r="Q12" s="30" t="s">
        <v>37</v>
      </c>
      <c r="R12" s="30">
        <v>8.3260000000000005</v>
      </c>
      <c r="S12" s="30">
        <v>21.603999999999999</v>
      </c>
      <c r="T12" s="30">
        <v>38.003</v>
      </c>
      <c r="U12" s="30">
        <v>58.191000000000003</v>
      </c>
      <c r="V12" s="30">
        <v>74.905000000000001</v>
      </c>
      <c r="W12" s="30">
        <v>84.709000000000003</v>
      </c>
      <c r="X12" s="30">
        <v>90.254847999999996</v>
      </c>
      <c r="Y12" s="30">
        <v>93.384</v>
      </c>
      <c r="Z12" s="30">
        <v>94.733999999999995</v>
      </c>
      <c r="AA12" s="30">
        <v>96.745000000000005</v>
      </c>
      <c r="AB12" s="30">
        <v>99.606999999999999</v>
      </c>
      <c r="AC12" s="30">
        <v>101.18899999999999</v>
      </c>
      <c r="AD12" s="30">
        <v>104.893</v>
      </c>
      <c r="AE12" s="30">
        <v>108.265</v>
      </c>
      <c r="AF12" s="30">
        <v>110.85299999999999</v>
      </c>
      <c r="AG12" s="30">
        <v>115.92100000000001</v>
      </c>
      <c r="AH12" s="30">
        <v>119.390029</v>
      </c>
      <c r="AI12" s="30">
        <v>123.000787</v>
      </c>
      <c r="AJ12" s="31" t="s">
        <v>37</v>
      </c>
      <c r="AK12" s="30" t="s">
        <v>37</v>
      </c>
      <c r="AL12" s="30" t="s">
        <v>37</v>
      </c>
      <c r="AM12" s="30" t="s">
        <v>37</v>
      </c>
      <c r="AN12" s="30" t="s">
        <v>37</v>
      </c>
      <c r="AO12" s="30" t="s">
        <v>37</v>
      </c>
      <c r="AP12" s="30" t="s">
        <v>37</v>
      </c>
      <c r="AQ12" s="30" t="s">
        <v>37</v>
      </c>
      <c r="AR12" s="30" t="s">
        <v>37</v>
      </c>
      <c r="AS12" s="30" t="s">
        <v>37</v>
      </c>
      <c r="AT12" s="30" t="s">
        <v>37</v>
      </c>
      <c r="AU12" s="30" t="s">
        <v>37</v>
      </c>
      <c r="AV12" s="30" t="s">
        <v>37</v>
      </c>
      <c r="AW12" s="30" t="s">
        <v>37</v>
      </c>
      <c r="AX12" s="30" t="s">
        <v>37</v>
      </c>
      <c r="AY12" s="30" t="s">
        <v>37</v>
      </c>
      <c r="AZ12" s="30" t="s">
        <v>37</v>
      </c>
      <c r="BA12" s="30" t="s">
        <v>37</v>
      </c>
      <c r="BB12" s="30" t="s">
        <v>37</v>
      </c>
      <c r="BC12" s="30" t="s">
        <v>37</v>
      </c>
      <c r="BD12" s="30" t="s">
        <v>37</v>
      </c>
      <c r="BE12" s="30" t="s">
        <v>37</v>
      </c>
      <c r="BF12" s="30" t="s">
        <v>37</v>
      </c>
      <c r="BG12" s="30" t="s">
        <v>37</v>
      </c>
      <c r="BH12" s="30" t="s">
        <v>37</v>
      </c>
      <c r="BI12" s="30" t="s">
        <v>37</v>
      </c>
      <c r="BJ12" s="30" t="s">
        <v>45</v>
      </c>
      <c r="BK12" s="30" t="s">
        <v>45</v>
      </c>
      <c r="BL12" s="30" t="s">
        <v>45</v>
      </c>
      <c r="BM12" s="30" t="s">
        <v>45</v>
      </c>
      <c r="BN12" s="30" t="s">
        <v>45</v>
      </c>
      <c r="BO12" s="30" t="s">
        <v>45</v>
      </c>
      <c r="BP12" s="30" t="s">
        <v>45</v>
      </c>
      <c r="BQ12" s="30" t="s">
        <v>45</v>
      </c>
      <c r="BR12" s="31">
        <v>2.8769999999999998</v>
      </c>
      <c r="BS12" s="30">
        <v>0.77100000000000002</v>
      </c>
      <c r="BT12" s="30" t="s">
        <v>37</v>
      </c>
      <c r="BU12" s="30" t="s">
        <v>37</v>
      </c>
      <c r="BV12" s="30" t="s">
        <v>37</v>
      </c>
      <c r="BW12" s="30" t="s">
        <v>37</v>
      </c>
      <c r="BX12" s="30" t="s">
        <v>37</v>
      </c>
      <c r="BY12" s="30" t="s">
        <v>45</v>
      </c>
      <c r="BZ12" s="30" t="s">
        <v>45</v>
      </c>
      <c r="CA12" s="30" t="s">
        <v>45</v>
      </c>
      <c r="CB12" s="30" t="s">
        <v>45</v>
      </c>
      <c r="CC12" s="30" t="s">
        <v>45</v>
      </c>
      <c r="CD12" s="30" t="s">
        <v>45</v>
      </c>
      <c r="CE12" s="30" t="s">
        <v>45</v>
      </c>
      <c r="CF12" s="30" t="s">
        <v>45</v>
      </c>
      <c r="CG12" s="26">
        <f t="shared" si="22"/>
        <v>0</v>
      </c>
      <c r="CH12" s="27">
        <f t="shared" si="23"/>
        <v>0</v>
      </c>
      <c r="CI12" s="27">
        <f t="shared" si="24"/>
        <v>0</v>
      </c>
      <c r="CJ12" s="27">
        <f t="shared" si="25"/>
        <v>0</v>
      </c>
      <c r="CK12" s="27">
        <f t="shared" si="26"/>
        <v>0</v>
      </c>
      <c r="CL12" s="27">
        <f t="shared" si="27"/>
        <v>0</v>
      </c>
      <c r="CM12" s="27">
        <f t="shared" si="28"/>
        <v>0</v>
      </c>
      <c r="CN12" s="27">
        <f t="shared" si="29"/>
        <v>0</v>
      </c>
      <c r="CO12" s="27">
        <f t="shared" si="30"/>
        <v>0</v>
      </c>
      <c r="CP12" s="27">
        <f t="shared" si="31"/>
        <v>0</v>
      </c>
      <c r="CQ12" s="27">
        <f t="shared" si="32"/>
        <v>0</v>
      </c>
      <c r="CR12" s="27">
        <f t="shared" si="33"/>
        <v>0</v>
      </c>
      <c r="CS12" s="27">
        <f t="shared" si="34"/>
        <v>0</v>
      </c>
      <c r="CT12" s="27">
        <f t="shared" si="35"/>
        <v>0</v>
      </c>
      <c r="CU12" s="27">
        <f t="shared" si="36"/>
        <v>0</v>
      </c>
      <c r="CV12" s="27">
        <f t="shared" si="37"/>
        <v>0</v>
      </c>
      <c r="CW12" s="27">
        <f t="shared" si="38"/>
        <v>8.3260000000000005</v>
      </c>
      <c r="CX12" s="27">
        <f t="shared" si="39"/>
        <v>21.603999999999999</v>
      </c>
      <c r="CY12" s="27">
        <f t="shared" si="40"/>
        <v>38.003</v>
      </c>
      <c r="CZ12" s="27">
        <f t="shared" si="41"/>
        <v>61.068000000000005</v>
      </c>
      <c r="DA12" s="27">
        <f t="shared" si="42"/>
        <v>75.676000000000002</v>
      </c>
      <c r="DB12" s="27">
        <f t="shared" si="43"/>
        <v>84.709000000000003</v>
      </c>
      <c r="DC12" s="27">
        <f t="shared" si="44"/>
        <v>90.254847999999996</v>
      </c>
      <c r="DD12" s="27">
        <f t="shared" si="45"/>
        <v>93.384</v>
      </c>
      <c r="DE12" s="27">
        <f t="shared" si="46"/>
        <v>94.733999999999995</v>
      </c>
      <c r="DF12" s="27">
        <f t="shared" si="47"/>
        <v>96.745000000000005</v>
      </c>
      <c r="DG12" s="27">
        <f t="shared" si="48"/>
        <v>99.606999999999999</v>
      </c>
      <c r="DH12" s="27">
        <f t="shared" si="49"/>
        <v>101.18899999999999</v>
      </c>
      <c r="DI12" s="27">
        <f t="shared" si="50"/>
        <v>104.893</v>
      </c>
      <c r="DJ12" s="27">
        <f t="shared" si="51"/>
        <v>108.265</v>
      </c>
      <c r="DK12" s="27">
        <f t="shared" si="52"/>
        <v>110.85299999999999</v>
      </c>
      <c r="DL12" s="27">
        <f t="shared" si="53"/>
        <v>115.92100000000001</v>
      </c>
      <c r="DM12" s="27">
        <f t="shared" si="54"/>
        <v>119.390029</v>
      </c>
      <c r="DN12" s="27">
        <f t="shared" si="54"/>
        <v>123.000787</v>
      </c>
      <c r="EO12" s="22"/>
      <c r="EP12" s="22"/>
      <c r="EQ12" s="22"/>
      <c r="ER12" s="22"/>
      <c r="ES12" s="22"/>
    </row>
    <row r="13" spans="1:149">
      <c r="A13" s="23" t="s">
        <v>43</v>
      </c>
      <c r="B13" s="30">
        <v>1.232</v>
      </c>
      <c r="C13" s="30">
        <v>1.2470000000000001</v>
      </c>
      <c r="D13" s="30">
        <v>1.2070000000000001</v>
      </c>
      <c r="E13" s="30">
        <v>0.75900000000000001</v>
      </c>
      <c r="F13" s="30">
        <v>0.63</v>
      </c>
      <c r="G13" s="30">
        <v>0.71399999999999997</v>
      </c>
      <c r="H13" s="30">
        <v>0.72299999999999998</v>
      </c>
      <c r="I13" s="30">
        <v>0.76400000000000001</v>
      </c>
      <c r="J13" s="30">
        <v>0.69699999999999995</v>
      </c>
      <c r="K13" s="30">
        <v>2.5409999999999999</v>
      </c>
      <c r="L13" s="30">
        <f>ROUND(5280/1000,3)</f>
        <v>5.28</v>
      </c>
      <c r="M13" s="30">
        <f>ROUND(6650/1000,3)</f>
        <v>6.65</v>
      </c>
      <c r="N13" s="30">
        <v>8.4730000000000008</v>
      </c>
      <c r="O13" s="30">
        <v>9.5329999999999995</v>
      </c>
      <c r="P13" s="30">
        <v>11.4</v>
      </c>
      <c r="Q13" s="30">
        <v>53.844000000000001</v>
      </c>
      <c r="R13" s="30">
        <v>67.003</v>
      </c>
      <c r="S13" s="30">
        <v>89.703000000000003</v>
      </c>
      <c r="T13" s="30">
        <v>102.66500000000001</v>
      </c>
      <c r="U13" s="30">
        <v>103.56</v>
      </c>
      <c r="V13" s="30">
        <v>110.15</v>
      </c>
      <c r="W13" s="30">
        <v>114.804</v>
      </c>
      <c r="X13" s="30">
        <v>114.979438</v>
      </c>
      <c r="Y13" s="30">
        <v>118.85299999999999</v>
      </c>
      <c r="Z13" s="30">
        <v>118.574</v>
      </c>
      <c r="AA13" s="30">
        <v>129.887</v>
      </c>
      <c r="AB13" s="30">
        <v>135.58600000000001</v>
      </c>
      <c r="AC13" s="30">
        <v>151.64599999999999</v>
      </c>
      <c r="AD13" s="30">
        <v>170.428</v>
      </c>
      <c r="AE13" s="30">
        <v>191.072</v>
      </c>
      <c r="AF13" s="30">
        <v>222.57599999999999</v>
      </c>
      <c r="AG13" s="30">
        <v>252.571</v>
      </c>
      <c r="AH13" s="30">
        <v>255.22977599999999</v>
      </c>
      <c r="AI13" s="30">
        <v>200.766684</v>
      </c>
      <c r="AJ13" s="31">
        <v>7.6999999999999999E-2</v>
      </c>
      <c r="AK13" s="30">
        <f>ROUND(95/1000,3)</f>
        <v>9.5000000000000001E-2</v>
      </c>
      <c r="AL13" s="30">
        <v>9.5000000000000001E-2</v>
      </c>
      <c r="AM13" s="30">
        <v>8.8999999999999996E-2</v>
      </c>
      <c r="AN13" s="24">
        <f>(($AQ13-$AM13)/4)+AM13</f>
        <v>6.8250000000000005E-2</v>
      </c>
      <c r="AO13" s="24">
        <f>(($AQ13-$AM13)/4)+AN13</f>
        <v>4.7500000000000007E-2</v>
      </c>
      <c r="AP13" s="24">
        <f>(($AQ13-$AM13)/4)+AO13</f>
        <v>2.675000000000001E-2</v>
      </c>
      <c r="AQ13" s="30">
        <f>ROUND(6/1000,3)</f>
        <v>6.0000000000000001E-3</v>
      </c>
      <c r="AR13" s="24">
        <f>(($AU13-$AQ13)/4)+AQ13</f>
        <v>7.4999999999999997E-3</v>
      </c>
      <c r="AS13" s="24">
        <f>(($AU13-$AQ13)/4)+AR13</f>
        <v>8.9999999999999993E-3</v>
      </c>
      <c r="AT13" s="24">
        <f>(($AU13-$AQ13)/4)+AS13</f>
        <v>1.0499999999999999E-2</v>
      </c>
      <c r="AU13" s="30">
        <f>ROUND(12/1000,3)</f>
        <v>1.2E-2</v>
      </c>
      <c r="AV13" s="30" t="s">
        <v>37</v>
      </c>
      <c r="AW13" s="30" t="s">
        <v>37</v>
      </c>
      <c r="AX13" s="30" t="s">
        <v>37</v>
      </c>
      <c r="AY13" s="30" t="s">
        <v>37</v>
      </c>
      <c r="AZ13" s="30" t="s">
        <v>37</v>
      </c>
      <c r="BA13" s="30" t="s">
        <v>37</v>
      </c>
      <c r="BB13" s="30" t="s">
        <v>37</v>
      </c>
      <c r="BC13" s="30" t="s">
        <v>37</v>
      </c>
      <c r="BD13" s="30">
        <v>0.751</v>
      </c>
      <c r="BE13" s="30">
        <v>1.8680000000000001</v>
      </c>
      <c r="BF13" s="30">
        <v>1.595086</v>
      </c>
      <c r="BG13" s="30">
        <v>1.71</v>
      </c>
      <c r="BH13" s="30">
        <v>1.395</v>
      </c>
      <c r="BI13" s="30">
        <v>0.46800000000000003</v>
      </c>
      <c r="BJ13" s="30">
        <v>4.2000000000000003E-2</v>
      </c>
      <c r="BK13" s="30">
        <v>0.377</v>
      </c>
      <c r="BL13" s="30">
        <v>1.0129999999999999</v>
      </c>
      <c r="BM13" s="30">
        <v>0.83299999999999996</v>
      </c>
      <c r="BN13" s="30">
        <v>0.92</v>
      </c>
      <c r="BO13" s="30">
        <v>1.038</v>
      </c>
      <c r="BP13" s="30">
        <v>1.0667009999999999</v>
      </c>
      <c r="BQ13" s="30">
        <v>0.91381999999999997</v>
      </c>
      <c r="BR13" s="31">
        <v>41.526000000000003</v>
      </c>
      <c r="BS13" s="30" t="s">
        <v>37</v>
      </c>
      <c r="BT13" s="30" t="s">
        <v>37</v>
      </c>
      <c r="BU13" s="30" t="s">
        <v>37</v>
      </c>
      <c r="BV13" s="30" t="s">
        <v>37</v>
      </c>
      <c r="BW13" s="30" t="s">
        <v>37</v>
      </c>
      <c r="BX13" s="30" t="s">
        <v>37</v>
      </c>
      <c r="BY13" s="30" t="s">
        <v>45</v>
      </c>
      <c r="BZ13" s="30" t="s">
        <v>45</v>
      </c>
      <c r="CA13" s="30">
        <v>0.28899999999999998</v>
      </c>
      <c r="CB13" s="30" t="s">
        <v>45</v>
      </c>
      <c r="CC13" s="30" t="s">
        <v>45</v>
      </c>
      <c r="CD13" s="30" t="s">
        <v>45</v>
      </c>
      <c r="CE13" s="30" t="s">
        <v>45</v>
      </c>
      <c r="CF13" s="30" t="s">
        <v>45</v>
      </c>
      <c r="CG13" s="26">
        <f t="shared" si="22"/>
        <v>1.3089999999999999</v>
      </c>
      <c r="CH13" s="27">
        <f t="shared" si="23"/>
        <v>1.3420000000000001</v>
      </c>
      <c r="CI13" s="27">
        <f t="shared" si="24"/>
        <v>1.302</v>
      </c>
      <c r="CJ13" s="27">
        <f t="shared" si="25"/>
        <v>0.84799999999999998</v>
      </c>
      <c r="CK13" s="27">
        <f t="shared" si="26"/>
        <v>0.69825000000000004</v>
      </c>
      <c r="CL13" s="27">
        <f t="shared" si="27"/>
        <v>0.76149999999999995</v>
      </c>
      <c r="CM13" s="27">
        <f t="shared" si="28"/>
        <v>0.74975000000000003</v>
      </c>
      <c r="CN13" s="27">
        <f t="shared" si="29"/>
        <v>0.77</v>
      </c>
      <c r="CO13" s="27">
        <f t="shared" si="30"/>
        <v>0.7044999999999999</v>
      </c>
      <c r="CP13" s="27">
        <f t="shared" si="31"/>
        <v>2.5499999999999998</v>
      </c>
      <c r="CQ13" s="27">
        <f t="shared" si="32"/>
        <v>5.2905000000000006</v>
      </c>
      <c r="CR13" s="27">
        <f t="shared" si="33"/>
        <v>6.6619999999999999</v>
      </c>
      <c r="CS13" s="27">
        <f t="shared" si="34"/>
        <v>8.4730000000000008</v>
      </c>
      <c r="CT13" s="27">
        <f t="shared" si="35"/>
        <v>9.5329999999999995</v>
      </c>
      <c r="CU13" s="27">
        <f t="shared" si="36"/>
        <v>11.4</v>
      </c>
      <c r="CV13" s="27">
        <f t="shared" si="37"/>
        <v>53.844000000000001</v>
      </c>
      <c r="CW13" s="27">
        <f t="shared" si="38"/>
        <v>67.003</v>
      </c>
      <c r="CX13" s="27">
        <f t="shared" si="39"/>
        <v>89.703000000000003</v>
      </c>
      <c r="CY13" s="27">
        <f t="shared" si="40"/>
        <v>102.66500000000001</v>
      </c>
      <c r="CZ13" s="27">
        <f t="shared" si="41"/>
        <v>145.08600000000001</v>
      </c>
      <c r="DA13" s="27">
        <f t="shared" si="42"/>
        <v>110.90100000000001</v>
      </c>
      <c r="DB13" s="27">
        <f t="shared" si="43"/>
        <v>116.672</v>
      </c>
      <c r="DC13" s="27">
        <f t="shared" si="44"/>
        <v>116.574524</v>
      </c>
      <c r="DD13" s="27">
        <f t="shared" si="45"/>
        <v>120.56299999999999</v>
      </c>
      <c r="DE13" s="27">
        <f t="shared" si="46"/>
        <v>119.96899999999999</v>
      </c>
      <c r="DF13" s="27">
        <f t="shared" si="47"/>
        <v>130.35499999999999</v>
      </c>
      <c r="DG13" s="27">
        <f t="shared" si="48"/>
        <v>135.62800000000001</v>
      </c>
      <c r="DH13" s="27">
        <f t="shared" si="49"/>
        <v>152.023</v>
      </c>
      <c r="DI13" s="27">
        <f t="shared" si="50"/>
        <v>171.73</v>
      </c>
      <c r="DJ13" s="27">
        <f t="shared" si="51"/>
        <v>191.905</v>
      </c>
      <c r="DK13" s="27">
        <f t="shared" si="52"/>
        <v>223.49599999999998</v>
      </c>
      <c r="DL13" s="27">
        <f t="shared" si="53"/>
        <v>253.60900000000001</v>
      </c>
      <c r="DM13" s="27">
        <f t="shared" si="54"/>
        <v>256.29647699999998</v>
      </c>
      <c r="DN13" s="27">
        <f t="shared" si="54"/>
        <v>201.68050399999998</v>
      </c>
      <c r="EO13" s="22"/>
      <c r="EP13" s="22"/>
      <c r="EQ13" s="22"/>
      <c r="ER13" s="22"/>
      <c r="ES13" s="22"/>
    </row>
    <row r="14" spans="1:149">
      <c r="A14" s="23" t="s">
        <v>44</v>
      </c>
      <c r="B14" s="30">
        <v>1.2709999999999999</v>
      </c>
      <c r="C14" s="30">
        <v>1.425</v>
      </c>
      <c r="D14" s="30">
        <v>1.425</v>
      </c>
      <c r="E14" s="30">
        <v>1.56</v>
      </c>
      <c r="F14" s="30">
        <v>2.6709999999999998</v>
      </c>
      <c r="G14" s="30">
        <v>4.5730000000000004</v>
      </c>
      <c r="H14" s="30">
        <v>5.8029999999999999</v>
      </c>
      <c r="I14" s="30">
        <v>4.9889999999999999</v>
      </c>
      <c r="J14" s="30">
        <v>5.4240000000000004</v>
      </c>
      <c r="K14" s="30">
        <v>5.681</v>
      </c>
      <c r="L14" s="30">
        <f>ROUND(6092/1000,3)</f>
        <v>6.0919999999999996</v>
      </c>
      <c r="M14" s="30">
        <f>ROUND(7064/1000,3)</f>
        <v>7.0640000000000001</v>
      </c>
      <c r="N14" s="30">
        <v>5.7160000000000002</v>
      </c>
      <c r="O14" s="30">
        <v>5.9240000000000004</v>
      </c>
      <c r="P14" s="30">
        <v>6.2039999999999997</v>
      </c>
      <c r="Q14" s="30">
        <v>6.8239999999999998</v>
      </c>
      <c r="R14" s="30">
        <v>6.0910000000000002</v>
      </c>
      <c r="S14" s="30">
        <v>6.7510000000000003</v>
      </c>
      <c r="T14" s="30">
        <v>6.375</v>
      </c>
      <c r="U14" s="30">
        <v>4.0010000000000003</v>
      </c>
      <c r="V14" s="30">
        <v>3.8879999999999999</v>
      </c>
      <c r="W14" s="30">
        <v>4.1669999999999998</v>
      </c>
      <c r="X14" s="30">
        <v>4.2467750000000004</v>
      </c>
      <c r="Y14" s="30">
        <v>4.359</v>
      </c>
      <c r="Z14" s="30">
        <v>5.1479999999999997</v>
      </c>
      <c r="AA14" s="30">
        <v>5.3730000000000002</v>
      </c>
      <c r="AB14" s="30">
        <v>5.1589999999999998</v>
      </c>
      <c r="AC14" s="30">
        <v>4.1429999999999998</v>
      </c>
      <c r="AD14" s="30">
        <v>4.0839999999999996</v>
      </c>
      <c r="AE14" s="30">
        <v>3.0569999999999999</v>
      </c>
      <c r="AF14" s="30">
        <v>2.88</v>
      </c>
      <c r="AG14" s="30">
        <v>1.3839999999999999</v>
      </c>
      <c r="AH14" s="30">
        <v>0.66015500000000005</v>
      </c>
      <c r="AI14" s="30">
        <v>0.68633999999999995</v>
      </c>
      <c r="AJ14" s="31">
        <v>1.4999999999999999E-2</v>
      </c>
      <c r="AK14" s="30">
        <f>ROUND(39/1000,3)</f>
        <v>3.9E-2</v>
      </c>
      <c r="AL14" s="30">
        <v>3.9E-2</v>
      </c>
      <c r="AM14" s="30">
        <v>0.14099999999999999</v>
      </c>
      <c r="AN14" s="30">
        <v>1.0999999999999999E-2</v>
      </c>
      <c r="AO14" s="30">
        <v>6.0999999999999999E-2</v>
      </c>
      <c r="AP14" s="30">
        <v>9.6000000000000002E-2</v>
      </c>
      <c r="AQ14" s="30">
        <v>0.121</v>
      </c>
      <c r="AR14" s="30">
        <v>2.5000000000000001E-2</v>
      </c>
      <c r="AS14" s="30">
        <v>4.2000000000000003E-2</v>
      </c>
      <c r="AT14" s="30">
        <f>ROUND(47/1000,3)</f>
        <v>4.7E-2</v>
      </c>
      <c r="AU14" s="30">
        <f>ROUND(230/1000,3)</f>
        <v>0.23</v>
      </c>
      <c r="AV14" s="30">
        <v>2.7E-2</v>
      </c>
      <c r="AW14" s="30">
        <v>6.4000000000000001E-2</v>
      </c>
      <c r="AX14" s="30">
        <v>0.08</v>
      </c>
      <c r="AY14" s="30">
        <v>5.8999999999999997E-2</v>
      </c>
      <c r="AZ14" s="30">
        <v>2.9000000000000001E-2</v>
      </c>
      <c r="BA14" s="30">
        <v>4.5999999999999999E-2</v>
      </c>
      <c r="BB14" s="30">
        <v>0.26500000000000001</v>
      </c>
      <c r="BC14" s="24">
        <f>(($BE$14-$BB$14)/3)+BB14</f>
        <v>0.19900000000000001</v>
      </c>
      <c r="BD14" s="24">
        <f>(($BE$14-$BB$14)/3)+BC14</f>
        <v>0.13300000000000001</v>
      </c>
      <c r="BE14" s="30">
        <v>6.7000000000000004E-2</v>
      </c>
      <c r="BF14" s="30">
        <v>8.6740999999999999E-2</v>
      </c>
      <c r="BG14" s="30">
        <v>0.14499999999999999</v>
      </c>
      <c r="BH14" s="30">
        <v>0.13500000000000001</v>
      </c>
      <c r="BI14" s="30">
        <v>7.2999999999999995E-2</v>
      </c>
      <c r="BJ14" s="30">
        <v>0.08</v>
      </c>
      <c r="BK14" s="30" t="s">
        <v>45</v>
      </c>
      <c r="BL14" s="30" t="s">
        <v>45</v>
      </c>
      <c r="BM14" s="30">
        <v>1.167</v>
      </c>
      <c r="BN14" s="30">
        <v>1.1739999999999999</v>
      </c>
      <c r="BO14" s="30">
        <v>1.1659999999999999</v>
      </c>
      <c r="BP14" s="30">
        <v>1.084916</v>
      </c>
      <c r="BQ14" s="30">
        <v>1.1680299999999999</v>
      </c>
      <c r="BR14" s="31">
        <v>3.4220000000000002</v>
      </c>
      <c r="BS14" s="30">
        <v>0.29299999999999998</v>
      </c>
      <c r="BT14" s="30" t="s">
        <v>37</v>
      </c>
      <c r="BU14" s="30" t="s">
        <v>37</v>
      </c>
      <c r="BV14" s="30" t="s">
        <v>37</v>
      </c>
      <c r="BW14" s="30" t="s">
        <v>37</v>
      </c>
      <c r="BX14" s="30" t="s">
        <v>37</v>
      </c>
      <c r="BY14" s="30" t="s">
        <v>45</v>
      </c>
      <c r="BZ14" s="30">
        <v>0.97</v>
      </c>
      <c r="CA14" s="30">
        <v>0.85099999999999998</v>
      </c>
      <c r="CB14" s="30">
        <v>0.86</v>
      </c>
      <c r="CC14" s="30">
        <v>1.103</v>
      </c>
      <c r="CD14" s="30">
        <v>0.82</v>
      </c>
      <c r="CE14" s="30">
        <v>0.56963399999999997</v>
      </c>
      <c r="CF14" s="30">
        <v>1.6328830000000001</v>
      </c>
      <c r="CG14" s="26">
        <f t="shared" si="22"/>
        <v>1.2859999999999998</v>
      </c>
      <c r="CH14" s="27">
        <f t="shared" si="23"/>
        <v>1.464</v>
      </c>
      <c r="CI14" s="27">
        <f t="shared" si="24"/>
        <v>1.464</v>
      </c>
      <c r="CJ14" s="27">
        <f t="shared" si="25"/>
        <v>1.7010000000000001</v>
      </c>
      <c r="CK14" s="27">
        <f t="shared" si="26"/>
        <v>2.6819999999999999</v>
      </c>
      <c r="CL14" s="27">
        <f t="shared" si="27"/>
        <v>4.6340000000000003</v>
      </c>
      <c r="CM14" s="27">
        <f t="shared" si="28"/>
        <v>5.899</v>
      </c>
      <c r="CN14" s="27">
        <f t="shared" si="29"/>
        <v>5.1099999999999994</v>
      </c>
      <c r="CO14" s="27">
        <f t="shared" si="30"/>
        <v>5.4490000000000007</v>
      </c>
      <c r="CP14" s="27">
        <f t="shared" si="31"/>
        <v>5.7229999999999999</v>
      </c>
      <c r="CQ14" s="27">
        <f t="shared" si="32"/>
        <v>6.1389999999999993</v>
      </c>
      <c r="CR14" s="27">
        <f t="shared" si="33"/>
        <v>7.2940000000000005</v>
      </c>
      <c r="CS14" s="27">
        <f t="shared" si="34"/>
        <v>5.7430000000000003</v>
      </c>
      <c r="CT14" s="27">
        <f t="shared" si="35"/>
        <v>5.9880000000000004</v>
      </c>
      <c r="CU14" s="27">
        <f t="shared" si="36"/>
        <v>6.2839999999999998</v>
      </c>
      <c r="CV14" s="27">
        <f t="shared" si="37"/>
        <v>6.883</v>
      </c>
      <c r="CW14" s="27">
        <f t="shared" si="38"/>
        <v>6.12</v>
      </c>
      <c r="CX14" s="27">
        <f t="shared" si="39"/>
        <v>6.7970000000000006</v>
      </c>
      <c r="CY14" s="27">
        <f t="shared" si="40"/>
        <v>6.64</v>
      </c>
      <c r="CZ14" s="27">
        <f t="shared" si="41"/>
        <v>7.6219999999999999</v>
      </c>
      <c r="DA14" s="27">
        <f t="shared" si="42"/>
        <v>4.3140000000000001</v>
      </c>
      <c r="DB14" s="27">
        <f t="shared" si="43"/>
        <v>4.234</v>
      </c>
      <c r="DC14" s="27">
        <f t="shared" si="44"/>
        <v>4.3335160000000004</v>
      </c>
      <c r="DD14" s="27">
        <f t="shared" si="45"/>
        <v>4.5039999999999996</v>
      </c>
      <c r="DE14" s="27">
        <f t="shared" si="46"/>
        <v>5.2829999999999995</v>
      </c>
      <c r="DF14" s="27">
        <f t="shared" si="47"/>
        <v>5.4460000000000006</v>
      </c>
      <c r="DG14" s="27">
        <f t="shared" si="48"/>
        <v>5.2389999999999999</v>
      </c>
      <c r="DH14" s="27">
        <f t="shared" si="49"/>
        <v>5.1129999999999995</v>
      </c>
      <c r="DI14" s="27">
        <f t="shared" si="50"/>
        <v>4.9349999999999996</v>
      </c>
      <c r="DJ14" s="27">
        <f t="shared" si="51"/>
        <v>5.0840000000000005</v>
      </c>
      <c r="DK14" s="27">
        <f t="shared" si="52"/>
        <v>5.157</v>
      </c>
      <c r="DL14" s="27">
        <f t="shared" si="53"/>
        <v>3.3699999999999997</v>
      </c>
      <c r="DM14" s="27">
        <f t="shared" si="54"/>
        <v>2.314705</v>
      </c>
      <c r="DN14" s="27">
        <f t="shared" si="54"/>
        <v>3.4872529999999999</v>
      </c>
      <c r="EO14" s="22"/>
      <c r="EP14" s="22"/>
      <c r="EQ14" s="22"/>
      <c r="ER14" s="22"/>
      <c r="ES14" s="22"/>
    </row>
    <row r="15" spans="1:149">
      <c r="A15" s="23" t="s">
        <v>46</v>
      </c>
      <c r="B15" s="30">
        <f>ROUND(1.268,3)</f>
        <v>1.268</v>
      </c>
      <c r="C15" s="30">
        <v>1.0669999999999999</v>
      </c>
      <c r="D15" s="30">
        <f>ROUND(945/1000,3)</f>
        <v>0.94499999999999995</v>
      </c>
      <c r="E15" s="30">
        <v>0.54500000000000004</v>
      </c>
      <c r="F15" s="30">
        <v>3.9E-2</v>
      </c>
      <c r="G15" s="30">
        <v>0.43</v>
      </c>
      <c r="H15" s="30">
        <v>5.0999999999999997E-2</v>
      </c>
      <c r="I15" s="30">
        <v>3.5000000000000003E-2</v>
      </c>
      <c r="J15" s="30">
        <v>7.0999999999999994E-2</v>
      </c>
      <c r="K15" s="30">
        <v>5.7000000000000002E-2</v>
      </c>
      <c r="L15" s="30">
        <f>ROUND(56/1000,3)</f>
        <v>5.6000000000000001E-2</v>
      </c>
      <c r="M15" s="30">
        <f>ROUND(58/1000,3)</f>
        <v>5.8000000000000003E-2</v>
      </c>
      <c r="N15" s="30">
        <v>0.06</v>
      </c>
      <c r="O15" s="30">
        <v>0.05</v>
      </c>
      <c r="P15" s="30">
        <v>4.2999999999999997E-2</v>
      </c>
      <c r="Q15" s="30">
        <v>6.7000000000000004E-2</v>
      </c>
      <c r="R15" s="30">
        <v>18.600000000000001</v>
      </c>
      <c r="S15" s="30">
        <v>18.600000000000001</v>
      </c>
      <c r="T15" s="30">
        <v>19.992000000000001</v>
      </c>
      <c r="U15" s="30">
        <v>19.007999999999999</v>
      </c>
      <c r="V15" s="30">
        <v>4.141</v>
      </c>
      <c r="W15" s="30">
        <v>19.434999999999999</v>
      </c>
      <c r="X15" s="30">
        <v>20.069944</v>
      </c>
      <c r="Y15" s="30">
        <v>20.173999999999999</v>
      </c>
      <c r="Z15" s="30">
        <v>19.731000000000002</v>
      </c>
      <c r="AA15" s="30">
        <v>20.353000000000002</v>
      </c>
      <c r="AB15" s="30">
        <v>18.757000000000001</v>
      </c>
      <c r="AC15" s="30">
        <v>18.969000000000001</v>
      </c>
      <c r="AD15" s="30">
        <v>19.010000000000002</v>
      </c>
      <c r="AE15" s="30">
        <v>19.209</v>
      </c>
      <c r="AF15" s="30">
        <v>19.629000000000001</v>
      </c>
      <c r="AG15" s="30">
        <v>20.343</v>
      </c>
      <c r="AH15" s="30">
        <v>20.863852000000001</v>
      </c>
      <c r="AI15" s="30">
        <v>19.482831999999998</v>
      </c>
      <c r="AJ15" s="31">
        <v>0.24199999999999999</v>
      </c>
      <c r="AK15" s="30">
        <f>ROUND(262/1000,3)</f>
        <v>0.26200000000000001</v>
      </c>
      <c r="AL15" s="30">
        <v>0.32500000000000001</v>
      </c>
      <c r="AM15" s="30">
        <v>0.28000000000000003</v>
      </c>
      <c r="AN15" s="30">
        <v>0.38100000000000001</v>
      </c>
      <c r="AO15" s="30">
        <v>0.56000000000000005</v>
      </c>
      <c r="AP15" s="30">
        <v>0.69699999999999995</v>
      </c>
      <c r="AQ15" s="30">
        <v>0.67</v>
      </c>
      <c r="AR15" s="24">
        <f>((AS15-AQ15)/2)+AQ15</f>
        <v>0.36000000000000004</v>
      </c>
      <c r="AS15" s="30">
        <f>ROUND(50/1000,3)</f>
        <v>0.05</v>
      </c>
      <c r="AT15" s="30">
        <f>ROUND(54/1000,3)</f>
        <v>5.3999999999999999E-2</v>
      </c>
      <c r="AU15" s="30">
        <f>ROUND(48/1000,3)</f>
        <v>4.8000000000000001E-2</v>
      </c>
      <c r="AV15" s="30">
        <v>4.2000000000000003E-2</v>
      </c>
      <c r="AW15" s="30">
        <v>2.4E-2</v>
      </c>
      <c r="AX15" s="30">
        <v>3.7999999999999999E-2</v>
      </c>
      <c r="AY15" s="30">
        <v>2.8000000000000001E-2</v>
      </c>
      <c r="AZ15" s="30">
        <v>1.7999999999999999E-2</v>
      </c>
      <c r="BA15" s="30">
        <v>1.7999999999999999E-2</v>
      </c>
      <c r="BB15" s="30">
        <v>0.12</v>
      </c>
      <c r="BC15" s="30">
        <v>2.8000000000000001E-2</v>
      </c>
      <c r="BD15" s="30">
        <v>3.2000000000000001E-2</v>
      </c>
      <c r="BE15" s="30">
        <v>2.8000000000000001E-2</v>
      </c>
      <c r="BF15" s="30">
        <v>3.0300000000000001E-2</v>
      </c>
      <c r="BG15" s="30">
        <v>1.7000000000000001E-2</v>
      </c>
      <c r="BH15" s="30">
        <v>1.7999999999999999E-2</v>
      </c>
      <c r="BI15" s="30">
        <v>3.2000000000000001E-2</v>
      </c>
      <c r="BJ15" s="24">
        <f>((BK15-BI15)/2)+BI15</f>
        <v>2.5500000000000002E-2</v>
      </c>
      <c r="BK15" s="30">
        <v>1.9E-2</v>
      </c>
      <c r="BL15" s="30">
        <v>3.4000000000000002E-2</v>
      </c>
      <c r="BM15" s="30">
        <v>1.7000000000000001E-2</v>
      </c>
      <c r="BN15" s="30">
        <v>1.7000000000000001E-2</v>
      </c>
      <c r="BO15" s="30" t="s">
        <v>45</v>
      </c>
      <c r="BP15" s="30" t="s">
        <v>45</v>
      </c>
      <c r="BQ15" s="30" t="s">
        <v>45</v>
      </c>
      <c r="BR15" s="31" t="s">
        <v>37</v>
      </c>
      <c r="BS15" s="30" t="s">
        <v>37</v>
      </c>
      <c r="BT15" s="30" t="s">
        <v>37</v>
      </c>
      <c r="BU15" s="30" t="s">
        <v>37</v>
      </c>
      <c r="BV15" s="30" t="s">
        <v>37</v>
      </c>
      <c r="BW15" s="30" t="s">
        <v>37</v>
      </c>
      <c r="BX15" s="30" t="s">
        <v>37</v>
      </c>
      <c r="BY15" s="30" t="s">
        <v>45</v>
      </c>
      <c r="BZ15" s="30" t="s">
        <v>45</v>
      </c>
      <c r="CA15" s="30" t="s">
        <v>45</v>
      </c>
      <c r="CB15" s="30" t="s">
        <v>45</v>
      </c>
      <c r="CC15" s="30" t="s">
        <v>45</v>
      </c>
      <c r="CD15" s="30" t="s">
        <v>45</v>
      </c>
      <c r="CE15" s="30" t="s">
        <v>45</v>
      </c>
      <c r="CF15" s="30" t="s">
        <v>45</v>
      </c>
      <c r="CG15" s="26">
        <f t="shared" si="22"/>
        <v>1.51</v>
      </c>
      <c r="CH15" s="27">
        <f t="shared" si="23"/>
        <v>1.329</v>
      </c>
      <c r="CI15" s="27">
        <f t="shared" si="24"/>
        <v>1.27</v>
      </c>
      <c r="CJ15" s="27">
        <f t="shared" si="25"/>
        <v>0.82500000000000007</v>
      </c>
      <c r="CK15" s="27">
        <f t="shared" si="26"/>
        <v>0.42</v>
      </c>
      <c r="CL15" s="27">
        <f t="shared" si="27"/>
        <v>0.99</v>
      </c>
      <c r="CM15" s="27">
        <f t="shared" si="28"/>
        <v>0.748</v>
      </c>
      <c r="CN15" s="27">
        <f t="shared" si="29"/>
        <v>0.70500000000000007</v>
      </c>
      <c r="CO15" s="27">
        <f t="shared" si="30"/>
        <v>0.43100000000000005</v>
      </c>
      <c r="CP15" s="27">
        <f t="shared" si="31"/>
        <v>0.10700000000000001</v>
      </c>
      <c r="CQ15" s="27">
        <f t="shared" si="32"/>
        <v>0.11</v>
      </c>
      <c r="CR15" s="27">
        <f t="shared" si="33"/>
        <v>0.10600000000000001</v>
      </c>
      <c r="CS15" s="27">
        <f t="shared" si="34"/>
        <v>0.10200000000000001</v>
      </c>
      <c r="CT15" s="27">
        <f t="shared" si="35"/>
        <v>7.400000000000001E-2</v>
      </c>
      <c r="CU15" s="27">
        <f t="shared" si="36"/>
        <v>8.0999999999999989E-2</v>
      </c>
      <c r="CV15" s="27">
        <f t="shared" si="37"/>
        <v>9.5000000000000001E-2</v>
      </c>
      <c r="CW15" s="27">
        <f t="shared" si="38"/>
        <v>18.618000000000002</v>
      </c>
      <c r="CX15" s="27">
        <f t="shared" si="39"/>
        <v>18.618000000000002</v>
      </c>
      <c r="CY15" s="27">
        <f t="shared" si="40"/>
        <v>20.112000000000002</v>
      </c>
      <c r="CZ15" s="27">
        <f t="shared" si="41"/>
        <v>19.035999999999998</v>
      </c>
      <c r="DA15" s="27">
        <f t="shared" si="42"/>
        <v>4.173</v>
      </c>
      <c r="DB15" s="27">
        <f t="shared" si="43"/>
        <v>19.462999999999997</v>
      </c>
      <c r="DC15" s="27">
        <f t="shared" si="44"/>
        <v>20.100244</v>
      </c>
      <c r="DD15" s="27">
        <f t="shared" si="45"/>
        <v>20.190999999999999</v>
      </c>
      <c r="DE15" s="27">
        <f t="shared" si="46"/>
        <v>19.749000000000002</v>
      </c>
      <c r="DF15" s="27">
        <f t="shared" si="47"/>
        <v>20.385000000000002</v>
      </c>
      <c r="DG15" s="27">
        <f t="shared" si="48"/>
        <v>18.782500000000002</v>
      </c>
      <c r="DH15" s="27">
        <f t="shared" si="49"/>
        <v>18.988</v>
      </c>
      <c r="DI15" s="27">
        <f t="shared" si="50"/>
        <v>19.044</v>
      </c>
      <c r="DJ15" s="27">
        <f t="shared" si="51"/>
        <v>19.225999999999999</v>
      </c>
      <c r="DK15" s="27">
        <f t="shared" si="52"/>
        <v>19.646000000000001</v>
      </c>
      <c r="DL15" s="27">
        <f t="shared" si="53"/>
        <v>20.343</v>
      </c>
      <c r="DM15" s="27">
        <f t="shared" si="54"/>
        <v>20.863852000000001</v>
      </c>
      <c r="DN15" s="27">
        <f t="shared" si="54"/>
        <v>19.482831999999998</v>
      </c>
      <c r="EO15" s="22"/>
      <c r="EP15" s="22"/>
      <c r="EQ15" s="22"/>
      <c r="ER15" s="22"/>
      <c r="ES15" s="22"/>
    </row>
    <row r="16" spans="1:149">
      <c r="A16" s="23" t="s">
        <v>47</v>
      </c>
      <c r="B16" s="30">
        <v>17.457999999999998</v>
      </c>
      <c r="C16" s="30">
        <v>18.122</v>
      </c>
      <c r="D16" s="30">
        <v>19.829000000000001</v>
      </c>
      <c r="E16" s="30">
        <v>20.928999999999998</v>
      </c>
      <c r="F16" s="30">
        <v>22.038</v>
      </c>
      <c r="G16" s="30">
        <v>23.297000000000001</v>
      </c>
      <c r="H16" s="30">
        <v>23.297000000000001</v>
      </c>
      <c r="I16" s="30">
        <v>24.565999999999999</v>
      </c>
      <c r="J16" s="30">
        <v>24.218</v>
      </c>
      <c r="K16" s="30">
        <v>24.218</v>
      </c>
      <c r="L16" s="30">
        <f>ROUND(24783/1000,3)</f>
        <v>24.783000000000001</v>
      </c>
      <c r="M16" s="30">
        <f>ROUND(28940/1000,3)</f>
        <v>28.94</v>
      </c>
      <c r="N16" s="30">
        <v>27.309000000000001</v>
      </c>
      <c r="O16" s="30">
        <v>28.812999999999999</v>
      </c>
      <c r="P16" s="30">
        <v>46.973999999999997</v>
      </c>
      <c r="Q16" s="30">
        <v>53.307000000000002</v>
      </c>
      <c r="R16" s="30">
        <v>58.432000000000002</v>
      </c>
      <c r="S16" s="30">
        <v>62.384</v>
      </c>
      <c r="T16" s="30">
        <v>62.298999999999999</v>
      </c>
      <c r="U16" s="30">
        <v>45.271999999999998</v>
      </c>
      <c r="V16" s="30">
        <v>49.393000000000001</v>
      </c>
      <c r="W16" s="30">
        <v>50.47</v>
      </c>
      <c r="X16" s="30">
        <v>53.830598999999999</v>
      </c>
      <c r="Y16" s="30">
        <v>57.981999999999999</v>
      </c>
      <c r="Z16" s="30">
        <v>61.381999999999998</v>
      </c>
      <c r="AA16" s="30">
        <v>65.614000000000004</v>
      </c>
      <c r="AB16" s="30">
        <v>62.255000000000003</v>
      </c>
      <c r="AC16" s="30">
        <v>66.460999999999999</v>
      </c>
      <c r="AD16" s="30">
        <v>59.634999999999998</v>
      </c>
      <c r="AE16" s="30">
        <v>8.1430000000000007</v>
      </c>
      <c r="AF16" s="30">
        <v>6.9619999999999997</v>
      </c>
      <c r="AG16" s="30">
        <v>5.7610000000000001</v>
      </c>
      <c r="AH16" s="30">
        <v>5.177689</v>
      </c>
      <c r="AI16" s="30">
        <v>6.1442610000000002</v>
      </c>
      <c r="AJ16" s="31" t="s">
        <v>37</v>
      </c>
      <c r="AK16" s="30" t="s">
        <v>37</v>
      </c>
      <c r="AL16" s="30" t="s">
        <v>37</v>
      </c>
      <c r="AM16" s="30" t="s">
        <v>37</v>
      </c>
      <c r="AN16" s="30" t="s">
        <v>37</v>
      </c>
      <c r="AO16" s="30" t="s">
        <v>37</v>
      </c>
      <c r="AP16" s="30" t="s">
        <v>37</v>
      </c>
      <c r="AQ16" s="30" t="s">
        <v>37</v>
      </c>
      <c r="AR16" s="30" t="s">
        <v>37</v>
      </c>
      <c r="AS16" s="30" t="s">
        <v>37</v>
      </c>
      <c r="AT16" s="30" t="s">
        <v>37</v>
      </c>
      <c r="AU16" s="30">
        <f>ROUND(770/1000,3)</f>
        <v>0.77</v>
      </c>
      <c r="AV16" s="30">
        <v>2.1</v>
      </c>
      <c r="AW16" s="30">
        <v>2.91</v>
      </c>
      <c r="AX16" s="30">
        <v>19.283999999999999</v>
      </c>
      <c r="AY16" s="30">
        <v>21.899000000000001</v>
      </c>
      <c r="AZ16" s="30">
        <v>23.957999999999998</v>
      </c>
      <c r="BA16" s="30">
        <v>25.925000000000001</v>
      </c>
      <c r="BB16" s="30">
        <v>29.452000000000002</v>
      </c>
      <c r="BC16" s="24">
        <f>(('Grants Need-Based'!BJ16-'Grants Need-Based'!BH16)/2)+'Grants Need-Based'!BH16</f>
        <v>0.99050000000000005</v>
      </c>
      <c r="BD16" s="30">
        <v>0.71699999999999997</v>
      </c>
      <c r="BE16" s="30">
        <v>0.89500000000000002</v>
      </c>
      <c r="BF16" s="24">
        <f>((BG16-BE16)/2)+BE16</f>
        <v>1</v>
      </c>
      <c r="BG16" s="30">
        <v>1.105</v>
      </c>
      <c r="BH16" s="30">
        <v>1.181</v>
      </c>
      <c r="BI16" s="30">
        <v>0.85499999999999998</v>
      </c>
      <c r="BJ16" s="30">
        <v>0.53800000000000003</v>
      </c>
      <c r="BK16" s="30">
        <v>0.25</v>
      </c>
      <c r="BL16" s="30" t="s">
        <v>45</v>
      </c>
      <c r="BM16" s="30">
        <v>0.22800000000000001</v>
      </c>
      <c r="BN16" s="30">
        <v>0.24399999999999999</v>
      </c>
      <c r="BO16" s="30">
        <v>0.20100000000000001</v>
      </c>
      <c r="BP16" s="30">
        <v>0.25894800000000001</v>
      </c>
      <c r="BQ16" s="30">
        <v>0.31276100000000001</v>
      </c>
      <c r="BR16" s="31">
        <v>14.545</v>
      </c>
      <c r="BS16" s="30" t="s">
        <v>37</v>
      </c>
      <c r="BT16" s="30" t="s">
        <v>37</v>
      </c>
      <c r="BU16" s="30" t="s">
        <v>37</v>
      </c>
      <c r="BV16" s="30" t="s">
        <v>37</v>
      </c>
      <c r="BW16" s="30" t="s">
        <v>37</v>
      </c>
      <c r="BX16" s="30" t="s">
        <v>37</v>
      </c>
      <c r="BY16" s="30" t="s">
        <v>45</v>
      </c>
      <c r="BZ16" s="30" t="s">
        <v>45</v>
      </c>
      <c r="CA16" s="30" t="s">
        <v>45</v>
      </c>
      <c r="CB16" s="30" t="s">
        <v>45</v>
      </c>
      <c r="CC16" s="30" t="s">
        <v>45</v>
      </c>
      <c r="CD16" s="30" t="s">
        <v>45</v>
      </c>
      <c r="CE16" s="30" t="s">
        <v>45</v>
      </c>
      <c r="CF16" s="30" t="s">
        <v>45</v>
      </c>
      <c r="CG16" s="26">
        <f t="shared" si="22"/>
        <v>17.457999999999998</v>
      </c>
      <c r="CH16" s="27">
        <f t="shared" si="23"/>
        <v>18.122</v>
      </c>
      <c r="CI16" s="27">
        <f t="shared" si="24"/>
        <v>19.829000000000001</v>
      </c>
      <c r="CJ16" s="27">
        <f t="shared" si="25"/>
        <v>20.928999999999998</v>
      </c>
      <c r="CK16" s="27">
        <f t="shared" si="26"/>
        <v>22.038</v>
      </c>
      <c r="CL16" s="27">
        <f t="shared" si="27"/>
        <v>23.297000000000001</v>
      </c>
      <c r="CM16" s="27">
        <f t="shared" si="28"/>
        <v>23.297000000000001</v>
      </c>
      <c r="CN16" s="27">
        <f t="shared" si="29"/>
        <v>24.565999999999999</v>
      </c>
      <c r="CO16" s="27">
        <f t="shared" si="30"/>
        <v>24.218</v>
      </c>
      <c r="CP16" s="27">
        <f t="shared" si="31"/>
        <v>24.218</v>
      </c>
      <c r="CQ16" s="27">
        <f t="shared" si="32"/>
        <v>24.783000000000001</v>
      </c>
      <c r="CR16" s="27">
        <f t="shared" si="33"/>
        <v>29.71</v>
      </c>
      <c r="CS16" s="27">
        <f t="shared" si="34"/>
        <v>29.409000000000002</v>
      </c>
      <c r="CT16" s="27">
        <f t="shared" si="35"/>
        <v>31.722999999999999</v>
      </c>
      <c r="CU16" s="27">
        <f t="shared" si="36"/>
        <v>66.257999999999996</v>
      </c>
      <c r="CV16" s="27">
        <f t="shared" si="37"/>
        <v>75.206000000000003</v>
      </c>
      <c r="CW16" s="27">
        <f t="shared" si="38"/>
        <v>82.39</v>
      </c>
      <c r="CX16" s="27">
        <f t="shared" si="39"/>
        <v>88.308999999999997</v>
      </c>
      <c r="CY16" s="27">
        <f t="shared" si="40"/>
        <v>91.751000000000005</v>
      </c>
      <c r="CZ16" s="27">
        <f t="shared" si="41"/>
        <v>60.807499999999997</v>
      </c>
      <c r="DA16" s="27">
        <f t="shared" si="42"/>
        <v>50.11</v>
      </c>
      <c r="DB16" s="27">
        <f t="shared" si="43"/>
        <v>51.365000000000002</v>
      </c>
      <c r="DC16" s="27">
        <f t="shared" si="44"/>
        <v>54.830598999999999</v>
      </c>
      <c r="DD16" s="27">
        <f t="shared" si="45"/>
        <v>59.086999999999996</v>
      </c>
      <c r="DE16" s="27">
        <f t="shared" si="46"/>
        <v>62.562999999999995</v>
      </c>
      <c r="DF16" s="27">
        <f t="shared" si="47"/>
        <v>66.469000000000008</v>
      </c>
      <c r="DG16" s="27">
        <f t="shared" si="48"/>
        <v>62.792999999999999</v>
      </c>
      <c r="DH16" s="27">
        <f t="shared" si="49"/>
        <v>66.710999999999999</v>
      </c>
      <c r="DI16" s="27">
        <f t="shared" si="50"/>
        <v>59.634999999999998</v>
      </c>
      <c r="DJ16" s="27">
        <f t="shared" si="51"/>
        <v>8.3710000000000004</v>
      </c>
      <c r="DK16" s="27">
        <f t="shared" si="52"/>
        <v>7.2059999999999995</v>
      </c>
      <c r="DL16" s="27">
        <f t="shared" si="53"/>
        <v>5.9619999999999997</v>
      </c>
      <c r="DM16" s="27">
        <f t="shared" si="54"/>
        <v>5.4366370000000002</v>
      </c>
      <c r="DN16" s="27">
        <f t="shared" si="54"/>
        <v>6.4570220000000003</v>
      </c>
      <c r="EO16" s="22"/>
      <c r="EP16" s="22"/>
      <c r="EQ16" s="22"/>
      <c r="ER16" s="22"/>
      <c r="ES16" s="22"/>
    </row>
    <row r="17" spans="1:149">
      <c r="A17" s="23" t="s">
        <v>48</v>
      </c>
      <c r="B17" s="30" t="s">
        <v>37</v>
      </c>
      <c r="C17" s="30" t="s">
        <v>37</v>
      </c>
      <c r="D17" s="30">
        <v>0.14699999999999999</v>
      </c>
      <c r="E17" s="30">
        <v>0.16500000000000001</v>
      </c>
      <c r="F17" s="30">
        <v>0.16500000000000001</v>
      </c>
      <c r="G17" s="30">
        <v>0.16500000000000001</v>
      </c>
      <c r="H17" s="30">
        <v>2.08</v>
      </c>
      <c r="I17" s="30">
        <v>2.8919999999999999</v>
      </c>
      <c r="J17" s="30">
        <v>3.7440000000000002</v>
      </c>
      <c r="K17" s="30">
        <v>3.9590000000000001</v>
      </c>
      <c r="L17" s="30">
        <f>ROUND(6141/1000,3)</f>
        <v>6.141</v>
      </c>
      <c r="M17" s="30">
        <f>ROUND(2986/1000,3)</f>
        <v>2.9860000000000002</v>
      </c>
      <c r="N17" s="30">
        <v>6.859</v>
      </c>
      <c r="O17" s="30">
        <v>7.4880000000000004</v>
      </c>
      <c r="P17" s="30">
        <v>8.7460000000000004</v>
      </c>
      <c r="Q17" s="30">
        <v>9.0749999999999993</v>
      </c>
      <c r="R17" s="30">
        <v>9.016</v>
      </c>
      <c r="S17" s="30">
        <v>9.4269999999999996</v>
      </c>
      <c r="T17" s="30">
        <v>9.3729999999999993</v>
      </c>
      <c r="U17" s="30">
        <v>10.186</v>
      </c>
      <c r="V17" s="30">
        <v>0.81399999999999995</v>
      </c>
      <c r="W17" s="30">
        <v>10.242000000000001</v>
      </c>
      <c r="X17" s="30">
        <v>10.473401000000001</v>
      </c>
      <c r="Y17" s="30">
        <v>9.8859999999999992</v>
      </c>
      <c r="Z17" s="30">
        <v>9.8279999999999994</v>
      </c>
      <c r="AA17" s="30">
        <v>10.220000000000001</v>
      </c>
      <c r="AB17" s="30">
        <v>40.445999999999998</v>
      </c>
      <c r="AC17" s="30">
        <v>11.114000000000001</v>
      </c>
      <c r="AD17" s="30">
        <v>10.965999999999999</v>
      </c>
      <c r="AE17" s="30">
        <v>11.021000000000001</v>
      </c>
      <c r="AF17" s="30">
        <v>10.69</v>
      </c>
      <c r="AG17" s="30">
        <v>11.151999999999999</v>
      </c>
      <c r="AH17" s="30">
        <v>11.400542</v>
      </c>
      <c r="AI17" s="30">
        <v>11.751917000000001</v>
      </c>
      <c r="AJ17" s="31" t="s">
        <v>37</v>
      </c>
      <c r="AK17" s="30" t="s">
        <v>37</v>
      </c>
      <c r="AL17" s="30">
        <v>3.6999999999999998E-2</v>
      </c>
      <c r="AM17" s="30">
        <v>0.28699999999999998</v>
      </c>
      <c r="AN17" s="30">
        <v>0.29399999999999998</v>
      </c>
      <c r="AO17" s="30">
        <v>0.26300000000000001</v>
      </c>
      <c r="AP17" s="30">
        <v>0.28999999999999998</v>
      </c>
      <c r="AQ17" s="30">
        <v>0.309</v>
      </c>
      <c r="AR17" s="30">
        <v>0.33300000000000002</v>
      </c>
      <c r="AS17" s="30">
        <v>0.34100000000000003</v>
      </c>
      <c r="AT17" s="30">
        <f>ROUND(326/1000,3)</f>
        <v>0.32600000000000001</v>
      </c>
      <c r="AU17" s="30">
        <f>ROUND(255/1000,3)</f>
        <v>0.255</v>
      </c>
      <c r="AV17" s="30">
        <v>0.34100000000000003</v>
      </c>
      <c r="AW17" s="30">
        <v>0.34400000000000003</v>
      </c>
      <c r="AX17" s="30">
        <v>0.433</v>
      </c>
      <c r="AY17" s="30">
        <v>0.48199999999999998</v>
      </c>
      <c r="AZ17" s="30">
        <v>0.371</v>
      </c>
      <c r="BA17" s="30">
        <v>0.307</v>
      </c>
      <c r="BB17" s="30">
        <v>0.27100000000000002</v>
      </c>
      <c r="BC17" s="30">
        <v>0.23300000000000001</v>
      </c>
      <c r="BD17" s="30">
        <v>1.0999999999999999E-2</v>
      </c>
      <c r="BE17" s="24">
        <f>((BF17-BD17)/2)+BD17</f>
        <v>2.5500000000000002E-2</v>
      </c>
      <c r="BF17" s="30">
        <v>0.04</v>
      </c>
      <c r="BG17" s="30">
        <v>4.2999999999999997E-2</v>
      </c>
      <c r="BH17" s="30">
        <v>3.6999999999999998E-2</v>
      </c>
      <c r="BI17" s="30">
        <v>3.5000000000000003E-2</v>
      </c>
      <c r="BJ17" s="30">
        <v>3.3000000000000002E-2</v>
      </c>
      <c r="BK17" s="30">
        <v>2.8000000000000001E-2</v>
      </c>
      <c r="BL17" s="30">
        <v>2.5999999999999999E-2</v>
      </c>
      <c r="BM17" s="30">
        <v>2.4E-2</v>
      </c>
      <c r="BN17" s="30">
        <v>3.2000000000000001E-2</v>
      </c>
      <c r="BO17" s="30">
        <v>3.3000000000000002E-2</v>
      </c>
      <c r="BP17" s="30">
        <v>3.8751000000000001E-2</v>
      </c>
      <c r="BQ17" s="30">
        <v>3.2858999999999999E-2</v>
      </c>
      <c r="BR17" s="31">
        <v>8.7999999999999995E-2</v>
      </c>
      <c r="BS17" s="30">
        <v>10.273</v>
      </c>
      <c r="BT17" s="30">
        <v>7.6999999999999999E-2</v>
      </c>
      <c r="BU17" s="30">
        <v>9.3413999999999997E-2</v>
      </c>
      <c r="BV17" s="30">
        <v>7.9000000000000001E-2</v>
      </c>
      <c r="BW17" s="30">
        <v>8.1000000000000003E-2</v>
      </c>
      <c r="BX17" s="30">
        <v>8.5000000000000006E-2</v>
      </c>
      <c r="BY17" s="30">
        <v>8.6999999999999994E-2</v>
      </c>
      <c r="BZ17" s="30">
        <v>9.2999999999999999E-2</v>
      </c>
      <c r="CA17" s="30">
        <v>0.08</v>
      </c>
      <c r="CB17" s="30">
        <v>5.8000000000000003E-2</v>
      </c>
      <c r="CC17" s="30">
        <v>8.2000000000000003E-2</v>
      </c>
      <c r="CD17" s="30">
        <v>8.5000000000000006E-2</v>
      </c>
      <c r="CE17" s="30" t="s">
        <v>45</v>
      </c>
      <c r="CF17" s="30" t="s">
        <v>45</v>
      </c>
      <c r="CG17" s="26">
        <f t="shared" si="22"/>
        <v>0</v>
      </c>
      <c r="CH17" s="27">
        <f t="shared" si="23"/>
        <v>0</v>
      </c>
      <c r="CI17" s="27">
        <f t="shared" si="24"/>
        <v>0.184</v>
      </c>
      <c r="CJ17" s="27">
        <f t="shared" si="25"/>
        <v>0.45199999999999996</v>
      </c>
      <c r="CK17" s="27">
        <f t="shared" si="26"/>
        <v>0.45899999999999996</v>
      </c>
      <c r="CL17" s="27">
        <f t="shared" si="27"/>
        <v>0.42800000000000005</v>
      </c>
      <c r="CM17" s="27">
        <f t="shared" si="28"/>
        <v>2.37</v>
      </c>
      <c r="CN17" s="27">
        <f t="shared" si="29"/>
        <v>3.2010000000000001</v>
      </c>
      <c r="CO17" s="27">
        <f t="shared" si="30"/>
        <v>4.077</v>
      </c>
      <c r="CP17" s="27">
        <f t="shared" si="31"/>
        <v>4.3</v>
      </c>
      <c r="CQ17" s="27">
        <f t="shared" si="32"/>
        <v>6.4669999999999996</v>
      </c>
      <c r="CR17" s="27">
        <f t="shared" si="33"/>
        <v>3.2410000000000001</v>
      </c>
      <c r="CS17" s="27">
        <f t="shared" si="34"/>
        <v>7.2</v>
      </c>
      <c r="CT17" s="27">
        <f t="shared" si="35"/>
        <v>7.8320000000000007</v>
      </c>
      <c r="CU17" s="27">
        <f t="shared" si="36"/>
        <v>9.1790000000000003</v>
      </c>
      <c r="CV17" s="27">
        <f t="shared" si="37"/>
        <v>9.5569999999999986</v>
      </c>
      <c r="CW17" s="27">
        <f t="shared" si="38"/>
        <v>9.3870000000000005</v>
      </c>
      <c r="CX17" s="27">
        <f t="shared" si="39"/>
        <v>9.734</v>
      </c>
      <c r="CY17" s="27">
        <f t="shared" si="40"/>
        <v>9.6440000000000001</v>
      </c>
      <c r="CZ17" s="27">
        <f t="shared" si="41"/>
        <v>10.507</v>
      </c>
      <c r="DA17" s="27">
        <f t="shared" si="42"/>
        <v>11.097999999999999</v>
      </c>
      <c r="DB17" s="27">
        <f t="shared" si="43"/>
        <v>10.3445</v>
      </c>
      <c r="DC17" s="27">
        <f t="shared" si="44"/>
        <v>10.606814999999999</v>
      </c>
      <c r="DD17" s="27">
        <f t="shared" si="45"/>
        <v>10.007999999999999</v>
      </c>
      <c r="DE17" s="27">
        <f t="shared" si="46"/>
        <v>9.9459999999999997</v>
      </c>
      <c r="DF17" s="27">
        <f t="shared" si="47"/>
        <v>10.340000000000002</v>
      </c>
      <c r="DG17" s="27">
        <f t="shared" si="48"/>
        <v>40.566000000000003</v>
      </c>
      <c r="DH17" s="27">
        <f t="shared" si="49"/>
        <v>11.235000000000001</v>
      </c>
      <c r="DI17" s="27">
        <f t="shared" si="50"/>
        <v>11.071999999999999</v>
      </c>
      <c r="DJ17" s="27">
        <f t="shared" si="51"/>
        <v>11.103</v>
      </c>
      <c r="DK17" s="27">
        <f t="shared" si="52"/>
        <v>10.804</v>
      </c>
      <c r="DL17" s="27">
        <f t="shared" si="53"/>
        <v>11.27</v>
      </c>
      <c r="DM17" s="27">
        <f t="shared" si="54"/>
        <v>11.439292999999999</v>
      </c>
      <c r="DN17" s="27">
        <f t="shared" si="54"/>
        <v>11.784776000000001</v>
      </c>
      <c r="EO17" s="22"/>
      <c r="EP17" s="22"/>
      <c r="EQ17" s="22"/>
      <c r="ER17" s="22"/>
      <c r="ES17" s="22"/>
    </row>
    <row r="18" spans="1:149">
      <c r="A18" s="23" t="s">
        <v>49</v>
      </c>
      <c r="B18" s="30" t="s">
        <v>37</v>
      </c>
      <c r="C18" s="30" t="s">
        <v>37</v>
      </c>
      <c r="D18" s="30" t="s">
        <v>37</v>
      </c>
      <c r="E18" s="30" t="s">
        <v>37</v>
      </c>
      <c r="F18" s="30" t="s">
        <v>37</v>
      </c>
      <c r="G18" s="30" t="s">
        <v>37</v>
      </c>
      <c r="H18" s="30" t="s">
        <v>37</v>
      </c>
      <c r="I18" s="30" t="s">
        <v>37</v>
      </c>
      <c r="J18" s="30" t="s">
        <v>37</v>
      </c>
      <c r="K18" s="30" t="s">
        <v>37</v>
      </c>
      <c r="L18" s="30" t="s">
        <v>37</v>
      </c>
      <c r="M18" s="30" t="s">
        <v>37</v>
      </c>
      <c r="N18" s="30" t="s">
        <v>37</v>
      </c>
      <c r="O18" s="30" t="s">
        <v>37</v>
      </c>
      <c r="P18" s="30" t="s">
        <v>37</v>
      </c>
      <c r="Q18" s="30" t="s">
        <v>37</v>
      </c>
      <c r="R18" s="30">
        <v>55.624000000000002</v>
      </c>
      <c r="S18" s="30">
        <v>58.997</v>
      </c>
      <c r="T18" s="30">
        <v>67.067999999999998</v>
      </c>
      <c r="U18" s="30">
        <v>111.935</v>
      </c>
      <c r="V18" s="30">
        <v>184.11600000000001</v>
      </c>
      <c r="W18" s="30">
        <v>196.89699999999999</v>
      </c>
      <c r="X18" s="30">
        <v>209.43283700000001</v>
      </c>
      <c r="Y18" s="30">
        <v>220.91900000000001</v>
      </c>
      <c r="Z18" s="30">
        <v>239.501</v>
      </c>
      <c r="AA18" s="30">
        <v>251.60400000000001</v>
      </c>
      <c r="AB18" s="30">
        <v>261.267</v>
      </c>
      <c r="AC18" s="30">
        <v>264.97399999999999</v>
      </c>
      <c r="AD18" s="30">
        <v>272.87900000000002</v>
      </c>
      <c r="AE18" s="30">
        <v>293.71499999999997</v>
      </c>
      <c r="AF18" s="30">
        <v>295.89400000000001</v>
      </c>
      <c r="AG18" s="30">
        <v>303.29399999999998</v>
      </c>
      <c r="AH18" s="30">
        <v>316.33519799999999</v>
      </c>
      <c r="AI18" s="30">
        <v>327.48159299999998</v>
      </c>
      <c r="AJ18" s="31" t="s">
        <v>37</v>
      </c>
      <c r="AK18" s="30" t="s">
        <v>37</v>
      </c>
      <c r="AL18" s="30" t="s">
        <v>37</v>
      </c>
      <c r="AM18" s="30" t="s">
        <v>37</v>
      </c>
      <c r="AN18" s="30" t="s">
        <v>37</v>
      </c>
      <c r="AO18" s="30" t="s">
        <v>37</v>
      </c>
      <c r="AP18" s="30" t="s">
        <v>37</v>
      </c>
      <c r="AQ18" s="30" t="s">
        <v>37</v>
      </c>
      <c r="AR18" s="30" t="s">
        <v>37</v>
      </c>
      <c r="AS18" s="30" t="s">
        <v>37</v>
      </c>
      <c r="AT18" s="30" t="s">
        <v>37</v>
      </c>
      <c r="AU18" s="30" t="s">
        <v>37</v>
      </c>
      <c r="AV18" s="30" t="s">
        <v>37</v>
      </c>
      <c r="AW18" s="30" t="s">
        <v>37</v>
      </c>
      <c r="AX18" s="30" t="s">
        <v>37</v>
      </c>
      <c r="AY18" s="30" t="s">
        <v>37</v>
      </c>
      <c r="AZ18" s="30" t="s">
        <v>37</v>
      </c>
      <c r="BA18" s="30" t="s">
        <v>37</v>
      </c>
      <c r="BB18" s="30" t="s">
        <v>37</v>
      </c>
      <c r="BC18" s="30">
        <v>1.3169999999999999</v>
      </c>
      <c r="BD18" s="30">
        <v>1.6830000000000001</v>
      </c>
      <c r="BE18" s="30">
        <v>1.6379999999999999</v>
      </c>
      <c r="BF18" s="30">
        <v>1.7399</v>
      </c>
      <c r="BG18" s="30">
        <v>2.048</v>
      </c>
      <c r="BH18" s="30">
        <v>2.444</v>
      </c>
      <c r="BI18" s="30">
        <v>2.444</v>
      </c>
      <c r="BJ18" s="30">
        <v>2.4449999999999998</v>
      </c>
      <c r="BK18" s="30">
        <v>2.4449999999999998</v>
      </c>
      <c r="BL18" s="30">
        <v>2.8610000000000002</v>
      </c>
      <c r="BM18" s="30" t="s">
        <v>45</v>
      </c>
      <c r="BN18" s="30">
        <v>3.069</v>
      </c>
      <c r="BO18" s="30">
        <v>3.1850000000000001</v>
      </c>
      <c r="BP18" s="30">
        <v>3.2356500000000001</v>
      </c>
      <c r="BQ18" s="30">
        <v>3.4103500000000002</v>
      </c>
      <c r="BR18" s="31">
        <v>19.399000000000001</v>
      </c>
      <c r="BS18" s="30" t="s">
        <v>37</v>
      </c>
      <c r="BT18" s="30" t="s">
        <v>37</v>
      </c>
      <c r="BU18" s="30" t="s">
        <v>37</v>
      </c>
      <c r="BV18" s="30" t="s">
        <v>37</v>
      </c>
      <c r="BW18" s="30" t="s">
        <v>37</v>
      </c>
      <c r="BX18" s="30" t="s">
        <v>37</v>
      </c>
      <c r="BY18" s="30" t="s">
        <v>45</v>
      </c>
      <c r="BZ18" s="30" t="s">
        <v>45</v>
      </c>
      <c r="CA18" s="30" t="s">
        <v>45</v>
      </c>
      <c r="CB18" s="30" t="s">
        <v>45</v>
      </c>
      <c r="CC18" s="30">
        <v>0</v>
      </c>
      <c r="CD18" s="30" t="s">
        <v>45</v>
      </c>
      <c r="CE18" s="30" t="s">
        <v>45</v>
      </c>
      <c r="CF18" s="30" t="s">
        <v>45</v>
      </c>
      <c r="CG18" s="26">
        <f t="shared" si="22"/>
        <v>0</v>
      </c>
      <c r="CH18" s="27">
        <f t="shared" si="23"/>
        <v>0</v>
      </c>
      <c r="CI18" s="27">
        <f t="shared" si="24"/>
        <v>0</v>
      </c>
      <c r="CJ18" s="27">
        <f t="shared" si="25"/>
        <v>0</v>
      </c>
      <c r="CK18" s="27">
        <f t="shared" si="26"/>
        <v>0</v>
      </c>
      <c r="CL18" s="27">
        <f t="shared" si="27"/>
        <v>0</v>
      </c>
      <c r="CM18" s="27">
        <f t="shared" si="28"/>
        <v>0</v>
      </c>
      <c r="CN18" s="27">
        <f t="shared" si="29"/>
        <v>0</v>
      </c>
      <c r="CO18" s="27">
        <f t="shared" si="30"/>
        <v>0</v>
      </c>
      <c r="CP18" s="27">
        <f t="shared" si="31"/>
        <v>0</v>
      </c>
      <c r="CQ18" s="27">
        <f t="shared" si="32"/>
        <v>0</v>
      </c>
      <c r="CR18" s="27">
        <f t="shared" si="33"/>
        <v>0</v>
      </c>
      <c r="CS18" s="27">
        <f t="shared" si="34"/>
        <v>0</v>
      </c>
      <c r="CT18" s="27">
        <f t="shared" si="35"/>
        <v>0</v>
      </c>
      <c r="CU18" s="27">
        <f t="shared" si="36"/>
        <v>0</v>
      </c>
      <c r="CV18" s="27">
        <f t="shared" si="37"/>
        <v>0</v>
      </c>
      <c r="CW18" s="27">
        <f t="shared" si="38"/>
        <v>55.624000000000002</v>
      </c>
      <c r="CX18" s="27">
        <f t="shared" si="39"/>
        <v>58.997</v>
      </c>
      <c r="CY18" s="27">
        <f t="shared" si="40"/>
        <v>67.067999999999998</v>
      </c>
      <c r="CZ18" s="27">
        <f t="shared" si="41"/>
        <v>132.65100000000001</v>
      </c>
      <c r="DA18" s="27">
        <f t="shared" si="42"/>
        <v>185.79900000000001</v>
      </c>
      <c r="DB18" s="27">
        <f t="shared" si="43"/>
        <v>198.535</v>
      </c>
      <c r="DC18" s="27">
        <f t="shared" si="44"/>
        <v>211.17273700000001</v>
      </c>
      <c r="DD18" s="27">
        <f t="shared" si="45"/>
        <v>222.96700000000001</v>
      </c>
      <c r="DE18" s="27">
        <f t="shared" si="46"/>
        <v>241.94499999999999</v>
      </c>
      <c r="DF18" s="27">
        <f t="shared" si="47"/>
        <v>254.048</v>
      </c>
      <c r="DG18" s="27">
        <f t="shared" si="48"/>
        <v>263.71199999999999</v>
      </c>
      <c r="DH18" s="27">
        <f t="shared" si="49"/>
        <v>267.41899999999998</v>
      </c>
      <c r="DI18" s="27">
        <f t="shared" si="50"/>
        <v>275.74</v>
      </c>
      <c r="DJ18" s="27">
        <f t="shared" si="51"/>
        <v>293.71499999999997</v>
      </c>
      <c r="DK18" s="27">
        <f t="shared" si="52"/>
        <v>298.96300000000002</v>
      </c>
      <c r="DL18" s="27">
        <f t="shared" si="53"/>
        <v>306.47899999999998</v>
      </c>
      <c r="DM18" s="27">
        <f t="shared" si="54"/>
        <v>319.57084800000001</v>
      </c>
      <c r="DN18" s="27">
        <f t="shared" si="54"/>
        <v>330.89194299999997</v>
      </c>
      <c r="EO18" s="22"/>
      <c r="EP18" s="22"/>
      <c r="EQ18" s="22"/>
      <c r="ER18" s="22"/>
      <c r="ES18" s="22"/>
    </row>
    <row r="19" spans="1:149">
      <c r="A19" s="23" t="s">
        <v>50</v>
      </c>
      <c r="B19" s="30" t="s">
        <v>37</v>
      </c>
      <c r="C19" s="30">
        <v>0.11</v>
      </c>
      <c r="D19" s="30">
        <v>0.20300000000000001</v>
      </c>
      <c r="E19" s="30">
        <v>5.1999999999999998E-2</v>
      </c>
      <c r="F19" s="30">
        <v>0.104</v>
      </c>
      <c r="G19" s="30">
        <v>0.13600000000000001</v>
      </c>
      <c r="H19" s="30">
        <v>0.20499999999999999</v>
      </c>
      <c r="I19" s="30">
        <v>0.56000000000000005</v>
      </c>
      <c r="J19" s="30">
        <v>0.33</v>
      </c>
      <c r="K19" s="30">
        <v>0.86699999999999999</v>
      </c>
      <c r="L19" s="30">
        <f>ROUND(995/1000,3)</f>
        <v>0.995</v>
      </c>
      <c r="M19" s="30">
        <f>ROUND(833/1000,3)</f>
        <v>0.83299999999999996</v>
      </c>
      <c r="N19" s="30">
        <v>0.47800000000000004</v>
      </c>
      <c r="O19" s="30">
        <v>0.71199999999999997</v>
      </c>
      <c r="P19" s="30">
        <v>0.77900000000000003</v>
      </c>
      <c r="Q19" s="30">
        <v>0.85099999999999998</v>
      </c>
      <c r="R19" s="30">
        <v>0.85699999999999998</v>
      </c>
      <c r="S19" s="30">
        <v>0.85199999999999998</v>
      </c>
      <c r="T19" s="30">
        <v>0.59499999999999997</v>
      </c>
      <c r="U19" s="30">
        <v>0.61699999999999999</v>
      </c>
      <c r="V19" s="30">
        <v>0.56200000000000006</v>
      </c>
      <c r="W19" s="30">
        <v>7.194</v>
      </c>
      <c r="X19" s="30">
        <v>122.72511900000001</v>
      </c>
      <c r="Y19" s="30">
        <v>173.32499999999999</v>
      </c>
      <c r="Z19" s="30">
        <v>204.77500000000001</v>
      </c>
      <c r="AA19" s="30">
        <v>235.23500000000001</v>
      </c>
      <c r="AB19" s="30">
        <v>261.733</v>
      </c>
      <c r="AC19" s="30">
        <v>272.69799999999998</v>
      </c>
      <c r="AD19" s="30">
        <v>285.30900000000003</v>
      </c>
      <c r="AE19" s="30">
        <v>284.09199999999998</v>
      </c>
      <c r="AF19" s="30">
        <v>278.27999999999997</v>
      </c>
      <c r="AG19" s="30">
        <v>278.96499999999997</v>
      </c>
      <c r="AH19" s="30">
        <v>286.49987700000003</v>
      </c>
      <c r="AI19" s="30">
        <v>287.83040599999998</v>
      </c>
      <c r="AJ19" s="31" t="s">
        <v>37</v>
      </c>
      <c r="AK19" s="30">
        <v>0.09</v>
      </c>
      <c r="AL19" s="30">
        <v>3.9E-2</v>
      </c>
      <c r="AM19" s="30" t="s">
        <v>45</v>
      </c>
      <c r="AN19" s="30" t="s">
        <v>45</v>
      </c>
      <c r="AO19" s="30" t="s">
        <v>45</v>
      </c>
      <c r="AP19" s="30" t="s">
        <v>45</v>
      </c>
      <c r="AQ19" s="30" t="s">
        <v>45</v>
      </c>
      <c r="AR19" s="30" t="s">
        <v>45</v>
      </c>
      <c r="AS19" s="30" t="s">
        <v>37</v>
      </c>
      <c r="AT19" s="30" t="s">
        <v>37</v>
      </c>
      <c r="AU19" s="30" t="s">
        <v>37</v>
      </c>
      <c r="AV19" s="30" t="s">
        <v>37</v>
      </c>
      <c r="AW19" s="30">
        <v>0.05</v>
      </c>
      <c r="AX19" s="30">
        <v>0.13200000000000001</v>
      </c>
      <c r="AY19" s="30">
        <v>0.13200000000000001</v>
      </c>
      <c r="AZ19" s="30">
        <v>0.19800000000000001</v>
      </c>
      <c r="BA19" s="30" t="s">
        <v>37</v>
      </c>
      <c r="BB19" s="30" t="s">
        <v>37</v>
      </c>
      <c r="BC19" s="30" t="s">
        <v>37</v>
      </c>
      <c r="BD19" s="30" t="s">
        <v>37</v>
      </c>
      <c r="BE19" s="30" t="s">
        <v>37</v>
      </c>
      <c r="BF19" s="30" t="s">
        <v>37</v>
      </c>
      <c r="BG19" s="30" t="s">
        <v>37</v>
      </c>
      <c r="BH19" s="30" t="s">
        <v>37</v>
      </c>
      <c r="BI19" s="30" t="s">
        <v>37</v>
      </c>
      <c r="BJ19" s="30" t="s">
        <v>45</v>
      </c>
      <c r="BK19" s="30" t="s">
        <v>45</v>
      </c>
      <c r="BL19" s="30" t="s">
        <v>45</v>
      </c>
      <c r="BM19" s="30" t="s">
        <v>45</v>
      </c>
      <c r="BN19" s="30" t="s">
        <v>45</v>
      </c>
      <c r="BO19" s="30" t="s">
        <v>45</v>
      </c>
      <c r="BP19" s="30" t="s">
        <v>45</v>
      </c>
      <c r="BQ19" s="30" t="s">
        <v>45</v>
      </c>
      <c r="BR19" s="31" t="s">
        <v>37</v>
      </c>
      <c r="BS19" s="30" t="s">
        <v>37</v>
      </c>
      <c r="BT19" s="30" t="s">
        <v>37</v>
      </c>
      <c r="BU19" s="30">
        <v>2.0603560000000001</v>
      </c>
      <c r="BV19" s="30">
        <v>3.601</v>
      </c>
      <c r="BW19" s="30">
        <v>4.8049999999999997</v>
      </c>
      <c r="BX19" s="30">
        <v>5.7770000000000001</v>
      </c>
      <c r="BY19" s="30" t="s">
        <v>45</v>
      </c>
      <c r="BZ19" s="30" t="s">
        <v>45</v>
      </c>
      <c r="CA19" s="30" t="s">
        <v>45</v>
      </c>
      <c r="CB19" s="30" t="s">
        <v>45</v>
      </c>
      <c r="CC19" s="30" t="s">
        <v>45</v>
      </c>
      <c r="CD19" s="30" t="s">
        <v>45</v>
      </c>
      <c r="CE19" s="30" t="s">
        <v>45</v>
      </c>
      <c r="CF19" s="30" t="s">
        <v>45</v>
      </c>
      <c r="CG19" s="26">
        <f t="shared" si="22"/>
        <v>0</v>
      </c>
      <c r="CH19" s="27">
        <f t="shared" si="23"/>
        <v>0.2</v>
      </c>
      <c r="CI19" s="27">
        <f t="shared" si="24"/>
        <v>0.24200000000000002</v>
      </c>
      <c r="CJ19" s="27">
        <f t="shared" si="25"/>
        <v>5.1999999999999998E-2</v>
      </c>
      <c r="CK19" s="27">
        <f t="shared" si="26"/>
        <v>0.104</v>
      </c>
      <c r="CL19" s="27">
        <f t="shared" si="27"/>
        <v>0.13600000000000001</v>
      </c>
      <c r="CM19" s="27">
        <f t="shared" si="28"/>
        <v>0.20499999999999999</v>
      </c>
      <c r="CN19" s="27">
        <f t="shared" si="29"/>
        <v>0.56000000000000005</v>
      </c>
      <c r="CO19" s="27">
        <f t="shared" si="30"/>
        <v>0.33</v>
      </c>
      <c r="CP19" s="27">
        <f t="shared" si="31"/>
        <v>0.86699999999999999</v>
      </c>
      <c r="CQ19" s="27">
        <f t="shared" si="32"/>
        <v>0.995</v>
      </c>
      <c r="CR19" s="27">
        <f t="shared" si="33"/>
        <v>0.83299999999999996</v>
      </c>
      <c r="CS19" s="27">
        <f t="shared" si="34"/>
        <v>0.47800000000000004</v>
      </c>
      <c r="CT19" s="27">
        <f t="shared" si="35"/>
        <v>0.76200000000000001</v>
      </c>
      <c r="CU19" s="27">
        <f t="shared" si="36"/>
        <v>0.91100000000000003</v>
      </c>
      <c r="CV19" s="27">
        <f t="shared" si="37"/>
        <v>0.98299999999999998</v>
      </c>
      <c r="CW19" s="27">
        <f t="shared" si="38"/>
        <v>1.0549999999999999</v>
      </c>
      <c r="CX19" s="27">
        <f t="shared" si="39"/>
        <v>0.85199999999999998</v>
      </c>
      <c r="CY19" s="27">
        <f t="shared" si="40"/>
        <v>0.59499999999999997</v>
      </c>
      <c r="CZ19" s="27">
        <f t="shared" si="41"/>
        <v>0.61699999999999999</v>
      </c>
      <c r="DA19" s="27">
        <f t="shared" si="42"/>
        <v>0.56200000000000006</v>
      </c>
      <c r="DB19" s="27">
        <f t="shared" si="43"/>
        <v>7.194</v>
      </c>
      <c r="DC19" s="27">
        <f t="shared" si="44"/>
        <v>124.78547500000001</v>
      </c>
      <c r="DD19" s="27">
        <f t="shared" si="45"/>
        <v>176.92599999999999</v>
      </c>
      <c r="DE19" s="27">
        <f t="shared" si="46"/>
        <v>209.58</v>
      </c>
      <c r="DF19" s="27">
        <f t="shared" si="47"/>
        <v>241.012</v>
      </c>
      <c r="DG19" s="27">
        <f t="shared" si="48"/>
        <v>261.733</v>
      </c>
      <c r="DH19" s="27">
        <f t="shared" si="49"/>
        <v>272.69799999999998</v>
      </c>
      <c r="DI19" s="27">
        <f t="shared" si="50"/>
        <v>285.30900000000003</v>
      </c>
      <c r="DJ19" s="27">
        <f t="shared" si="51"/>
        <v>284.09199999999998</v>
      </c>
      <c r="DK19" s="27">
        <f t="shared" si="52"/>
        <v>278.27999999999997</v>
      </c>
      <c r="DL19" s="27">
        <f t="shared" si="53"/>
        <v>278.96499999999997</v>
      </c>
      <c r="DM19" s="27">
        <f t="shared" si="54"/>
        <v>286.49987700000003</v>
      </c>
      <c r="DN19" s="27">
        <f t="shared" si="54"/>
        <v>287.83040599999998</v>
      </c>
      <c r="EO19" s="22"/>
      <c r="EP19" s="22"/>
      <c r="EQ19" s="22"/>
      <c r="ER19" s="22"/>
      <c r="ES19" s="22"/>
    </row>
    <row r="20" spans="1:149" ht="12.6" customHeight="1">
      <c r="A20" s="23" t="s">
        <v>51</v>
      </c>
      <c r="B20" s="30" t="s">
        <v>37</v>
      </c>
      <c r="C20" s="30" t="s">
        <v>37</v>
      </c>
      <c r="D20" s="30" t="s">
        <v>37</v>
      </c>
      <c r="E20" s="30" t="s">
        <v>37</v>
      </c>
      <c r="F20" s="30" t="s">
        <v>37</v>
      </c>
      <c r="G20" s="30" t="s">
        <v>37</v>
      </c>
      <c r="H20" s="30" t="s">
        <v>37</v>
      </c>
      <c r="I20" s="30" t="s">
        <v>37</v>
      </c>
      <c r="J20" s="30" t="s">
        <v>37</v>
      </c>
      <c r="K20" s="30" t="s">
        <v>37</v>
      </c>
      <c r="L20" s="30" t="s">
        <v>37</v>
      </c>
      <c r="M20" s="30" t="s">
        <v>37</v>
      </c>
      <c r="N20" s="30" t="s">
        <v>37</v>
      </c>
      <c r="O20" s="30" t="s">
        <v>37</v>
      </c>
      <c r="P20" s="30" t="s">
        <v>37</v>
      </c>
      <c r="Q20" s="30" t="s">
        <v>37</v>
      </c>
      <c r="R20" s="30" t="s">
        <v>37</v>
      </c>
      <c r="S20" s="30">
        <v>2.246</v>
      </c>
      <c r="T20" s="30">
        <v>2.2709999999999999</v>
      </c>
      <c r="U20" s="30">
        <v>4.0140000000000002</v>
      </c>
      <c r="V20" s="30" t="s">
        <v>37</v>
      </c>
      <c r="W20" s="30" t="s">
        <v>37</v>
      </c>
      <c r="X20" s="30" t="s">
        <v>37</v>
      </c>
      <c r="Y20" s="30" t="s">
        <v>37</v>
      </c>
      <c r="Z20" s="30" t="s">
        <v>37</v>
      </c>
      <c r="AA20" s="30" t="s">
        <v>37</v>
      </c>
      <c r="AB20" s="30" t="s">
        <v>45</v>
      </c>
      <c r="AC20" s="30">
        <v>5.38</v>
      </c>
      <c r="AD20" s="30" t="s">
        <v>45</v>
      </c>
      <c r="AE20" s="30" t="s">
        <v>45</v>
      </c>
      <c r="AF20" s="30" t="s">
        <v>45</v>
      </c>
      <c r="AG20" s="30" t="s">
        <v>45</v>
      </c>
      <c r="AH20" s="30" t="s">
        <v>45</v>
      </c>
      <c r="AI20" s="30" t="s">
        <v>45</v>
      </c>
      <c r="AJ20" s="31" t="s">
        <v>37</v>
      </c>
      <c r="AK20" s="30" t="s">
        <v>37</v>
      </c>
      <c r="AL20" s="30" t="s">
        <v>37</v>
      </c>
      <c r="AM20" s="30" t="s">
        <v>37</v>
      </c>
      <c r="AN20" s="30" t="s">
        <v>37</v>
      </c>
      <c r="AO20" s="30" t="s">
        <v>37</v>
      </c>
      <c r="AP20" s="30" t="s">
        <v>37</v>
      </c>
      <c r="AQ20" s="30" t="s">
        <v>37</v>
      </c>
      <c r="AR20" s="30" t="s">
        <v>37</v>
      </c>
      <c r="AS20" s="30" t="s">
        <v>37</v>
      </c>
      <c r="AT20" s="30" t="s">
        <v>37</v>
      </c>
      <c r="AU20" s="30" t="s">
        <v>37</v>
      </c>
      <c r="AV20" s="30" t="s">
        <v>37</v>
      </c>
      <c r="AW20" s="30" t="s">
        <v>37</v>
      </c>
      <c r="AX20" s="30" t="s">
        <v>37</v>
      </c>
      <c r="AY20" s="30" t="s">
        <v>37</v>
      </c>
      <c r="AZ20" s="30" t="s">
        <v>37</v>
      </c>
      <c r="BA20" s="30" t="s">
        <v>37</v>
      </c>
      <c r="BB20" s="30" t="s">
        <v>37</v>
      </c>
      <c r="BC20" s="30">
        <v>0.17</v>
      </c>
      <c r="BD20" s="30" t="s">
        <v>37</v>
      </c>
      <c r="BE20" s="30" t="s">
        <v>37</v>
      </c>
      <c r="BF20" s="30" t="s">
        <v>37</v>
      </c>
      <c r="BG20" s="30" t="s">
        <v>37</v>
      </c>
      <c r="BH20" s="30" t="s">
        <v>37</v>
      </c>
      <c r="BI20" s="30" t="s">
        <v>37</v>
      </c>
      <c r="BJ20" s="30" t="s">
        <v>45</v>
      </c>
      <c r="BK20" s="30" t="s">
        <v>45</v>
      </c>
      <c r="BL20" s="30" t="s">
        <v>45</v>
      </c>
      <c r="BM20" s="30" t="s">
        <v>45</v>
      </c>
      <c r="BN20" s="30" t="s">
        <v>45</v>
      </c>
      <c r="BO20" s="30" t="s">
        <v>45</v>
      </c>
      <c r="BP20" s="30" t="s">
        <v>45</v>
      </c>
      <c r="BQ20" s="30" t="s">
        <v>45</v>
      </c>
      <c r="BR20" s="31" t="s">
        <v>37</v>
      </c>
      <c r="BS20" s="30">
        <v>4.8780000000000001</v>
      </c>
      <c r="BT20" s="30" t="s">
        <v>37</v>
      </c>
      <c r="BU20" s="30" t="s">
        <v>37</v>
      </c>
      <c r="BV20" s="30" t="s">
        <v>37</v>
      </c>
      <c r="BW20" s="30" t="s">
        <v>37</v>
      </c>
      <c r="BX20" s="30" t="s">
        <v>37</v>
      </c>
      <c r="BY20" s="30" t="s">
        <v>45</v>
      </c>
      <c r="BZ20" s="30" t="s">
        <v>45</v>
      </c>
      <c r="CA20" s="30" t="s">
        <v>45</v>
      </c>
      <c r="CB20" s="30" t="s">
        <v>45</v>
      </c>
      <c r="CC20" s="30" t="s">
        <v>45</v>
      </c>
      <c r="CD20" s="30" t="s">
        <v>45</v>
      </c>
      <c r="CE20" s="30" t="s">
        <v>45</v>
      </c>
      <c r="CF20" s="30" t="s">
        <v>45</v>
      </c>
      <c r="CG20" s="26">
        <f t="shared" si="22"/>
        <v>0</v>
      </c>
      <c r="CH20" s="27">
        <f t="shared" si="23"/>
        <v>0</v>
      </c>
      <c r="CI20" s="27">
        <f t="shared" si="24"/>
        <v>0</v>
      </c>
      <c r="CJ20" s="27">
        <f t="shared" si="25"/>
        <v>0</v>
      </c>
      <c r="CK20" s="27">
        <f t="shared" si="26"/>
        <v>0</v>
      </c>
      <c r="CL20" s="27">
        <f t="shared" si="27"/>
        <v>0</v>
      </c>
      <c r="CM20" s="27">
        <f t="shared" si="28"/>
        <v>0</v>
      </c>
      <c r="CN20" s="27">
        <f t="shared" si="29"/>
        <v>0</v>
      </c>
      <c r="CO20" s="27">
        <f t="shared" si="30"/>
        <v>0</v>
      </c>
      <c r="CP20" s="27">
        <f t="shared" si="31"/>
        <v>0</v>
      </c>
      <c r="CQ20" s="27">
        <f t="shared" si="32"/>
        <v>0</v>
      </c>
      <c r="CR20" s="27">
        <f t="shared" si="33"/>
        <v>0</v>
      </c>
      <c r="CS20" s="27">
        <f t="shared" si="34"/>
        <v>0</v>
      </c>
      <c r="CT20" s="27">
        <f t="shared" si="35"/>
        <v>0</v>
      </c>
      <c r="CU20" s="27">
        <f t="shared" si="36"/>
        <v>0</v>
      </c>
      <c r="CV20" s="27">
        <f t="shared" si="37"/>
        <v>0</v>
      </c>
      <c r="CW20" s="27">
        <f t="shared" si="38"/>
        <v>0</v>
      </c>
      <c r="CX20" s="27">
        <f t="shared" si="39"/>
        <v>2.246</v>
      </c>
      <c r="CY20" s="27">
        <f t="shared" si="40"/>
        <v>2.2709999999999999</v>
      </c>
      <c r="CZ20" s="27">
        <f t="shared" si="41"/>
        <v>4.1840000000000002</v>
      </c>
      <c r="DA20" s="27">
        <f t="shared" si="42"/>
        <v>4.8780000000000001</v>
      </c>
      <c r="DB20" s="27">
        <f t="shared" si="43"/>
        <v>0</v>
      </c>
      <c r="DC20" s="27">
        <f t="shared" si="44"/>
        <v>0</v>
      </c>
      <c r="DD20" s="27">
        <f t="shared" si="45"/>
        <v>0</v>
      </c>
      <c r="DE20" s="27">
        <f t="shared" si="46"/>
        <v>0</v>
      </c>
      <c r="DF20" s="27">
        <f t="shared" si="47"/>
        <v>0</v>
      </c>
      <c r="DG20" s="27">
        <f t="shared" si="48"/>
        <v>0</v>
      </c>
      <c r="DH20" s="27">
        <f t="shared" si="49"/>
        <v>5.38</v>
      </c>
      <c r="DI20" s="27">
        <f t="shared" si="50"/>
        <v>0</v>
      </c>
      <c r="DJ20" s="27">
        <f t="shared" si="51"/>
        <v>0</v>
      </c>
      <c r="DK20" s="27">
        <f t="shared" si="52"/>
        <v>0</v>
      </c>
      <c r="DL20" s="27">
        <f t="shared" si="53"/>
        <v>0</v>
      </c>
      <c r="DM20" s="27">
        <f t="shared" si="54"/>
        <v>0</v>
      </c>
      <c r="DN20" s="27">
        <f t="shared" si="54"/>
        <v>0</v>
      </c>
      <c r="EO20" s="22"/>
      <c r="EP20" s="22"/>
      <c r="EQ20" s="22"/>
      <c r="ER20" s="22"/>
      <c r="ES20" s="22"/>
    </row>
    <row r="21" spans="1:149">
      <c r="A21" s="23" t="s">
        <v>52</v>
      </c>
      <c r="B21" s="30">
        <v>11.609</v>
      </c>
      <c r="C21" s="30">
        <v>11.721</v>
      </c>
      <c r="D21" s="30">
        <v>12.166</v>
      </c>
      <c r="E21" s="30">
        <v>13.776999999999999</v>
      </c>
      <c r="F21" s="30">
        <v>14.739000000000001</v>
      </c>
      <c r="G21" s="30">
        <v>16.82</v>
      </c>
      <c r="H21" s="30">
        <v>16.861000000000001</v>
      </c>
      <c r="I21" s="30">
        <v>16.885999999999999</v>
      </c>
      <c r="J21" s="30">
        <v>17.925999999999998</v>
      </c>
      <c r="K21" s="30">
        <v>18.920999999999999</v>
      </c>
      <c r="L21" s="30">
        <f>ROUND(19536/1000,3)</f>
        <v>19.536000000000001</v>
      </c>
      <c r="M21" s="30">
        <f>ROUND(17339/1000,3)</f>
        <v>17.338999999999999</v>
      </c>
      <c r="N21" s="30">
        <v>17.818000000000001</v>
      </c>
      <c r="O21" s="30">
        <v>21.039000000000001</v>
      </c>
      <c r="P21" s="30">
        <v>24.053000000000001</v>
      </c>
      <c r="Q21" s="30">
        <v>32.35</v>
      </c>
      <c r="R21" s="30">
        <v>35.100999999999999</v>
      </c>
      <c r="S21" s="30">
        <v>44.981999999999999</v>
      </c>
      <c r="T21" s="30">
        <v>40.177999999999997</v>
      </c>
      <c r="U21" s="30">
        <v>39.441000000000003</v>
      </c>
      <c r="V21" s="30">
        <v>33.274000000000001</v>
      </c>
      <c r="W21" s="30">
        <v>41.005000000000003</v>
      </c>
      <c r="X21" s="30">
        <v>42.949837000000002</v>
      </c>
      <c r="Y21" s="30">
        <v>47.533999999999999</v>
      </c>
      <c r="Z21" s="30">
        <v>58.845999999999997</v>
      </c>
      <c r="AA21" s="30">
        <v>60.726999999999997</v>
      </c>
      <c r="AB21" s="30">
        <v>59.951000000000001</v>
      </c>
      <c r="AC21" s="30">
        <v>54.125999999999998</v>
      </c>
      <c r="AD21" s="30">
        <v>59.494</v>
      </c>
      <c r="AE21" s="30">
        <v>65.153000000000006</v>
      </c>
      <c r="AF21" s="30">
        <v>71.653999999999996</v>
      </c>
      <c r="AG21" s="30">
        <v>70.724999999999994</v>
      </c>
      <c r="AH21" s="30">
        <v>71.499667000000002</v>
      </c>
      <c r="AI21" s="30">
        <v>72.641390000000001</v>
      </c>
      <c r="AJ21" s="31" t="s">
        <v>37</v>
      </c>
      <c r="AK21" s="30">
        <v>1.006</v>
      </c>
      <c r="AL21" s="30">
        <v>1.175</v>
      </c>
      <c r="AM21" s="30">
        <v>1.006</v>
      </c>
      <c r="AN21" s="30">
        <v>1.103</v>
      </c>
      <c r="AO21" s="30">
        <v>1.2270000000000001</v>
      </c>
      <c r="AP21" s="30">
        <v>1.228</v>
      </c>
      <c r="AQ21" s="30">
        <v>1.228</v>
      </c>
      <c r="AR21" s="30">
        <v>1.304</v>
      </c>
      <c r="AS21" s="30">
        <v>1.304</v>
      </c>
      <c r="AT21" s="30">
        <f>ROUND(1582/1000,3)</f>
        <v>1.5820000000000001</v>
      </c>
      <c r="AU21" s="30">
        <f>ROUND(10352/1000,3)</f>
        <v>10.352</v>
      </c>
      <c r="AV21" s="30">
        <v>11.077</v>
      </c>
      <c r="AW21" s="30">
        <v>13.292999999999999</v>
      </c>
      <c r="AX21" s="30">
        <v>13.670999999999999</v>
      </c>
      <c r="AY21" s="30">
        <v>14.920999999999999</v>
      </c>
      <c r="AZ21" s="30">
        <v>15.845000000000001</v>
      </c>
      <c r="BA21" s="30">
        <v>10.823</v>
      </c>
      <c r="BB21" s="30">
        <v>14.680999999999999</v>
      </c>
      <c r="BC21" s="30">
        <v>12.548</v>
      </c>
      <c r="BD21" s="30">
        <v>10.031000000000001</v>
      </c>
      <c r="BE21" s="30">
        <v>12.340999999999999</v>
      </c>
      <c r="BF21" s="30">
        <v>14.46658</v>
      </c>
      <c r="BG21" s="30">
        <v>19.806999999999999</v>
      </c>
      <c r="BH21" s="30">
        <v>18.78</v>
      </c>
      <c r="BI21" s="30">
        <v>18.821999999999999</v>
      </c>
      <c r="BJ21" s="30">
        <v>17.314</v>
      </c>
      <c r="BK21" s="30">
        <v>17.445</v>
      </c>
      <c r="BL21" s="30">
        <v>17.736999999999998</v>
      </c>
      <c r="BM21" s="30">
        <v>16.571000000000002</v>
      </c>
      <c r="BN21" s="30">
        <v>18.596</v>
      </c>
      <c r="BO21" s="30">
        <v>14.433999999999999</v>
      </c>
      <c r="BP21" s="30">
        <v>19.066607999999999</v>
      </c>
      <c r="BQ21" s="30">
        <v>21.653676000000001</v>
      </c>
      <c r="BR21" s="31" t="s">
        <v>37</v>
      </c>
      <c r="BS21" s="30">
        <v>1.1020000000000001</v>
      </c>
      <c r="BT21" s="24">
        <f>((BU21-BS21)/2)+BS21</f>
        <v>0.56210000000000004</v>
      </c>
      <c r="BU21" s="30">
        <v>2.2200000000000001E-2</v>
      </c>
      <c r="BV21" s="30">
        <v>2.4060000000000001</v>
      </c>
      <c r="BW21" s="30">
        <v>2.6389999999999998</v>
      </c>
      <c r="BX21" s="30">
        <v>0.91200000000000003</v>
      </c>
      <c r="BY21" s="30">
        <v>1.069</v>
      </c>
      <c r="BZ21" s="30">
        <v>1.484</v>
      </c>
      <c r="CA21" s="30" t="s">
        <v>45</v>
      </c>
      <c r="CB21" s="30" t="s">
        <v>45</v>
      </c>
      <c r="CC21" s="30" t="s">
        <v>45</v>
      </c>
      <c r="CD21" s="30" t="s">
        <v>45</v>
      </c>
      <c r="CE21" s="30" t="s">
        <v>45</v>
      </c>
      <c r="CF21" s="30" t="s">
        <v>45</v>
      </c>
      <c r="CG21" s="26">
        <f t="shared" si="22"/>
        <v>11.609</v>
      </c>
      <c r="CH21" s="27">
        <f t="shared" si="23"/>
        <v>12.727</v>
      </c>
      <c r="CI21" s="27">
        <f t="shared" si="24"/>
        <v>13.341000000000001</v>
      </c>
      <c r="CJ21" s="27">
        <f t="shared" si="25"/>
        <v>14.782999999999999</v>
      </c>
      <c r="CK21" s="27">
        <f t="shared" si="26"/>
        <v>15.842000000000001</v>
      </c>
      <c r="CL21" s="27">
        <f t="shared" si="27"/>
        <v>18.047000000000001</v>
      </c>
      <c r="CM21" s="27">
        <f t="shared" si="28"/>
        <v>18.089000000000002</v>
      </c>
      <c r="CN21" s="27">
        <f t="shared" si="29"/>
        <v>18.114000000000001</v>
      </c>
      <c r="CO21" s="27">
        <f t="shared" si="30"/>
        <v>19.229999999999997</v>
      </c>
      <c r="CP21" s="27">
        <f t="shared" si="31"/>
        <v>20.224999999999998</v>
      </c>
      <c r="CQ21" s="27">
        <f t="shared" si="32"/>
        <v>21.118000000000002</v>
      </c>
      <c r="CR21" s="27">
        <f t="shared" si="33"/>
        <v>27.690999999999999</v>
      </c>
      <c r="CS21" s="27">
        <f t="shared" si="34"/>
        <v>28.895000000000003</v>
      </c>
      <c r="CT21" s="27">
        <f t="shared" si="35"/>
        <v>34.332000000000001</v>
      </c>
      <c r="CU21" s="27">
        <f t="shared" si="36"/>
        <v>37.724000000000004</v>
      </c>
      <c r="CV21" s="27">
        <f t="shared" si="37"/>
        <v>47.271000000000001</v>
      </c>
      <c r="CW21" s="27">
        <f t="shared" si="38"/>
        <v>50.945999999999998</v>
      </c>
      <c r="CX21" s="27">
        <f t="shared" si="39"/>
        <v>55.805</v>
      </c>
      <c r="CY21" s="27">
        <f t="shared" si="40"/>
        <v>54.858999999999995</v>
      </c>
      <c r="CZ21" s="27">
        <f t="shared" si="41"/>
        <v>51.989000000000004</v>
      </c>
      <c r="DA21" s="27">
        <f t="shared" si="42"/>
        <v>44.406999999999996</v>
      </c>
      <c r="DB21" s="27">
        <f t="shared" si="43"/>
        <v>53.908100000000005</v>
      </c>
      <c r="DC21" s="27">
        <f t="shared" si="44"/>
        <v>57.438617000000001</v>
      </c>
      <c r="DD21" s="27">
        <f t="shared" si="45"/>
        <v>69.747</v>
      </c>
      <c r="DE21" s="27">
        <f t="shared" si="46"/>
        <v>80.265000000000001</v>
      </c>
      <c r="DF21" s="27">
        <f t="shared" si="47"/>
        <v>80.460999999999999</v>
      </c>
      <c r="DG21" s="27">
        <f t="shared" si="48"/>
        <v>78.334000000000003</v>
      </c>
      <c r="DH21" s="27">
        <f t="shared" si="49"/>
        <v>73.054999999999993</v>
      </c>
      <c r="DI21" s="27">
        <f t="shared" si="50"/>
        <v>77.230999999999995</v>
      </c>
      <c r="DJ21" s="27">
        <f t="shared" si="51"/>
        <v>81.724000000000004</v>
      </c>
      <c r="DK21" s="27">
        <f t="shared" si="52"/>
        <v>90.25</v>
      </c>
      <c r="DL21" s="27">
        <f t="shared" si="53"/>
        <v>85.158999999999992</v>
      </c>
      <c r="DM21" s="27">
        <f t="shared" si="54"/>
        <v>90.566275000000005</v>
      </c>
      <c r="DN21" s="27">
        <f t="shared" si="54"/>
        <v>94.295066000000006</v>
      </c>
      <c r="EO21" s="22"/>
      <c r="EP21" s="22"/>
      <c r="EQ21" s="22"/>
      <c r="ER21" s="22"/>
      <c r="ES21" s="22"/>
    </row>
    <row r="22" spans="1:149">
      <c r="A22" s="32" t="s">
        <v>53</v>
      </c>
      <c r="B22" s="33">
        <v>2.9</v>
      </c>
      <c r="C22" s="33" t="s">
        <v>45</v>
      </c>
      <c r="D22" s="33" t="s">
        <v>45</v>
      </c>
      <c r="E22" s="33" t="s">
        <v>45</v>
      </c>
      <c r="F22" s="33" t="s">
        <v>45</v>
      </c>
      <c r="G22" s="33" t="s">
        <v>45</v>
      </c>
      <c r="H22" s="33" t="s">
        <v>45</v>
      </c>
      <c r="I22" s="33" t="s">
        <v>45</v>
      </c>
      <c r="J22" s="33" t="s">
        <v>45</v>
      </c>
      <c r="K22" s="33" t="s">
        <v>45</v>
      </c>
      <c r="L22" s="33" t="s">
        <v>45</v>
      </c>
      <c r="M22" s="33">
        <f>ROUND(6320/1000,3)</f>
        <v>6.32</v>
      </c>
      <c r="N22" s="33" t="s">
        <v>45</v>
      </c>
      <c r="O22" s="33" t="s">
        <v>45</v>
      </c>
      <c r="P22" s="33" t="s">
        <v>45</v>
      </c>
      <c r="Q22" s="33" t="s">
        <v>45</v>
      </c>
      <c r="R22" s="33" t="s">
        <v>45</v>
      </c>
      <c r="S22" s="33" t="s">
        <v>45</v>
      </c>
      <c r="T22" s="33" t="s">
        <v>45</v>
      </c>
      <c r="U22" s="33">
        <v>10</v>
      </c>
      <c r="V22" s="33">
        <v>29.224</v>
      </c>
      <c r="W22" s="33">
        <v>31.186</v>
      </c>
      <c r="X22" s="33">
        <v>46.259028999999998</v>
      </c>
      <c r="Y22" s="33">
        <v>46.204999999999998</v>
      </c>
      <c r="Z22" s="33">
        <v>47.947000000000003</v>
      </c>
      <c r="AA22" s="33">
        <v>53.093000000000004</v>
      </c>
      <c r="AB22" s="33">
        <v>56.886000000000003</v>
      </c>
      <c r="AC22" s="33">
        <v>59.308</v>
      </c>
      <c r="AD22" s="33">
        <v>59.497999999999998</v>
      </c>
      <c r="AE22" s="33">
        <v>60.875999999999998</v>
      </c>
      <c r="AF22" s="33">
        <v>59.414999999999999</v>
      </c>
      <c r="AG22" s="33">
        <v>59.646000000000001</v>
      </c>
      <c r="AH22" s="33">
        <v>57.624661000000003</v>
      </c>
      <c r="AI22" s="33">
        <v>58.180791999999997</v>
      </c>
      <c r="AJ22" s="34">
        <v>6.8000000000000005E-2</v>
      </c>
      <c r="AK22" s="33" t="s">
        <v>45</v>
      </c>
      <c r="AL22" s="33" t="s">
        <v>45</v>
      </c>
      <c r="AM22" s="33" t="s">
        <v>45</v>
      </c>
      <c r="AN22" s="33" t="s">
        <v>45</v>
      </c>
      <c r="AO22" s="33" t="s">
        <v>45</v>
      </c>
      <c r="AP22" s="33" t="s">
        <v>45</v>
      </c>
      <c r="AQ22" s="33" t="s">
        <v>45</v>
      </c>
      <c r="AR22" s="33" t="s">
        <v>45</v>
      </c>
      <c r="AS22" s="33" t="s">
        <v>45</v>
      </c>
      <c r="AT22" s="33" t="s">
        <v>45</v>
      </c>
      <c r="AU22" s="33">
        <f>ROUND(2774/1000,3)</f>
        <v>2.774</v>
      </c>
      <c r="AV22" s="33" t="s">
        <v>37</v>
      </c>
      <c r="AW22" s="33" t="s">
        <v>37</v>
      </c>
      <c r="AX22" s="33" t="s">
        <v>37</v>
      </c>
      <c r="AY22" s="33" t="s">
        <v>37</v>
      </c>
      <c r="AZ22" s="33" t="s">
        <v>37</v>
      </c>
      <c r="BA22" s="33" t="s">
        <v>37</v>
      </c>
      <c r="BB22" s="33" t="s">
        <v>37</v>
      </c>
      <c r="BC22" s="33" t="s">
        <v>37</v>
      </c>
      <c r="BD22" s="33">
        <v>1.5740000000000001</v>
      </c>
      <c r="BE22" s="33">
        <v>2.5139999999999998</v>
      </c>
      <c r="BF22" s="33">
        <v>0.26500000000000001</v>
      </c>
      <c r="BG22" s="33">
        <v>0.14000000000000001</v>
      </c>
      <c r="BH22" s="33">
        <v>0.1</v>
      </c>
      <c r="BI22" s="33">
        <v>0.22</v>
      </c>
      <c r="BJ22" s="33">
        <v>0.19</v>
      </c>
      <c r="BK22" s="33">
        <v>0.25</v>
      </c>
      <c r="BL22" s="33">
        <v>0.19</v>
      </c>
      <c r="BM22" s="33">
        <v>0.13</v>
      </c>
      <c r="BN22" s="33">
        <v>0.23</v>
      </c>
      <c r="BO22" s="33">
        <v>0.2</v>
      </c>
      <c r="BP22" s="33">
        <v>0.27</v>
      </c>
      <c r="BQ22" s="33">
        <v>0.375</v>
      </c>
      <c r="BR22" s="34">
        <v>8.9949999999999992</v>
      </c>
      <c r="BS22" s="33">
        <v>4.2999999999999997E-2</v>
      </c>
      <c r="BT22" s="33">
        <v>7.5140000000000002</v>
      </c>
      <c r="BU22" s="33" t="s">
        <v>37</v>
      </c>
      <c r="BV22" s="33" t="s">
        <v>37</v>
      </c>
      <c r="BW22" s="33" t="s">
        <v>37</v>
      </c>
      <c r="BX22" s="33" t="s">
        <v>37</v>
      </c>
      <c r="BY22" s="33" t="s">
        <v>45</v>
      </c>
      <c r="BZ22" s="33" t="s">
        <v>45</v>
      </c>
      <c r="CA22" s="33" t="s">
        <v>45</v>
      </c>
      <c r="CB22" s="33" t="s">
        <v>45</v>
      </c>
      <c r="CC22" s="33" t="s">
        <v>45</v>
      </c>
      <c r="CD22" s="264" t="s">
        <v>45</v>
      </c>
      <c r="CE22" s="33" t="s">
        <v>45</v>
      </c>
      <c r="CF22" s="33" t="s">
        <v>45</v>
      </c>
      <c r="CG22" s="35">
        <f t="shared" ref="CG22:CY22" si="55">SUM(B22,AJ22)</f>
        <v>2.968</v>
      </c>
      <c r="CH22" s="36">
        <f t="shared" si="55"/>
        <v>0</v>
      </c>
      <c r="CI22" s="36">
        <f t="shared" si="55"/>
        <v>0</v>
      </c>
      <c r="CJ22" s="36">
        <f t="shared" si="55"/>
        <v>0</v>
      </c>
      <c r="CK22" s="36">
        <f t="shared" si="55"/>
        <v>0</v>
      </c>
      <c r="CL22" s="36">
        <f t="shared" si="55"/>
        <v>0</v>
      </c>
      <c r="CM22" s="36">
        <f t="shared" si="55"/>
        <v>0</v>
      </c>
      <c r="CN22" s="36">
        <f t="shared" si="55"/>
        <v>0</v>
      </c>
      <c r="CO22" s="36">
        <f t="shared" si="55"/>
        <v>0</v>
      </c>
      <c r="CP22" s="36">
        <f t="shared" si="55"/>
        <v>0</v>
      </c>
      <c r="CQ22" s="36">
        <f t="shared" si="55"/>
        <v>0</v>
      </c>
      <c r="CR22" s="36">
        <f t="shared" si="55"/>
        <v>9.0940000000000012</v>
      </c>
      <c r="CS22" s="36">
        <f t="shared" si="55"/>
        <v>0</v>
      </c>
      <c r="CT22" s="36">
        <f t="shared" si="55"/>
        <v>0</v>
      </c>
      <c r="CU22" s="36">
        <f t="shared" si="55"/>
        <v>0</v>
      </c>
      <c r="CV22" s="36">
        <f t="shared" si="55"/>
        <v>0</v>
      </c>
      <c r="CW22" s="36">
        <f t="shared" si="55"/>
        <v>0</v>
      </c>
      <c r="CX22" s="36">
        <f t="shared" si="55"/>
        <v>0</v>
      </c>
      <c r="CY22" s="36">
        <f t="shared" si="55"/>
        <v>0</v>
      </c>
      <c r="CZ22" s="36">
        <f t="shared" si="41"/>
        <v>18.994999999999997</v>
      </c>
      <c r="DA22" s="36">
        <f t="shared" si="42"/>
        <v>30.841000000000001</v>
      </c>
      <c r="DB22" s="36">
        <f t="shared" si="43"/>
        <v>41.214000000000006</v>
      </c>
      <c r="DC22" s="36">
        <f t="shared" si="44"/>
        <v>46.524028999999999</v>
      </c>
      <c r="DD22" s="36">
        <f t="shared" si="45"/>
        <v>46.344999999999999</v>
      </c>
      <c r="DE22" s="36">
        <f t="shared" si="46"/>
        <v>48.047000000000004</v>
      </c>
      <c r="DF22" s="36">
        <f t="shared" si="47"/>
        <v>53.313000000000002</v>
      </c>
      <c r="DG22" s="36">
        <f t="shared" si="48"/>
        <v>57.076000000000001</v>
      </c>
      <c r="DH22" s="36">
        <f t="shared" si="49"/>
        <v>59.558</v>
      </c>
      <c r="DI22" s="36">
        <f t="shared" si="50"/>
        <v>59.687999999999995</v>
      </c>
      <c r="DJ22" s="36">
        <f t="shared" si="51"/>
        <v>61.006</v>
      </c>
      <c r="DK22" s="36">
        <f t="shared" si="52"/>
        <v>59.644999999999996</v>
      </c>
      <c r="DL22" s="36">
        <f t="shared" si="53"/>
        <v>59.846000000000004</v>
      </c>
      <c r="DM22" s="36">
        <f t="shared" si="54"/>
        <v>57.894661000000006</v>
      </c>
      <c r="DN22" s="36">
        <f t="shared" si="54"/>
        <v>58.555791999999997</v>
      </c>
      <c r="EO22" s="22"/>
      <c r="EP22" s="22"/>
      <c r="EQ22" s="22"/>
      <c r="ER22" s="22"/>
      <c r="ES22" s="22"/>
    </row>
    <row r="23" spans="1:149">
      <c r="A23" s="7" t="s">
        <v>54</v>
      </c>
      <c r="B23" s="37">
        <f>SUM(B25:B37)</f>
        <v>6.9180000000000001</v>
      </c>
      <c r="C23" s="37">
        <f t="shared" ref="C23:CI23" si="56">SUM(C25:C37)</f>
        <v>7.5349999999999993</v>
      </c>
      <c r="D23" s="37">
        <f t="shared" si="56"/>
        <v>8.463000000000001</v>
      </c>
      <c r="E23" s="37">
        <f t="shared" si="56"/>
        <v>8.5839999999999996</v>
      </c>
      <c r="F23" s="37">
        <f t="shared" si="56"/>
        <v>8.1690000000000005</v>
      </c>
      <c r="G23" s="37">
        <f t="shared" si="56"/>
        <v>11.010999999999999</v>
      </c>
      <c r="H23" s="37">
        <f t="shared" si="56"/>
        <v>11.887</v>
      </c>
      <c r="I23" s="37">
        <f t="shared" si="56"/>
        <v>14.032999999999999</v>
      </c>
      <c r="J23" s="37">
        <f t="shared" si="56"/>
        <v>13.912000000000001</v>
      </c>
      <c r="K23" s="37">
        <f t="shared" si="56"/>
        <v>9.3880000000000017</v>
      </c>
      <c r="L23" s="37">
        <f t="shared" si="56"/>
        <v>11.962000000000002</v>
      </c>
      <c r="M23" s="37">
        <f t="shared" si="56"/>
        <v>15.401899999999999</v>
      </c>
      <c r="N23" s="37">
        <f t="shared" si="56"/>
        <v>19.708999999999996</v>
      </c>
      <c r="O23" s="37">
        <f t="shared" si="56"/>
        <v>18.757999999999999</v>
      </c>
      <c r="P23" s="37">
        <f t="shared" si="56"/>
        <v>37.795249999999996</v>
      </c>
      <c r="Q23" s="37">
        <f t="shared" si="56"/>
        <v>31.150500000000001</v>
      </c>
      <c r="R23" s="37">
        <f t="shared" si="56"/>
        <v>41.051749999999998</v>
      </c>
      <c r="S23" s="37">
        <f t="shared" si="56"/>
        <v>49.764999999999993</v>
      </c>
      <c r="T23" s="37">
        <f t="shared" si="56"/>
        <v>34.494900000000001</v>
      </c>
      <c r="U23" s="37">
        <f t="shared" si="56"/>
        <v>43.173299999999998</v>
      </c>
      <c r="V23" s="37">
        <f t="shared" si="56"/>
        <v>79.818700000000007</v>
      </c>
      <c r="W23" s="37">
        <f t="shared" si="56"/>
        <v>103.46461699999999</v>
      </c>
      <c r="X23" s="37">
        <f t="shared" si="56"/>
        <v>90.055324000000013</v>
      </c>
      <c r="Y23" s="37">
        <f t="shared" si="56"/>
        <v>92.302666666666653</v>
      </c>
      <c r="Z23" s="37">
        <f t="shared" si="56"/>
        <v>91.456833333333336</v>
      </c>
      <c r="AA23" s="37">
        <f t="shared" si="56"/>
        <v>101.524</v>
      </c>
      <c r="AB23" s="37">
        <f t="shared" si="56"/>
        <v>95.431999999999988</v>
      </c>
      <c r="AC23" s="37">
        <f t="shared" si="56"/>
        <v>103.38099999999999</v>
      </c>
      <c r="AD23" s="37">
        <f t="shared" si="56"/>
        <v>110.01699999999998</v>
      </c>
      <c r="AE23" s="37">
        <f t="shared" si="56"/>
        <v>102.81099999999999</v>
      </c>
      <c r="AF23" s="37">
        <f t="shared" si="56"/>
        <v>114.14899999999999</v>
      </c>
      <c r="AG23" s="37">
        <f t="shared" si="56"/>
        <v>124.18299999999999</v>
      </c>
      <c r="AH23" s="37">
        <f t="shared" ref="AH23:AI23" si="57">SUM(AH25:AH37)</f>
        <v>120.145578</v>
      </c>
      <c r="AI23" s="37">
        <f t="shared" si="57"/>
        <v>157.85375800000003</v>
      </c>
      <c r="AJ23" s="38">
        <f t="shared" si="56"/>
        <v>0.96499999999999997</v>
      </c>
      <c r="AK23" s="37">
        <f t="shared" si="56"/>
        <v>3.9130000000000003</v>
      </c>
      <c r="AL23" s="37">
        <f t="shared" si="56"/>
        <v>3.7720000000000002</v>
      </c>
      <c r="AM23" s="37">
        <f t="shared" si="56"/>
        <v>3.7220000000000004</v>
      </c>
      <c r="AN23" s="37">
        <f t="shared" si="56"/>
        <v>1.9870000000000001</v>
      </c>
      <c r="AO23" s="37">
        <f t="shared" si="56"/>
        <v>2.036</v>
      </c>
      <c r="AP23" s="37">
        <f t="shared" si="56"/>
        <v>4.056</v>
      </c>
      <c r="AQ23" s="37">
        <f t="shared" si="56"/>
        <v>4.24</v>
      </c>
      <c r="AR23" s="37">
        <f t="shared" si="56"/>
        <v>4.6999999999999993</v>
      </c>
      <c r="AS23" s="37">
        <f t="shared" si="56"/>
        <v>4.0090000000000003</v>
      </c>
      <c r="AT23" s="37">
        <f t="shared" si="56"/>
        <v>3.9369999999999998</v>
      </c>
      <c r="AU23" s="37">
        <f t="shared" si="56"/>
        <v>3.887</v>
      </c>
      <c r="AV23" s="37">
        <f t="shared" si="56"/>
        <v>3.6909999999999998</v>
      </c>
      <c r="AW23" s="37">
        <f t="shared" si="56"/>
        <v>3.7875000000000001</v>
      </c>
      <c r="AX23" s="37">
        <f t="shared" si="56"/>
        <v>8.5404</v>
      </c>
      <c r="AY23" s="37">
        <f t="shared" si="56"/>
        <v>3.6515</v>
      </c>
      <c r="AZ23" s="37">
        <f t="shared" si="56"/>
        <v>3.7455999999999996</v>
      </c>
      <c r="BA23" s="37">
        <f t="shared" si="56"/>
        <v>3.6420000000000003</v>
      </c>
      <c r="BB23" s="37">
        <f t="shared" si="56"/>
        <v>10.820666666666668</v>
      </c>
      <c r="BC23" s="37">
        <f t="shared" si="56"/>
        <v>7.9883333333333333</v>
      </c>
      <c r="BD23" s="37">
        <f t="shared" si="56"/>
        <v>4.843</v>
      </c>
      <c r="BE23" s="37">
        <f t="shared" si="56"/>
        <v>0.86299999999999999</v>
      </c>
      <c r="BF23" s="37">
        <f t="shared" si="56"/>
        <v>0.101199</v>
      </c>
      <c r="BG23" s="37">
        <f t="shared" si="56"/>
        <v>0.19800000000000001</v>
      </c>
      <c r="BH23" s="37">
        <f t="shared" si="56"/>
        <v>0.65400000000000003</v>
      </c>
      <c r="BI23" s="37">
        <f t="shared" si="56"/>
        <v>0.35799999999999998</v>
      </c>
      <c r="BJ23" s="37">
        <f t="shared" si="56"/>
        <v>1.754</v>
      </c>
      <c r="BK23" s="37">
        <f t="shared" si="56"/>
        <v>1.2999999999999998</v>
      </c>
      <c r="BL23" s="37">
        <f t="shared" si="56"/>
        <v>1.194</v>
      </c>
      <c r="BM23" s="37">
        <f t="shared" si="56"/>
        <v>0.85699999999999998</v>
      </c>
      <c r="BN23" s="37">
        <f t="shared" si="56"/>
        <v>1.37</v>
      </c>
      <c r="BO23" s="37">
        <f t="shared" si="56"/>
        <v>1.405</v>
      </c>
      <c r="BP23" s="37">
        <f t="shared" ref="BP23:BQ23" si="58">SUM(BP25:BP37)</f>
        <v>0.828241</v>
      </c>
      <c r="BQ23" s="37">
        <f t="shared" si="58"/>
        <v>1.189929</v>
      </c>
      <c r="BR23" s="38">
        <f t="shared" si="56"/>
        <v>55.764000000000003</v>
      </c>
      <c r="BS23" s="37">
        <f t="shared" si="56"/>
        <v>15.73</v>
      </c>
      <c r="BT23" s="37">
        <f t="shared" si="56"/>
        <v>1.587</v>
      </c>
      <c r="BU23" s="37">
        <f t="shared" si="56"/>
        <v>0.98799999999999999</v>
      </c>
      <c r="BV23" s="37">
        <f t="shared" si="56"/>
        <v>0.89500000000000002</v>
      </c>
      <c r="BW23" s="37">
        <f t="shared" si="56"/>
        <v>0.96399999999999997</v>
      </c>
      <c r="BX23" s="37">
        <f t="shared" si="56"/>
        <v>0</v>
      </c>
      <c r="BY23" s="37">
        <f t="shared" si="56"/>
        <v>0.872</v>
      </c>
      <c r="BZ23" s="37">
        <f t="shared" si="56"/>
        <v>2.5960000000000001</v>
      </c>
      <c r="CA23" s="37">
        <f t="shared" si="56"/>
        <v>2.6230000000000002</v>
      </c>
      <c r="CB23" s="37">
        <f t="shared" si="56"/>
        <v>22.2</v>
      </c>
      <c r="CC23" s="37">
        <f t="shared" si="56"/>
        <v>11.157</v>
      </c>
      <c r="CD23" s="37">
        <f t="shared" si="56"/>
        <v>10.984</v>
      </c>
      <c r="CE23" s="37">
        <f t="shared" ref="CE23:CF23" si="59">SUM(CE25:CE37)</f>
        <v>12.888571000000001</v>
      </c>
      <c r="CF23" s="37">
        <f t="shared" si="59"/>
        <v>0.28609600000000002</v>
      </c>
      <c r="CG23" s="39">
        <f t="shared" si="56"/>
        <v>7.883</v>
      </c>
      <c r="CH23" s="40">
        <f t="shared" si="56"/>
        <v>11.448000000000002</v>
      </c>
      <c r="CI23" s="40">
        <f t="shared" si="56"/>
        <v>12.235000000000001</v>
      </c>
      <c r="CJ23" s="40">
        <f t="shared" ref="CJ23:DG23" si="60">SUM(CJ25:CJ37)</f>
        <v>12.305999999999999</v>
      </c>
      <c r="CK23" s="40">
        <f t="shared" si="60"/>
        <v>10.156000000000001</v>
      </c>
      <c r="CL23" s="40">
        <f t="shared" si="60"/>
        <v>13.047000000000002</v>
      </c>
      <c r="CM23" s="40">
        <f t="shared" si="60"/>
        <v>15.942999999999998</v>
      </c>
      <c r="CN23" s="40">
        <f t="shared" si="60"/>
        <v>18.273</v>
      </c>
      <c r="CO23" s="40">
        <f t="shared" si="60"/>
        <v>18.612000000000002</v>
      </c>
      <c r="CP23" s="40">
        <f t="shared" si="60"/>
        <v>13.397000000000002</v>
      </c>
      <c r="CQ23" s="40">
        <f t="shared" si="60"/>
        <v>15.899000000000003</v>
      </c>
      <c r="CR23" s="40">
        <f t="shared" si="60"/>
        <v>19.288900000000002</v>
      </c>
      <c r="CS23" s="40">
        <f t="shared" si="60"/>
        <v>23.4</v>
      </c>
      <c r="CT23" s="40">
        <f t="shared" si="60"/>
        <v>22.545499999999997</v>
      </c>
      <c r="CU23" s="40">
        <f t="shared" si="60"/>
        <v>46.335650000000001</v>
      </c>
      <c r="CV23" s="40">
        <f t="shared" si="60"/>
        <v>34.802</v>
      </c>
      <c r="CW23" s="40">
        <f t="shared" si="60"/>
        <v>44.797350000000002</v>
      </c>
      <c r="CX23" s="40">
        <f t="shared" si="60"/>
        <v>53.406999999999996</v>
      </c>
      <c r="CY23" s="40">
        <f t="shared" si="60"/>
        <v>45.315566666666669</v>
      </c>
      <c r="CZ23" s="40">
        <f t="shared" si="60"/>
        <v>106.92563333333332</v>
      </c>
      <c r="DA23" s="40">
        <f t="shared" si="60"/>
        <v>100.3917</v>
      </c>
      <c r="DB23" s="40">
        <f t="shared" si="60"/>
        <v>105.91461699999999</v>
      </c>
      <c r="DC23" s="40">
        <f t="shared" si="60"/>
        <v>91.144523000000021</v>
      </c>
      <c r="DD23" s="40">
        <f t="shared" si="60"/>
        <v>93.395666666666656</v>
      </c>
      <c r="DE23" s="40">
        <f t="shared" si="60"/>
        <v>93.074833333333345</v>
      </c>
      <c r="DF23" s="40">
        <f t="shared" si="60"/>
        <v>101.88199999999999</v>
      </c>
      <c r="DG23" s="40">
        <f t="shared" si="60"/>
        <v>98.057999999999993</v>
      </c>
      <c r="DH23" s="40">
        <f>SUM(DH25:DH37)</f>
        <v>107.27699999999999</v>
      </c>
      <c r="DI23" s="40">
        <f>SUM(DI25:DI37)</f>
        <v>113.83399999999999</v>
      </c>
      <c r="DJ23" s="40">
        <f t="shared" ref="DJ23:DK23" si="61">SUM(DJ25:DJ37)</f>
        <v>125.86799999999999</v>
      </c>
      <c r="DK23" s="40">
        <f t="shared" si="61"/>
        <v>126.67599999999997</v>
      </c>
      <c r="DL23" s="40">
        <f t="shared" ref="DL23:DM23" si="62">SUM(DL25:DL37)</f>
        <v>136.572</v>
      </c>
      <c r="DM23" s="40">
        <f t="shared" si="62"/>
        <v>133.86239</v>
      </c>
      <c r="DN23" s="40">
        <f t="shared" ref="DN23" si="63">SUM(DN25:DN37)</f>
        <v>159.32978300000002</v>
      </c>
    </row>
    <row r="24" spans="1:149">
      <c r="A24" s="7" t="s">
        <v>35</v>
      </c>
      <c r="AJ24" s="28"/>
      <c r="BR24" s="28"/>
      <c r="CG24" s="29"/>
    </row>
    <row r="25" spans="1:149">
      <c r="A25" s="23" t="s">
        <v>55</v>
      </c>
      <c r="B25" s="30" t="s">
        <v>37</v>
      </c>
      <c r="C25" s="30" t="s">
        <v>37</v>
      </c>
      <c r="D25" s="30" t="s">
        <v>37</v>
      </c>
      <c r="E25" s="30" t="s">
        <v>37</v>
      </c>
      <c r="F25" s="30" t="s">
        <v>37</v>
      </c>
      <c r="G25" s="30" t="s">
        <v>37</v>
      </c>
      <c r="H25" s="30" t="s">
        <v>37</v>
      </c>
      <c r="I25" s="30" t="s">
        <v>37</v>
      </c>
      <c r="J25" s="30" t="s">
        <v>37</v>
      </c>
      <c r="K25" s="30">
        <v>2.5000000000000001E-2</v>
      </c>
      <c r="L25" s="30">
        <v>5.3999999999999999E-2</v>
      </c>
      <c r="M25" s="30" t="s">
        <v>37</v>
      </c>
      <c r="N25" s="30" t="s">
        <v>37</v>
      </c>
      <c r="O25" s="30" t="s">
        <v>37</v>
      </c>
      <c r="P25" s="30" t="s">
        <v>37</v>
      </c>
      <c r="Q25" s="30" t="s">
        <v>37</v>
      </c>
      <c r="R25" s="30" t="s">
        <v>37</v>
      </c>
      <c r="S25" s="30" t="s">
        <v>37</v>
      </c>
      <c r="T25" s="30" t="s">
        <v>37</v>
      </c>
      <c r="U25" s="30" t="s">
        <v>37</v>
      </c>
      <c r="V25" s="30" t="s">
        <v>37</v>
      </c>
      <c r="W25" s="30" t="s">
        <v>37</v>
      </c>
      <c r="X25" s="30" t="s">
        <v>37</v>
      </c>
      <c r="Y25" s="30" t="s">
        <v>37</v>
      </c>
      <c r="Z25" s="30" t="s">
        <v>37</v>
      </c>
      <c r="AA25" s="30" t="s">
        <v>37</v>
      </c>
      <c r="AB25" s="30" t="s">
        <v>45</v>
      </c>
      <c r="AC25" s="30" t="s">
        <v>45</v>
      </c>
      <c r="AD25" s="30">
        <v>2.996</v>
      </c>
      <c r="AE25" s="30">
        <v>5.6550000000000002</v>
      </c>
      <c r="AF25" s="30">
        <v>7.8239999999999998</v>
      </c>
      <c r="AG25" s="30">
        <v>10.077</v>
      </c>
      <c r="AH25" s="30">
        <v>11.047616</v>
      </c>
      <c r="AI25" s="30">
        <v>11.265200999999999</v>
      </c>
      <c r="AJ25" s="31" t="s">
        <v>37</v>
      </c>
      <c r="AK25" s="30">
        <v>1.8340000000000001</v>
      </c>
      <c r="AL25" s="30">
        <v>1.8340000000000001</v>
      </c>
      <c r="AM25" s="30">
        <v>1.8340000000000001</v>
      </c>
      <c r="AN25" s="30" t="s">
        <v>45</v>
      </c>
      <c r="AO25" s="30" t="s">
        <v>45</v>
      </c>
      <c r="AP25" s="30">
        <v>1.984</v>
      </c>
      <c r="AQ25" s="30">
        <v>2.1110000000000002</v>
      </c>
      <c r="AR25" s="30">
        <v>2.1589999999999998</v>
      </c>
      <c r="AS25" s="30">
        <v>1.952</v>
      </c>
      <c r="AT25" s="30">
        <v>1.881</v>
      </c>
      <c r="AU25" s="30">
        <v>1.764</v>
      </c>
      <c r="AV25" s="30">
        <v>1.512</v>
      </c>
      <c r="AW25" s="30">
        <v>1.5029999999999999</v>
      </c>
      <c r="AX25" s="30">
        <v>1.4330000000000001</v>
      </c>
      <c r="AY25" s="30">
        <v>1.4379999999999999</v>
      </c>
      <c r="AZ25" s="30">
        <v>1.5204</v>
      </c>
      <c r="BA25" s="30">
        <v>1.4350000000000001</v>
      </c>
      <c r="BB25" s="30">
        <v>1.44</v>
      </c>
      <c r="BC25" s="30" t="s">
        <v>37</v>
      </c>
      <c r="BD25" s="30" t="s">
        <v>37</v>
      </c>
      <c r="BE25" s="30" t="s">
        <v>37</v>
      </c>
      <c r="BF25" s="30" t="s">
        <v>37</v>
      </c>
      <c r="BG25" s="30" t="s">
        <v>37</v>
      </c>
      <c r="BH25" s="30" t="s">
        <v>37</v>
      </c>
      <c r="BI25" s="30" t="s">
        <v>37</v>
      </c>
      <c r="BJ25" s="30" t="s">
        <v>45</v>
      </c>
      <c r="BK25" s="30" t="s">
        <v>45</v>
      </c>
      <c r="BL25" s="30" t="s">
        <v>45</v>
      </c>
      <c r="BM25" s="30" t="s">
        <v>45</v>
      </c>
      <c r="BN25" s="30" t="s">
        <v>45</v>
      </c>
      <c r="BO25" s="30" t="s">
        <v>45</v>
      </c>
      <c r="BP25" s="30" t="s">
        <v>45</v>
      </c>
      <c r="BQ25" s="30" t="s">
        <v>45</v>
      </c>
      <c r="BR25" s="31" t="s">
        <v>37</v>
      </c>
      <c r="BS25" s="30" t="s">
        <v>37</v>
      </c>
      <c r="BT25" s="30" t="s">
        <v>37</v>
      </c>
      <c r="BU25" s="30" t="s">
        <v>37</v>
      </c>
      <c r="BV25" s="30" t="s">
        <v>37</v>
      </c>
      <c r="BW25" s="30" t="s">
        <v>37</v>
      </c>
      <c r="BX25" s="30" t="s">
        <v>37</v>
      </c>
      <c r="BY25" s="30" t="s">
        <v>45</v>
      </c>
      <c r="BZ25" s="30" t="s">
        <v>45</v>
      </c>
      <c r="CA25" s="30" t="s">
        <v>45</v>
      </c>
      <c r="CB25" s="30" t="s">
        <v>45</v>
      </c>
      <c r="CC25" s="30" t="s">
        <v>45</v>
      </c>
      <c r="CD25" s="30" t="s">
        <v>45</v>
      </c>
      <c r="CE25" s="30" t="s">
        <v>45</v>
      </c>
      <c r="CF25" s="30" t="s">
        <v>45</v>
      </c>
      <c r="CG25" s="26">
        <f t="shared" ref="CG25:CG37" si="64">SUM(B25,AJ25)</f>
        <v>0</v>
      </c>
      <c r="CH25" s="27">
        <f t="shared" ref="CH25:CH37" si="65">SUM(C25,AK25)</f>
        <v>1.8340000000000001</v>
      </c>
      <c r="CI25" s="27">
        <f t="shared" ref="CI25:CI37" si="66">SUM(D25,AL25)</f>
        <v>1.8340000000000001</v>
      </c>
      <c r="CJ25" s="27">
        <f t="shared" ref="CJ25:CJ37" si="67">SUM(E25,AM25)</f>
        <v>1.8340000000000001</v>
      </c>
      <c r="CK25" s="27">
        <f t="shared" ref="CK25:CK37" si="68">SUM(F25,AN25)</f>
        <v>0</v>
      </c>
      <c r="CL25" s="27">
        <f t="shared" ref="CL25:CL37" si="69">SUM(G25,AO25)</f>
        <v>0</v>
      </c>
      <c r="CM25" s="27">
        <f t="shared" ref="CM25:CM37" si="70">SUM(H25,AP25)</f>
        <v>1.984</v>
      </c>
      <c r="CN25" s="27">
        <f t="shared" ref="CN25:CN37" si="71">SUM(I25,AQ25)</f>
        <v>2.1110000000000002</v>
      </c>
      <c r="CO25" s="27">
        <f t="shared" ref="CO25:CO37" si="72">SUM(J25,AR25)</f>
        <v>2.1589999999999998</v>
      </c>
      <c r="CP25" s="27">
        <f t="shared" ref="CP25:CP37" si="73">SUM(K25,AS25)</f>
        <v>1.9769999999999999</v>
      </c>
      <c r="CQ25" s="27">
        <f t="shared" ref="CQ25:CQ37" si="74">SUM(L25,AT25)</f>
        <v>1.9350000000000001</v>
      </c>
      <c r="CR25" s="27">
        <f t="shared" ref="CR25:CR37" si="75">SUM(M25,AU25)</f>
        <v>1.764</v>
      </c>
      <c r="CS25" s="27">
        <f t="shared" ref="CS25:CS37" si="76">SUM(N25,AV25)</f>
        <v>1.512</v>
      </c>
      <c r="CT25" s="27">
        <f t="shared" ref="CT25:CT37" si="77">SUM(O25,AW25)</f>
        <v>1.5029999999999999</v>
      </c>
      <c r="CU25" s="27">
        <f t="shared" ref="CU25:CU37" si="78">SUM(P25,AX25)</f>
        <v>1.4330000000000001</v>
      </c>
      <c r="CV25" s="27">
        <f t="shared" ref="CV25:CV37" si="79">SUM(Q25,AY25)</f>
        <v>1.4379999999999999</v>
      </c>
      <c r="CW25" s="27">
        <f t="shared" ref="CW25:CW37" si="80">SUM(R25,AZ25)</f>
        <v>1.5204</v>
      </c>
      <c r="CX25" s="27">
        <f t="shared" ref="CX25:CX37" si="81">SUM(S25,BA25)</f>
        <v>1.4350000000000001</v>
      </c>
      <c r="CY25" s="27">
        <f t="shared" ref="CY25:CY37" si="82">SUM(T25,BB25)</f>
        <v>1.44</v>
      </c>
      <c r="CZ25" s="27">
        <f t="shared" ref="CZ25:CZ37" si="83">SUM(U25,BC25,BR25)</f>
        <v>0</v>
      </c>
      <c r="DA25" s="27">
        <f t="shared" ref="DA25:DA37" si="84">SUM(V25,BD25,BS25)</f>
        <v>0</v>
      </c>
      <c r="DB25" s="27">
        <f t="shared" ref="DB25:DB37" si="85">SUM(W25,BE25,BT25)</f>
        <v>0</v>
      </c>
      <c r="DC25" s="27">
        <f t="shared" ref="DC25:DC37" si="86">SUM(X25,BF25,BU25)</f>
        <v>0</v>
      </c>
      <c r="DD25" s="27">
        <f t="shared" ref="DD25:DD37" si="87">SUM(Y25,BG25,BV25)</f>
        <v>0</v>
      </c>
      <c r="DE25" s="27">
        <f t="shared" ref="DE25:DE37" si="88">SUM(Z25,BH25,BW25)</f>
        <v>0</v>
      </c>
      <c r="DF25" s="27">
        <f t="shared" ref="DF25:DF37" si="89">SUM(AA25,BI25,BX25)</f>
        <v>0</v>
      </c>
      <c r="DG25" s="27">
        <f t="shared" ref="DG25:DG37" si="90">SUM(AB25,BJ25,BY25)</f>
        <v>0</v>
      </c>
      <c r="DH25" s="27">
        <f t="shared" ref="DH25:DH37" si="91">SUM(AC25,BK25,BZ25)</f>
        <v>0</v>
      </c>
      <c r="DI25" s="27">
        <f t="shared" ref="DI25:DI37" si="92">SUM(AD25,BL25,CA25)</f>
        <v>2.996</v>
      </c>
      <c r="DJ25" s="27">
        <f t="shared" ref="DJ25:DJ37" si="93">SUM(AE25,BM25,CB25)</f>
        <v>5.6550000000000002</v>
      </c>
      <c r="DK25" s="27">
        <f t="shared" ref="DK25:DK34" si="94">SUM(AF25,BN25,CC25)</f>
        <v>7.8239999999999998</v>
      </c>
      <c r="DL25" s="27">
        <f t="shared" ref="DL25:DL37" si="95">SUM(AG25,BO25,CD25)</f>
        <v>10.077</v>
      </c>
      <c r="DM25" s="27">
        <f t="shared" ref="DM25:DM37" si="96">SUM(AH25,BP25,CE25)</f>
        <v>11.047616</v>
      </c>
      <c r="DN25" s="27">
        <f t="shared" ref="DN25:DN37" si="97">SUM(AI25,BQ25,CF25)</f>
        <v>11.265200999999999</v>
      </c>
      <c r="EO25" s="22"/>
      <c r="EP25" s="22"/>
      <c r="EQ25" s="22"/>
      <c r="ER25" s="22"/>
      <c r="ES25" s="22"/>
    </row>
    <row r="26" spans="1:149">
      <c r="A26" s="23" t="s">
        <v>56</v>
      </c>
      <c r="B26" s="30" t="s">
        <v>37</v>
      </c>
      <c r="C26" s="30" t="s">
        <v>37</v>
      </c>
      <c r="D26" s="30" t="s">
        <v>37</v>
      </c>
      <c r="E26" s="30" t="s">
        <v>37</v>
      </c>
      <c r="F26" s="30" t="s">
        <v>37</v>
      </c>
      <c r="G26" s="30" t="s">
        <v>37</v>
      </c>
      <c r="H26" s="30" t="s">
        <v>37</v>
      </c>
      <c r="I26" s="30" t="s">
        <v>37</v>
      </c>
      <c r="J26" s="30" t="s">
        <v>37</v>
      </c>
      <c r="K26" s="30" t="s">
        <v>37</v>
      </c>
      <c r="L26" s="30" t="s">
        <v>37</v>
      </c>
      <c r="M26" s="30" t="s">
        <v>37</v>
      </c>
      <c r="N26" s="30" t="s">
        <v>37</v>
      </c>
      <c r="O26" s="30" t="s">
        <v>37</v>
      </c>
      <c r="P26" s="30" t="s">
        <v>37</v>
      </c>
      <c r="Q26" s="30" t="s">
        <v>37</v>
      </c>
      <c r="R26" s="30" t="s">
        <v>37</v>
      </c>
      <c r="S26" s="30" t="s">
        <v>37</v>
      </c>
      <c r="T26" s="30" t="s">
        <v>37</v>
      </c>
      <c r="U26" s="30" t="s">
        <v>37</v>
      </c>
      <c r="V26" s="30" t="s">
        <v>37</v>
      </c>
      <c r="W26" s="30" t="s">
        <v>37</v>
      </c>
      <c r="X26" s="30" t="s">
        <v>37</v>
      </c>
      <c r="Y26" s="30" t="s">
        <v>37</v>
      </c>
      <c r="Z26" s="30">
        <v>1.9E-2</v>
      </c>
      <c r="AA26" s="30">
        <v>0.20799999999999999</v>
      </c>
      <c r="AB26" s="30">
        <v>0.26700000000000002</v>
      </c>
      <c r="AC26" s="30">
        <v>0.05</v>
      </c>
      <c r="AD26" s="30" t="s">
        <v>45</v>
      </c>
      <c r="AE26" s="30" t="s">
        <v>45</v>
      </c>
      <c r="AF26" s="30" t="s">
        <v>45</v>
      </c>
      <c r="AG26" s="30" t="s">
        <v>45</v>
      </c>
      <c r="AH26" s="30" t="s">
        <v>45</v>
      </c>
      <c r="AI26" s="30" t="s">
        <v>45</v>
      </c>
      <c r="AJ26" s="31" t="s">
        <v>37</v>
      </c>
      <c r="AK26" s="30" t="s">
        <v>37</v>
      </c>
      <c r="AL26" s="30" t="s">
        <v>37</v>
      </c>
      <c r="AM26" s="30" t="s">
        <v>37</v>
      </c>
      <c r="AN26" s="30" t="s">
        <v>37</v>
      </c>
      <c r="AO26" s="30" t="s">
        <v>37</v>
      </c>
      <c r="AP26" s="30" t="s">
        <v>37</v>
      </c>
      <c r="AQ26" s="30" t="s">
        <v>37</v>
      </c>
      <c r="AR26" s="30" t="s">
        <v>37</v>
      </c>
      <c r="AS26" s="30" t="s">
        <v>37</v>
      </c>
      <c r="AT26" s="30" t="s">
        <v>37</v>
      </c>
      <c r="AU26" s="30" t="s">
        <v>37</v>
      </c>
      <c r="AV26" s="30" t="s">
        <v>37</v>
      </c>
      <c r="AW26" s="30" t="s">
        <v>37</v>
      </c>
      <c r="AX26" s="30" t="s">
        <v>37</v>
      </c>
      <c r="AY26" s="30" t="s">
        <v>37</v>
      </c>
      <c r="AZ26" s="30" t="s">
        <v>37</v>
      </c>
      <c r="BA26" s="30" t="s">
        <v>37</v>
      </c>
      <c r="BB26" s="30" t="s">
        <v>37</v>
      </c>
      <c r="BC26" s="30" t="s">
        <v>37</v>
      </c>
      <c r="BD26" s="30" t="s">
        <v>37</v>
      </c>
      <c r="BE26" s="30" t="s">
        <v>37</v>
      </c>
      <c r="BF26" s="30" t="s">
        <v>37</v>
      </c>
      <c r="BG26" s="30" t="s">
        <v>37</v>
      </c>
      <c r="BH26" s="30" t="s">
        <v>37</v>
      </c>
      <c r="BI26" s="30" t="s">
        <v>37</v>
      </c>
      <c r="BJ26" s="30" t="s">
        <v>45</v>
      </c>
      <c r="BK26" s="30" t="s">
        <v>45</v>
      </c>
      <c r="BL26" s="30" t="s">
        <v>45</v>
      </c>
      <c r="BM26" s="30" t="s">
        <v>45</v>
      </c>
      <c r="BN26" s="30" t="s">
        <v>45</v>
      </c>
      <c r="BO26" s="30" t="s">
        <v>45</v>
      </c>
      <c r="BP26" s="30" t="s">
        <v>45</v>
      </c>
      <c r="BQ26" s="30" t="s">
        <v>45</v>
      </c>
      <c r="BR26" s="31" t="s">
        <v>37</v>
      </c>
      <c r="BS26" s="30" t="s">
        <v>37</v>
      </c>
      <c r="BT26" s="30" t="s">
        <v>37</v>
      </c>
      <c r="BU26" s="30" t="s">
        <v>37</v>
      </c>
      <c r="BV26" s="30" t="s">
        <v>37</v>
      </c>
      <c r="BW26" s="30" t="s">
        <v>37</v>
      </c>
      <c r="BX26" s="30" t="s">
        <v>37</v>
      </c>
      <c r="BY26" s="30" t="s">
        <v>45</v>
      </c>
      <c r="BZ26" s="30" t="s">
        <v>45</v>
      </c>
      <c r="CA26" s="30" t="s">
        <v>45</v>
      </c>
      <c r="CB26" s="30" t="s">
        <v>45</v>
      </c>
      <c r="CC26" s="30" t="s">
        <v>45</v>
      </c>
      <c r="CD26" s="30" t="s">
        <v>45</v>
      </c>
      <c r="CE26" s="30" t="s">
        <v>45</v>
      </c>
      <c r="CF26" s="30" t="s">
        <v>45</v>
      </c>
      <c r="CG26" s="26">
        <f t="shared" si="64"/>
        <v>0</v>
      </c>
      <c r="CH26" s="27">
        <f t="shared" si="65"/>
        <v>0</v>
      </c>
      <c r="CI26" s="27">
        <f t="shared" si="66"/>
        <v>0</v>
      </c>
      <c r="CJ26" s="27">
        <f t="shared" si="67"/>
        <v>0</v>
      </c>
      <c r="CK26" s="27">
        <f t="shared" si="68"/>
        <v>0</v>
      </c>
      <c r="CL26" s="27">
        <f t="shared" si="69"/>
        <v>0</v>
      </c>
      <c r="CM26" s="27">
        <f t="shared" si="70"/>
        <v>0</v>
      </c>
      <c r="CN26" s="27">
        <f t="shared" si="71"/>
        <v>0</v>
      </c>
      <c r="CO26" s="27">
        <f t="shared" si="72"/>
        <v>0</v>
      </c>
      <c r="CP26" s="27">
        <f t="shared" si="73"/>
        <v>0</v>
      </c>
      <c r="CQ26" s="27">
        <f t="shared" si="74"/>
        <v>0</v>
      </c>
      <c r="CR26" s="27">
        <f t="shared" si="75"/>
        <v>0</v>
      </c>
      <c r="CS26" s="27">
        <f t="shared" si="76"/>
        <v>0</v>
      </c>
      <c r="CT26" s="27">
        <f t="shared" si="77"/>
        <v>0</v>
      </c>
      <c r="CU26" s="27">
        <f t="shared" si="78"/>
        <v>0</v>
      </c>
      <c r="CV26" s="27">
        <f t="shared" si="79"/>
        <v>0</v>
      </c>
      <c r="CW26" s="27">
        <f t="shared" si="80"/>
        <v>0</v>
      </c>
      <c r="CX26" s="27">
        <f t="shared" si="81"/>
        <v>0</v>
      </c>
      <c r="CY26" s="27">
        <f t="shared" si="82"/>
        <v>0</v>
      </c>
      <c r="CZ26" s="27">
        <f t="shared" si="83"/>
        <v>0</v>
      </c>
      <c r="DA26" s="27">
        <f t="shared" si="84"/>
        <v>0</v>
      </c>
      <c r="DB26" s="27">
        <f t="shared" si="85"/>
        <v>0</v>
      </c>
      <c r="DC26" s="27">
        <f t="shared" si="86"/>
        <v>0</v>
      </c>
      <c r="DD26" s="27">
        <f t="shared" si="87"/>
        <v>0</v>
      </c>
      <c r="DE26" s="27">
        <f t="shared" si="88"/>
        <v>1.9E-2</v>
      </c>
      <c r="DF26" s="27">
        <f t="shared" si="89"/>
        <v>0.20799999999999999</v>
      </c>
      <c r="DG26" s="27">
        <f t="shared" si="90"/>
        <v>0.26700000000000002</v>
      </c>
      <c r="DH26" s="27">
        <f t="shared" si="91"/>
        <v>0.05</v>
      </c>
      <c r="DI26" s="27">
        <f t="shared" si="92"/>
        <v>0</v>
      </c>
      <c r="DJ26" s="27">
        <f t="shared" si="93"/>
        <v>0</v>
      </c>
      <c r="DK26" s="27">
        <f t="shared" si="94"/>
        <v>0</v>
      </c>
      <c r="DL26" s="27">
        <f t="shared" si="95"/>
        <v>0</v>
      </c>
      <c r="DM26" s="27">
        <f t="shared" si="96"/>
        <v>0</v>
      </c>
      <c r="DN26" s="27">
        <f t="shared" si="97"/>
        <v>0</v>
      </c>
      <c r="EO26" s="22"/>
      <c r="EP26" s="22"/>
      <c r="EQ26" s="22"/>
      <c r="ER26" s="22"/>
      <c r="ES26" s="22"/>
    </row>
    <row r="27" spans="1:149">
      <c r="A27" s="23" t="s">
        <v>57</v>
      </c>
      <c r="B27" s="30" t="s">
        <v>37</v>
      </c>
      <c r="C27" s="30" t="s">
        <v>37</v>
      </c>
      <c r="D27" s="30" t="s">
        <v>37</v>
      </c>
      <c r="E27" s="30" t="s">
        <v>37</v>
      </c>
      <c r="F27" s="30" t="s">
        <v>37</v>
      </c>
      <c r="G27" s="30" t="s">
        <v>37</v>
      </c>
      <c r="H27" s="30" t="s">
        <v>37</v>
      </c>
      <c r="I27" s="30" t="s">
        <v>37</v>
      </c>
      <c r="J27" s="30" t="s">
        <v>37</v>
      </c>
      <c r="K27" s="30" t="s">
        <v>37</v>
      </c>
      <c r="L27" s="30" t="s">
        <v>37</v>
      </c>
      <c r="M27" s="30" t="s">
        <v>37</v>
      </c>
      <c r="N27" s="30" t="s">
        <v>37</v>
      </c>
      <c r="O27" s="30" t="s">
        <v>37</v>
      </c>
      <c r="P27" s="30" t="s">
        <v>37</v>
      </c>
      <c r="Q27" s="30" t="s">
        <v>37</v>
      </c>
      <c r="R27" s="30" t="s">
        <v>37</v>
      </c>
      <c r="S27" s="30" t="s">
        <v>37</v>
      </c>
      <c r="T27" s="30" t="s">
        <v>37</v>
      </c>
      <c r="U27" s="30" t="s">
        <v>37</v>
      </c>
      <c r="V27" s="30" t="s">
        <v>37</v>
      </c>
      <c r="W27" s="30" t="s">
        <v>37</v>
      </c>
      <c r="X27" s="30" t="s">
        <v>37</v>
      </c>
      <c r="Y27" s="30" t="s">
        <v>37</v>
      </c>
      <c r="Z27" s="30" t="s">
        <v>37</v>
      </c>
      <c r="AA27" s="30" t="s">
        <v>37</v>
      </c>
      <c r="AB27" s="30" t="s">
        <v>45</v>
      </c>
      <c r="AC27" s="30" t="s">
        <v>45</v>
      </c>
      <c r="AD27" s="30" t="s">
        <v>45</v>
      </c>
      <c r="AE27" s="30" t="s">
        <v>45</v>
      </c>
      <c r="AF27" s="30">
        <v>2.38</v>
      </c>
      <c r="AG27" s="30">
        <v>2.4289999999999998</v>
      </c>
      <c r="AH27" s="30">
        <v>2.4451610000000001</v>
      </c>
      <c r="AI27" s="30">
        <v>1.2540640000000001</v>
      </c>
      <c r="AJ27" s="31" t="s">
        <v>37</v>
      </c>
      <c r="AK27" s="30" t="s">
        <v>37</v>
      </c>
      <c r="AL27" s="30" t="s">
        <v>37</v>
      </c>
      <c r="AM27" s="30" t="s">
        <v>37</v>
      </c>
      <c r="AN27" s="30" t="s">
        <v>37</v>
      </c>
      <c r="AO27" s="30" t="s">
        <v>37</v>
      </c>
      <c r="AP27" s="30" t="s">
        <v>37</v>
      </c>
      <c r="AQ27" s="30" t="s">
        <v>37</v>
      </c>
      <c r="AR27" s="30" t="s">
        <v>37</v>
      </c>
      <c r="AS27" s="30" t="s">
        <v>37</v>
      </c>
      <c r="AT27" s="30" t="s">
        <v>37</v>
      </c>
      <c r="AU27" s="30" t="s">
        <v>37</v>
      </c>
      <c r="AV27" s="30" t="s">
        <v>37</v>
      </c>
      <c r="AW27" s="30" t="s">
        <v>37</v>
      </c>
      <c r="AX27" s="30" t="s">
        <v>37</v>
      </c>
      <c r="AY27" s="30" t="s">
        <v>37</v>
      </c>
      <c r="AZ27" s="30" t="s">
        <v>37</v>
      </c>
      <c r="BA27" s="30" t="s">
        <v>37</v>
      </c>
      <c r="BB27" s="30" t="s">
        <v>37</v>
      </c>
      <c r="BC27" s="30" t="s">
        <v>37</v>
      </c>
      <c r="BD27" s="30" t="s">
        <v>37</v>
      </c>
      <c r="BE27" s="30" t="s">
        <v>37</v>
      </c>
      <c r="BF27" s="30" t="s">
        <v>37</v>
      </c>
      <c r="BG27" s="30" t="s">
        <v>37</v>
      </c>
      <c r="BH27" s="30" t="s">
        <v>37</v>
      </c>
      <c r="BI27" s="30" t="s">
        <v>37</v>
      </c>
      <c r="BJ27" s="30" t="s">
        <v>45</v>
      </c>
      <c r="BK27" s="30" t="s">
        <v>45</v>
      </c>
      <c r="BL27" s="30" t="s">
        <v>45</v>
      </c>
      <c r="BM27" s="30" t="s">
        <v>45</v>
      </c>
      <c r="BN27" s="30" t="s">
        <v>45</v>
      </c>
      <c r="BO27" s="30" t="s">
        <v>45</v>
      </c>
      <c r="BP27" s="30" t="s">
        <v>45</v>
      </c>
      <c r="BQ27" s="30">
        <v>1.189929</v>
      </c>
      <c r="BR27" s="31" t="s">
        <v>37</v>
      </c>
      <c r="BS27" s="30" t="s">
        <v>37</v>
      </c>
      <c r="BT27" s="30" t="s">
        <v>37</v>
      </c>
      <c r="BU27" s="30" t="s">
        <v>37</v>
      </c>
      <c r="BV27" s="30" t="s">
        <v>37</v>
      </c>
      <c r="BW27" s="30" t="s">
        <v>37</v>
      </c>
      <c r="BX27" s="30" t="s">
        <v>37</v>
      </c>
      <c r="BY27" s="30">
        <v>0.82</v>
      </c>
      <c r="BZ27" s="30">
        <v>2.5489999999999999</v>
      </c>
      <c r="CA27" s="30">
        <v>2.419</v>
      </c>
      <c r="CB27" s="30">
        <v>1.9890000000000001</v>
      </c>
      <c r="CC27" s="30" t="s">
        <v>45</v>
      </c>
      <c r="CD27" s="30" t="s">
        <v>45</v>
      </c>
      <c r="CE27" s="30" t="s">
        <v>45</v>
      </c>
      <c r="CF27" s="30" t="s">
        <v>45</v>
      </c>
      <c r="CG27" s="26">
        <f t="shared" si="64"/>
        <v>0</v>
      </c>
      <c r="CH27" s="27">
        <f t="shared" si="65"/>
        <v>0</v>
      </c>
      <c r="CI27" s="27">
        <f t="shared" si="66"/>
        <v>0</v>
      </c>
      <c r="CJ27" s="27">
        <f t="shared" si="67"/>
        <v>0</v>
      </c>
      <c r="CK27" s="27">
        <f t="shared" si="68"/>
        <v>0</v>
      </c>
      <c r="CL27" s="27">
        <f t="shared" si="69"/>
        <v>0</v>
      </c>
      <c r="CM27" s="27">
        <f t="shared" si="70"/>
        <v>0</v>
      </c>
      <c r="CN27" s="27">
        <f t="shared" si="71"/>
        <v>0</v>
      </c>
      <c r="CO27" s="27">
        <f t="shared" si="72"/>
        <v>0</v>
      </c>
      <c r="CP27" s="27">
        <f t="shared" si="73"/>
        <v>0</v>
      </c>
      <c r="CQ27" s="27">
        <f t="shared" si="74"/>
        <v>0</v>
      </c>
      <c r="CR27" s="27">
        <f t="shared" si="75"/>
        <v>0</v>
      </c>
      <c r="CS27" s="27">
        <f t="shared" si="76"/>
        <v>0</v>
      </c>
      <c r="CT27" s="27">
        <f t="shared" si="77"/>
        <v>0</v>
      </c>
      <c r="CU27" s="27">
        <f t="shared" si="78"/>
        <v>0</v>
      </c>
      <c r="CV27" s="27">
        <f t="shared" si="79"/>
        <v>0</v>
      </c>
      <c r="CW27" s="27">
        <f t="shared" si="80"/>
        <v>0</v>
      </c>
      <c r="CX27" s="27">
        <f t="shared" si="81"/>
        <v>0</v>
      </c>
      <c r="CY27" s="27">
        <f t="shared" si="82"/>
        <v>0</v>
      </c>
      <c r="CZ27" s="27">
        <f t="shared" si="83"/>
        <v>0</v>
      </c>
      <c r="DA27" s="27">
        <f t="shared" si="84"/>
        <v>0</v>
      </c>
      <c r="DB27" s="27">
        <f t="shared" si="85"/>
        <v>0</v>
      </c>
      <c r="DC27" s="27">
        <f t="shared" si="86"/>
        <v>0</v>
      </c>
      <c r="DD27" s="27">
        <f t="shared" si="87"/>
        <v>0</v>
      </c>
      <c r="DE27" s="27">
        <f t="shared" si="88"/>
        <v>0</v>
      </c>
      <c r="DF27" s="27">
        <f t="shared" si="89"/>
        <v>0</v>
      </c>
      <c r="DG27" s="27">
        <f t="shared" si="90"/>
        <v>0.82</v>
      </c>
      <c r="DH27" s="27">
        <f t="shared" si="91"/>
        <v>2.5489999999999999</v>
      </c>
      <c r="DI27" s="27">
        <f t="shared" si="92"/>
        <v>2.419</v>
      </c>
      <c r="DJ27" s="27">
        <f t="shared" si="93"/>
        <v>1.9890000000000001</v>
      </c>
      <c r="DK27" s="27">
        <f t="shared" si="94"/>
        <v>2.38</v>
      </c>
      <c r="DL27" s="27">
        <f t="shared" si="95"/>
        <v>2.4289999999999998</v>
      </c>
      <c r="DM27" s="27">
        <f t="shared" si="96"/>
        <v>2.4451610000000001</v>
      </c>
      <c r="DN27" s="27">
        <f t="shared" si="97"/>
        <v>2.4439929999999999</v>
      </c>
      <c r="EO27" s="22"/>
      <c r="EP27" s="22"/>
      <c r="EQ27" s="22"/>
      <c r="ER27" s="22"/>
      <c r="ES27" s="22"/>
    </row>
    <row r="28" spans="1:149">
      <c r="A28" s="23" t="s">
        <v>58</v>
      </c>
      <c r="B28" s="30">
        <v>6.7640000000000002</v>
      </c>
      <c r="C28" s="30">
        <v>6.835</v>
      </c>
      <c r="D28" s="30">
        <v>7.3040000000000003</v>
      </c>
      <c r="E28" s="30">
        <v>7.8609999999999998</v>
      </c>
      <c r="F28" s="30">
        <v>7.3780000000000001</v>
      </c>
      <c r="G28" s="30">
        <v>7.9470000000000001</v>
      </c>
      <c r="H28" s="30">
        <v>8.7899999999999991</v>
      </c>
      <c r="I28" s="30">
        <v>9.7680000000000007</v>
      </c>
      <c r="J28" s="30">
        <v>9.6950000000000003</v>
      </c>
      <c r="K28" s="30">
        <v>8.9700000000000006</v>
      </c>
      <c r="L28" s="30">
        <v>11.512</v>
      </c>
      <c r="M28" s="30">
        <v>12.621</v>
      </c>
      <c r="N28" s="30">
        <v>15.324999999999999</v>
      </c>
      <c r="O28" s="30">
        <v>11.21</v>
      </c>
      <c r="P28" s="30">
        <v>10.084</v>
      </c>
      <c r="Q28" s="30">
        <v>12.266999999999999</v>
      </c>
      <c r="R28" s="30">
        <v>12.266999999999999</v>
      </c>
      <c r="S28" s="30">
        <v>12.266999999999999</v>
      </c>
      <c r="T28" s="30">
        <v>13.313000000000001</v>
      </c>
      <c r="U28" s="30">
        <v>21.515000000000001</v>
      </c>
      <c r="V28" s="30">
        <v>12.432</v>
      </c>
      <c r="W28" s="30">
        <v>13.419</v>
      </c>
      <c r="X28" s="30">
        <v>8.7968740000000007</v>
      </c>
      <c r="Y28" s="30">
        <v>9.1430000000000007</v>
      </c>
      <c r="Z28" s="30">
        <v>9.5619999999999994</v>
      </c>
      <c r="AA28" s="30">
        <v>10.218</v>
      </c>
      <c r="AB28" s="30">
        <v>0.36499999999999999</v>
      </c>
      <c r="AC28" s="30">
        <v>0.36499999999999999</v>
      </c>
      <c r="AD28" s="30">
        <v>0.36499999999999999</v>
      </c>
      <c r="AE28" s="30">
        <v>0.36499999999999999</v>
      </c>
      <c r="AF28" s="30">
        <v>0.42</v>
      </c>
      <c r="AG28" s="30">
        <v>0.67200000000000004</v>
      </c>
      <c r="AH28" s="30">
        <v>5.8174200000000003</v>
      </c>
      <c r="AI28" s="30">
        <v>5.7877470000000004</v>
      </c>
      <c r="AJ28" s="31">
        <v>0.96499999999999997</v>
      </c>
      <c r="AK28" s="30">
        <v>0.98499999999999999</v>
      </c>
      <c r="AL28" s="30">
        <v>1.0469999999999999</v>
      </c>
      <c r="AM28" s="30">
        <v>1.0960000000000001</v>
      </c>
      <c r="AN28" s="30">
        <v>1.052</v>
      </c>
      <c r="AO28" s="30">
        <v>1.052</v>
      </c>
      <c r="AP28" s="30">
        <v>1.1040000000000001</v>
      </c>
      <c r="AQ28" s="30">
        <v>1.143</v>
      </c>
      <c r="AR28" s="30">
        <v>1.143</v>
      </c>
      <c r="AS28" s="30">
        <v>1.143</v>
      </c>
      <c r="AT28" s="30">
        <v>1.143</v>
      </c>
      <c r="AU28" s="30">
        <v>1.143</v>
      </c>
      <c r="AV28" s="30">
        <v>1.143</v>
      </c>
      <c r="AW28" s="30">
        <v>1.143</v>
      </c>
      <c r="AX28" s="30">
        <v>1.375</v>
      </c>
      <c r="AY28" s="30">
        <v>1.1499999999999999</v>
      </c>
      <c r="AZ28" s="30">
        <v>1.1504000000000001</v>
      </c>
      <c r="BA28" s="30">
        <v>1.1499999999999999</v>
      </c>
      <c r="BB28" s="30">
        <v>6.4210000000000003</v>
      </c>
      <c r="BC28" s="30">
        <v>1.5669999999999999</v>
      </c>
      <c r="BD28" s="24">
        <f>((BE28-BC28)/2)+BC28</f>
        <v>0.78549999999999998</v>
      </c>
      <c r="BE28" s="30">
        <v>4.0000000000000001E-3</v>
      </c>
      <c r="BF28" s="30" t="s">
        <v>37</v>
      </c>
      <c r="BG28" s="30" t="s">
        <v>37</v>
      </c>
      <c r="BH28" s="30" t="s">
        <v>37</v>
      </c>
      <c r="BI28" s="30" t="s">
        <v>37</v>
      </c>
      <c r="BJ28" s="30" t="s">
        <v>45</v>
      </c>
      <c r="BK28" s="30" t="s">
        <v>45</v>
      </c>
      <c r="BL28" s="30" t="s">
        <v>45</v>
      </c>
      <c r="BM28" s="30" t="s">
        <v>45</v>
      </c>
      <c r="BN28" s="30" t="s">
        <v>45</v>
      </c>
      <c r="BO28" s="30" t="s">
        <v>45</v>
      </c>
      <c r="BP28" s="30" t="s">
        <v>45</v>
      </c>
      <c r="BQ28" s="30" t="s">
        <v>45</v>
      </c>
      <c r="BR28" s="31">
        <v>11.491</v>
      </c>
      <c r="BS28" s="24">
        <f>((BT28-BR28)/2)+BR28</f>
        <v>5.7474999999999996</v>
      </c>
      <c r="BT28" s="30">
        <v>4.0000000000000001E-3</v>
      </c>
      <c r="BU28" s="30" t="s">
        <v>37</v>
      </c>
      <c r="BV28" s="30" t="s">
        <v>37</v>
      </c>
      <c r="BW28" s="30" t="s">
        <v>37</v>
      </c>
      <c r="BX28" s="30" t="s">
        <v>37</v>
      </c>
      <c r="BY28" s="30" t="s">
        <v>45</v>
      </c>
      <c r="BZ28" s="30" t="s">
        <v>45</v>
      </c>
      <c r="CA28" s="30" t="s">
        <v>45</v>
      </c>
      <c r="CB28" s="30" t="s">
        <v>45</v>
      </c>
      <c r="CC28" s="30" t="s">
        <v>45</v>
      </c>
      <c r="CD28" s="30" t="s">
        <v>45</v>
      </c>
      <c r="CE28" s="30" t="s">
        <v>45</v>
      </c>
      <c r="CF28" s="30" t="s">
        <v>45</v>
      </c>
      <c r="CG28" s="26">
        <f t="shared" si="64"/>
        <v>7.7290000000000001</v>
      </c>
      <c r="CH28" s="27">
        <f t="shared" si="65"/>
        <v>7.82</v>
      </c>
      <c r="CI28" s="27">
        <f t="shared" si="66"/>
        <v>8.3510000000000009</v>
      </c>
      <c r="CJ28" s="27">
        <f t="shared" si="67"/>
        <v>8.9570000000000007</v>
      </c>
      <c r="CK28" s="27">
        <f t="shared" si="68"/>
        <v>8.43</v>
      </c>
      <c r="CL28" s="27">
        <f t="shared" si="69"/>
        <v>8.9990000000000006</v>
      </c>
      <c r="CM28" s="27">
        <f t="shared" si="70"/>
        <v>9.8939999999999984</v>
      </c>
      <c r="CN28" s="27">
        <f t="shared" si="71"/>
        <v>10.911000000000001</v>
      </c>
      <c r="CO28" s="27">
        <f t="shared" si="72"/>
        <v>10.838000000000001</v>
      </c>
      <c r="CP28" s="27">
        <f t="shared" si="73"/>
        <v>10.113000000000001</v>
      </c>
      <c r="CQ28" s="27">
        <f t="shared" si="74"/>
        <v>12.655000000000001</v>
      </c>
      <c r="CR28" s="27">
        <f t="shared" si="75"/>
        <v>13.764000000000001</v>
      </c>
      <c r="CS28" s="27">
        <f t="shared" si="76"/>
        <v>16.468</v>
      </c>
      <c r="CT28" s="27">
        <f t="shared" si="77"/>
        <v>12.353000000000002</v>
      </c>
      <c r="CU28" s="27">
        <f t="shared" si="78"/>
        <v>11.459</v>
      </c>
      <c r="CV28" s="27">
        <f t="shared" si="79"/>
        <v>13.417</v>
      </c>
      <c r="CW28" s="27">
        <f t="shared" si="80"/>
        <v>13.417399999999999</v>
      </c>
      <c r="CX28" s="27">
        <f t="shared" si="81"/>
        <v>13.417</v>
      </c>
      <c r="CY28" s="27">
        <f t="shared" si="82"/>
        <v>19.734000000000002</v>
      </c>
      <c r="CZ28" s="27">
        <f t="shared" si="83"/>
        <v>34.573</v>
      </c>
      <c r="DA28" s="27">
        <f t="shared" si="84"/>
        <v>18.965</v>
      </c>
      <c r="DB28" s="27">
        <f t="shared" si="85"/>
        <v>13.427</v>
      </c>
      <c r="DC28" s="27">
        <f t="shared" si="86"/>
        <v>8.7968740000000007</v>
      </c>
      <c r="DD28" s="27">
        <f t="shared" si="87"/>
        <v>9.1430000000000007</v>
      </c>
      <c r="DE28" s="27">
        <f t="shared" si="88"/>
        <v>9.5619999999999994</v>
      </c>
      <c r="DF28" s="27">
        <f t="shared" si="89"/>
        <v>10.218</v>
      </c>
      <c r="DG28" s="27">
        <f t="shared" si="90"/>
        <v>0.36499999999999999</v>
      </c>
      <c r="DH28" s="27">
        <f t="shared" si="91"/>
        <v>0.36499999999999999</v>
      </c>
      <c r="DI28" s="27">
        <f t="shared" si="92"/>
        <v>0.36499999999999999</v>
      </c>
      <c r="DJ28" s="27">
        <f t="shared" si="93"/>
        <v>0.36499999999999999</v>
      </c>
      <c r="DK28" s="27">
        <f t="shared" si="94"/>
        <v>0.42</v>
      </c>
      <c r="DL28" s="27">
        <f t="shared" si="95"/>
        <v>0.67200000000000004</v>
      </c>
      <c r="DM28" s="27">
        <f t="shared" si="96"/>
        <v>5.8174200000000003</v>
      </c>
      <c r="DN28" s="27">
        <f t="shared" si="97"/>
        <v>5.7877470000000004</v>
      </c>
      <c r="EO28" s="22"/>
      <c r="EP28" s="22"/>
      <c r="EQ28" s="22"/>
      <c r="ER28" s="22"/>
      <c r="ES28" s="22"/>
    </row>
    <row r="29" spans="1:149">
      <c r="A29" s="23" t="s">
        <v>59</v>
      </c>
      <c r="B29" s="30" t="s">
        <v>37</v>
      </c>
      <c r="C29" s="30" t="s">
        <v>37</v>
      </c>
      <c r="D29" s="30" t="s">
        <v>37</v>
      </c>
      <c r="E29" s="30" t="s">
        <v>37</v>
      </c>
      <c r="F29" s="30" t="s">
        <v>37</v>
      </c>
      <c r="G29" s="30" t="s">
        <v>37</v>
      </c>
      <c r="H29" s="30" t="s">
        <v>37</v>
      </c>
      <c r="I29" s="30" t="s">
        <v>37</v>
      </c>
      <c r="J29" s="30" t="s">
        <v>37</v>
      </c>
      <c r="K29" s="30" t="s">
        <v>37</v>
      </c>
      <c r="L29" s="30" t="s">
        <v>37</v>
      </c>
      <c r="M29" s="30" t="s">
        <v>37</v>
      </c>
      <c r="N29" s="30" t="s">
        <v>37</v>
      </c>
      <c r="O29" s="30" t="s">
        <v>37</v>
      </c>
      <c r="P29" s="30" t="s">
        <v>37</v>
      </c>
      <c r="Q29" s="30" t="s">
        <v>37</v>
      </c>
      <c r="R29" s="30" t="s">
        <v>37</v>
      </c>
      <c r="S29" s="30" t="s">
        <v>37</v>
      </c>
      <c r="T29" s="30" t="s">
        <v>37</v>
      </c>
      <c r="U29" s="30" t="s">
        <v>37</v>
      </c>
      <c r="V29" s="30" t="s">
        <v>37</v>
      </c>
      <c r="W29" s="30" t="s">
        <v>37</v>
      </c>
      <c r="X29" s="30" t="s">
        <v>37</v>
      </c>
      <c r="Y29" s="30" t="s">
        <v>37</v>
      </c>
      <c r="Z29" s="30" t="s">
        <v>37</v>
      </c>
      <c r="AA29" s="30" t="s">
        <v>37</v>
      </c>
      <c r="AB29" s="30" t="s">
        <v>45</v>
      </c>
      <c r="AC29" s="30" t="s">
        <v>45</v>
      </c>
      <c r="AD29" s="30" t="s">
        <v>45</v>
      </c>
      <c r="AE29" s="30" t="s">
        <v>45</v>
      </c>
      <c r="AF29" s="30" t="s">
        <v>45</v>
      </c>
      <c r="AG29" s="30" t="s">
        <v>45</v>
      </c>
      <c r="AH29" s="30" t="s">
        <v>45</v>
      </c>
      <c r="AI29" s="30" t="s">
        <v>45</v>
      </c>
      <c r="AJ29" s="31" t="s">
        <v>37</v>
      </c>
      <c r="AK29" s="30" t="s">
        <v>37</v>
      </c>
      <c r="AL29" s="30" t="s">
        <v>37</v>
      </c>
      <c r="AM29" s="30" t="s">
        <v>37</v>
      </c>
      <c r="AN29" s="30" t="s">
        <v>37</v>
      </c>
      <c r="AO29" s="30" t="s">
        <v>37</v>
      </c>
      <c r="AP29" s="30" t="s">
        <v>37</v>
      </c>
      <c r="AQ29" s="30" t="s">
        <v>37</v>
      </c>
      <c r="AR29" s="30" t="s">
        <v>37</v>
      </c>
      <c r="AS29" s="30" t="s">
        <v>37</v>
      </c>
      <c r="AT29" s="30" t="s">
        <v>37</v>
      </c>
      <c r="AU29" s="30" t="s">
        <v>37</v>
      </c>
      <c r="AV29" s="30" t="s">
        <v>37</v>
      </c>
      <c r="AW29" s="30" t="s">
        <v>37</v>
      </c>
      <c r="AX29" s="30" t="s">
        <v>37</v>
      </c>
      <c r="AY29" s="30" t="s">
        <v>37</v>
      </c>
      <c r="AZ29" s="30" t="s">
        <v>37</v>
      </c>
      <c r="BA29" s="30" t="s">
        <v>37</v>
      </c>
      <c r="BB29" s="30" t="s">
        <v>37</v>
      </c>
      <c r="BC29" s="30" t="s">
        <v>37</v>
      </c>
      <c r="BD29" s="30" t="s">
        <v>37</v>
      </c>
      <c r="BE29" s="30" t="s">
        <v>37</v>
      </c>
      <c r="BF29" s="30" t="s">
        <v>37</v>
      </c>
      <c r="BG29" s="30" t="s">
        <v>37</v>
      </c>
      <c r="BH29" s="30" t="s">
        <v>37</v>
      </c>
      <c r="BI29" s="30" t="s">
        <v>37</v>
      </c>
      <c r="BJ29" s="30" t="s">
        <v>45</v>
      </c>
      <c r="BK29" s="30" t="s">
        <v>45</v>
      </c>
      <c r="BL29" s="30" t="s">
        <v>45</v>
      </c>
      <c r="BM29" s="30" t="s">
        <v>45</v>
      </c>
      <c r="BN29" s="30" t="s">
        <v>45</v>
      </c>
      <c r="BO29" s="30" t="s">
        <v>45</v>
      </c>
      <c r="BP29" s="30" t="s">
        <v>45</v>
      </c>
      <c r="BQ29" s="30" t="s">
        <v>45</v>
      </c>
      <c r="BR29" s="31" t="s">
        <v>37</v>
      </c>
      <c r="BS29" s="30" t="s">
        <v>37</v>
      </c>
      <c r="BT29" s="30" t="s">
        <v>37</v>
      </c>
      <c r="BU29" s="30" t="s">
        <v>37</v>
      </c>
      <c r="BV29" s="30" t="s">
        <v>37</v>
      </c>
      <c r="BW29" s="30" t="s">
        <v>37</v>
      </c>
      <c r="BX29" s="30" t="s">
        <v>37</v>
      </c>
      <c r="BY29" s="30" t="s">
        <v>45</v>
      </c>
      <c r="BZ29" s="30" t="s">
        <v>45</v>
      </c>
      <c r="CA29" s="30" t="s">
        <v>45</v>
      </c>
      <c r="CB29" s="30" t="s">
        <v>45</v>
      </c>
      <c r="CC29" s="30" t="s">
        <v>45</v>
      </c>
      <c r="CD29" s="30" t="s">
        <v>45</v>
      </c>
      <c r="CE29" s="30" t="s">
        <v>45</v>
      </c>
      <c r="CF29" s="30" t="s">
        <v>45</v>
      </c>
      <c r="CG29" s="26">
        <f t="shared" si="64"/>
        <v>0</v>
      </c>
      <c r="CH29" s="27">
        <f t="shared" si="65"/>
        <v>0</v>
      </c>
      <c r="CI29" s="27">
        <f t="shared" si="66"/>
        <v>0</v>
      </c>
      <c r="CJ29" s="27">
        <f t="shared" si="67"/>
        <v>0</v>
      </c>
      <c r="CK29" s="27">
        <f t="shared" si="68"/>
        <v>0</v>
      </c>
      <c r="CL29" s="27">
        <f t="shared" si="69"/>
        <v>0</v>
      </c>
      <c r="CM29" s="27">
        <f t="shared" si="70"/>
        <v>0</v>
      </c>
      <c r="CN29" s="27">
        <f t="shared" si="71"/>
        <v>0</v>
      </c>
      <c r="CO29" s="27">
        <f t="shared" si="72"/>
        <v>0</v>
      </c>
      <c r="CP29" s="27">
        <f t="shared" si="73"/>
        <v>0</v>
      </c>
      <c r="CQ29" s="27">
        <f t="shared" si="74"/>
        <v>0</v>
      </c>
      <c r="CR29" s="27">
        <f t="shared" si="75"/>
        <v>0</v>
      </c>
      <c r="CS29" s="27">
        <f t="shared" si="76"/>
        <v>0</v>
      </c>
      <c r="CT29" s="27">
        <f t="shared" si="77"/>
        <v>0</v>
      </c>
      <c r="CU29" s="27">
        <f t="shared" si="78"/>
        <v>0</v>
      </c>
      <c r="CV29" s="27">
        <f t="shared" si="79"/>
        <v>0</v>
      </c>
      <c r="CW29" s="27">
        <f t="shared" si="80"/>
        <v>0</v>
      </c>
      <c r="CX29" s="27">
        <f t="shared" si="81"/>
        <v>0</v>
      </c>
      <c r="CY29" s="27">
        <f t="shared" si="82"/>
        <v>0</v>
      </c>
      <c r="CZ29" s="27">
        <f t="shared" si="83"/>
        <v>0</v>
      </c>
      <c r="DA29" s="27">
        <f t="shared" si="84"/>
        <v>0</v>
      </c>
      <c r="DB29" s="27">
        <f t="shared" si="85"/>
        <v>0</v>
      </c>
      <c r="DC29" s="27">
        <f t="shared" si="86"/>
        <v>0</v>
      </c>
      <c r="DD29" s="27">
        <f t="shared" si="87"/>
        <v>0</v>
      </c>
      <c r="DE29" s="27">
        <f t="shared" si="88"/>
        <v>0</v>
      </c>
      <c r="DF29" s="27">
        <f t="shared" si="89"/>
        <v>0</v>
      </c>
      <c r="DG29" s="27">
        <f t="shared" si="90"/>
        <v>0</v>
      </c>
      <c r="DH29" s="27">
        <f t="shared" si="91"/>
        <v>0</v>
      </c>
      <c r="DI29" s="27">
        <f t="shared" si="92"/>
        <v>0</v>
      </c>
      <c r="DJ29" s="27">
        <f t="shared" si="93"/>
        <v>0</v>
      </c>
      <c r="DK29" s="27">
        <f t="shared" si="94"/>
        <v>0</v>
      </c>
      <c r="DL29" s="27">
        <f t="shared" si="95"/>
        <v>0</v>
      </c>
      <c r="DM29" s="27">
        <f t="shared" si="96"/>
        <v>0</v>
      </c>
      <c r="DN29" s="27">
        <f t="shared" si="97"/>
        <v>0</v>
      </c>
      <c r="EO29" s="22"/>
      <c r="EP29" s="22"/>
      <c r="EQ29" s="22"/>
      <c r="ER29" s="22"/>
      <c r="ES29" s="22"/>
    </row>
    <row r="30" spans="1:149">
      <c r="A30" s="23" t="s">
        <v>60</v>
      </c>
      <c r="B30" s="30">
        <v>0.123</v>
      </c>
      <c r="C30" s="30">
        <v>0.127</v>
      </c>
      <c r="D30" s="30">
        <v>0.54100000000000004</v>
      </c>
      <c r="E30" s="30">
        <v>0.123</v>
      </c>
      <c r="F30" s="30">
        <v>0.11799999999999999</v>
      </c>
      <c r="G30" s="30">
        <v>0.114</v>
      </c>
      <c r="H30" s="30">
        <v>0.14699999999999999</v>
      </c>
      <c r="I30" s="30">
        <v>0.245</v>
      </c>
      <c r="J30" s="30">
        <v>0.252</v>
      </c>
      <c r="K30" s="30">
        <v>0.26500000000000001</v>
      </c>
      <c r="L30" s="30">
        <v>0.26500000000000001</v>
      </c>
      <c r="M30" s="30">
        <v>0.26400000000000001</v>
      </c>
      <c r="N30" s="30">
        <v>0.26400000000000001</v>
      </c>
      <c r="O30" s="30">
        <v>0.26300000000000001</v>
      </c>
      <c r="P30" s="30">
        <v>0.26300000000000001</v>
      </c>
      <c r="Q30" s="30">
        <v>0.29699999999999999</v>
      </c>
      <c r="R30" s="30">
        <v>0.29699999999999999</v>
      </c>
      <c r="S30" s="30">
        <v>0.438</v>
      </c>
      <c r="T30" s="30">
        <v>3.996</v>
      </c>
      <c r="U30" s="30">
        <v>4.181</v>
      </c>
      <c r="V30" s="30">
        <v>4.1589999999999998</v>
      </c>
      <c r="W30" s="30">
        <v>4.5750000000000002</v>
      </c>
      <c r="X30" s="30">
        <v>4.4604160000000004</v>
      </c>
      <c r="Y30" s="30">
        <v>4.7779999999999996</v>
      </c>
      <c r="Z30" s="30">
        <v>4.1859999999999999</v>
      </c>
      <c r="AA30" s="30">
        <v>5.4770000000000003</v>
      </c>
      <c r="AB30" s="30">
        <v>4.2190000000000003</v>
      </c>
      <c r="AC30" s="30">
        <v>3.7429999999999999</v>
      </c>
      <c r="AD30" s="30">
        <v>4.5060000000000002</v>
      </c>
      <c r="AE30" s="30">
        <v>4.2270000000000003</v>
      </c>
      <c r="AF30" s="30">
        <v>3.5590000000000002</v>
      </c>
      <c r="AG30" s="30">
        <v>0.215</v>
      </c>
      <c r="AH30" s="30">
        <v>0.236037</v>
      </c>
      <c r="AI30" s="30">
        <v>0.18478700000000001</v>
      </c>
      <c r="AJ30" s="31" t="s">
        <v>37</v>
      </c>
      <c r="AK30" s="30" t="s">
        <v>37</v>
      </c>
      <c r="AL30" s="30" t="s">
        <v>37</v>
      </c>
      <c r="AM30" s="30" t="s">
        <v>37</v>
      </c>
      <c r="AN30" s="30" t="s">
        <v>37</v>
      </c>
      <c r="AO30" s="30" t="s">
        <v>37</v>
      </c>
      <c r="AP30" s="30" t="s">
        <v>37</v>
      </c>
      <c r="AQ30" s="30" t="s">
        <v>37</v>
      </c>
      <c r="AR30" s="30" t="s">
        <v>37</v>
      </c>
      <c r="AS30" s="30" t="s">
        <v>37</v>
      </c>
      <c r="AT30" s="30" t="s">
        <v>37</v>
      </c>
      <c r="AU30" s="30" t="s">
        <v>37</v>
      </c>
      <c r="AV30" s="30" t="s">
        <v>37</v>
      </c>
      <c r="AW30" s="30" t="s">
        <v>37</v>
      </c>
      <c r="AX30" s="30" t="s">
        <v>37</v>
      </c>
      <c r="AY30" s="30" t="s">
        <v>37</v>
      </c>
      <c r="AZ30" s="30" t="s">
        <v>37</v>
      </c>
      <c r="BA30" s="30" t="s">
        <v>37</v>
      </c>
      <c r="BB30" s="30" t="s">
        <v>37</v>
      </c>
      <c r="BC30" s="30" t="s">
        <v>37</v>
      </c>
      <c r="BD30" s="30" t="s">
        <v>37</v>
      </c>
      <c r="BE30" s="30" t="s">
        <v>37</v>
      </c>
      <c r="BF30" s="30" t="s">
        <v>37</v>
      </c>
      <c r="BG30" s="30" t="s">
        <v>37</v>
      </c>
      <c r="BH30" s="30" t="s">
        <v>37</v>
      </c>
      <c r="BI30" s="30" t="s">
        <v>37</v>
      </c>
      <c r="BJ30" s="30" t="s">
        <v>45</v>
      </c>
      <c r="BK30" s="30" t="s">
        <v>45</v>
      </c>
      <c r="BL30" s="30" t="s">
        <v>45</v>
      </c>
      <c r="BM30" s="30" t="s">
        <v>45</v>
      </c>
      <c r="BN30" s="30" t="s">
        <v>45</v>
      </c>
      <c r="BO30" s="30" t="s">
        <v>45</v>
      </c>
      <c r="BP30" s="30" t="s">
        <v>45</v>
      </c>
      <c r="BQ30" s="30" t="s">
        <v>45</v>
      </c>
      <c r="BR30" s="31" t="s">
        <v>37</v>
      </c>
      <c r="BS30" s="30" t="s">
        <v>37</v>
      </c>
      <c r="BT30" s="30" t="s">
        <v>37</v>
      </c>
      <c r="BU30" s="30" t="s">
        <v>37</v>
      </c>
      <c r="BV30" s="30" t="s">
        <v>37</v>
      </c>
      <c r="BW30" s="30" t="s">
        <v>37</v>
      </c>
      <c r="BX30" s="30" t="s">
        <v>37</v>
      </c>
      <c r="BY30" s="30" t="s">
        <v>45</v>
      </c>
      <c r="BZ30" s="30" t="s">
        <v>45</v>
      </c>
      <c r="CA30" s="30" t="s">
        <v>45</v>
      </c>
      <c r="CB30" s="30" t="s">
        <v>45</v>
      </c>
      <c r="CC30" s="30" t="s">
        <v>45</v>
      </c>
      <c r="CD30" s="30" t="s">
        <v>45</v>
      </c>
      <c r="CE30" s="30" t="s">
        <v>45</v>
      </c>
      <c r="CF30" s="30" t="s">
        <v>45</v>
      </c>
      <c r="CG30" s="26">
        <f t="shared" si="64"/>
        <v>0.123</v>
      </c>
      <c r="CH30" s="27">
        <f t="shared" si="65"/>
        <v>0.127</v>
      </c>
      <c r="CI30" s="27">
        <f t="shared" si="66"/>
        <v>0.54100000000000004</v>
      </c>
      <c r="CJ30" s="27">
        <f t="shared" si="67"/>
        <v>0.123</v>
      </c>
      <c r="CK30" s="27">
        <f t="shared" si="68"/>
        <v>0.11799999999999999</v>
      </c>
      <c r="CL30" s="27">
        <f t="shared" si="69"/>
        <v>0.114</v>
      </c>
      <c r="CM30" s="27">
        <f t="shared" si="70"/>
        <v>0.14699999999999999</v>
      </c>
      <c r="CN30" s="27">
        <f t="shared" si="71"/>
        <v>0.245</v>
      </c>
      <c r="CO30" s="27">
        <f t="shared" si="72"/>
        <v>0.252</v>
      </c>
      <c r="CP30" s="27">
        <f t="shared" si="73"/>
        <v>0.26500000000000001</v>
      </c>
      <c r="CQ30" s="27">
        <f t="shared" si="74"/>
        <v>0.26500000000000001</v>
      </c>
      <c r="CR30" s="27">
        <f t="shared" si="75"/>
        <v>0.26400000000000001</v>
      </c>
      <c r="CS30" s="27">
        <f t="shared" si="76"/>
        <v>0.26400000000000001</v>
      </c>
      <c r="CT30" s="27">
        <f t="shared" si="77"/>
        <v>0.26300000000000001</v>
      </c>
      <c r="CU30" s="27">
        <f t="shared" si="78"/>
        <v>0.26300000000000001</v>
      </c>
      <c r="CV30" s="27">
        <f t="shared" si="79"/>
        <v>0.29699999999999999</v>
      </c>
      <c r="CW30" s="27">
        <f t="shared" si="80"/>
        <v>0.29699999999999999</v>
      </c>
      <c r="CX30" s="27">
        <f t="shared" si="81"/>
        <v>0.438</v>
      </c>
      <c r="CY30" s="27">
        <f t="shared" si="82"/>
        <v>3.996</v>
      </c>
      <c r="CZ30" s="27">
        <f t="shared" si="83"/>
        <v>4.181</v>
      </c>
      <c r="DA30" s="27">
        <f t="shared" si="84"/>
        <v>4.1589999999999998</v>
      </c>
      <c r="DB30" s="27">
        <f t="shared" si="85"/>
        <v>4.5750000000000002</v>
      </c>
      <c r="DC30" s="27">
        <f t="shared" si="86"/>
        <v>4.4604160000000004</v>
      </c>
      <c r="DD30" s="27">
        <f t="shared" si="87"/>
        <v>4.7779999999999996</v>
      </c>
      <c r="DE30" s="27">
        <f t="shared" si="88"/>
        <v>4.1859999999999999</v>
      </c>
      <c r="DF30" s="27">
        <f t="shared" si="89"/>
        <v>5.4770000000000003</v>
      </c>
      <c r="DG30" s="27">
        <f t="shared" si="90"/>
        <v>4.2190000000000003</v>
      </c>
      <c r="DH30" s="27">
        <f t="shared" si="91"/>
        <v>3.7429999999999999</v>
      </c>
      <c r="DI30" s="27">
        <f t="shared" si="92"/>
        <v>4.5060000000000002</v>
      </c>
      <c r="DJ30" s="27">
        <f t="shared" si="93"/>
        <v>4.2270000000000003</v>
      </c>
      <c r="DK30" s="27">
        <f t="shared" si="94"/>
        <v>3.5590000000000002</v>
      </c>
      <c r="DL30" s="27">
        <f t="shared" si="95"/>
        <v>0.215</v>
      </c>
      <c r="DM30" s="27">
        <f t="shared" si="96"/>
        <v>0.236037</v>
      </c>
      <c r="DN30" s="27">
        <f t="shared" si="97"/>
        <v>0.18478700000000001</v>
      </c>
      <c r="EO30" s="22"/>
      <c r="EP30" s="22"/>
      <c r="EQ30" s="22"/>
      <c r="ER30" s="22"/>
      <c r="ES30" s="22"/>
    </row>
    <row r="31" spans="1:149">
      <c r="A31" s="23" t="s">
        <v>61</v>
      </c>
      <c r="B31" s="30" t="s">
        <v>37</v>
      </c>
      <c r="C31" s="30" t="s">
        <v>37</v>
      </c>
      <c r="D31" s="30" t="s">
        <v>37</v>
      </c>
      <c r="E31" s="30" t="s">
        <v>37</v>
      </c>
      <c r="F31" s="30" t="s">
        <v>37</v>
      </c>
      <c r="G31" s="30" t="s">
        <v>37</v>
      </c>
      <c r="H31" s="30" t="s">
        <v>37</v>
      </c>
      <c r="I31" s="30" t="s">
        <v>37</v>
      </c>
      <c r="J31" s="30" t="s">
        <v>37</v>
      </c>
      <c r="K31" s="30" t="s">
        <v>37</v>
      </c>
      <c r="L31" s="30" t="s">
        <v>37</v>
      </c>
      <c r="M31" s="30" t="s">
        <v>37</v>
      </c>
      <c r="N31" s="30" t="s">
        <v>37</v>
      </c>
      <c r="O31" s="30" t="s">
        <v>37</v>
      </c>
      <c r="P31" s="30">
        <v>0.86</v>
      </c>
      <c r="Q31" s="30">
        <v>0.92200000000000004</v>
      </c>
      <c r="R31" s="30">
        <v>0.96299999999999997</v>
      </c>
      <c r="S31" s="30">
        <v>0.99099999999999999</v>
      </c>
      <c r="T31" s="24">
        <f>(($X$31-$S$31)/5)+S31</f>
        <v>0.82689999999999997</v>
      </c>
      <c r="U31" s="24">
        <f>(($X$31-$S$31)/5)+T31</f>
        <v>0.66279999999999994</v>
      </c>
      <c r="V31" s="24">
        <f>(($X$31-$S$31)/5)+U31</f>
        <v>0.49869999999999992</v>
      </c>
      <c r="W31" s="24">
        <f>(($X$31-$S$31)/5)+V31</f>
        <v>0.3345999999999999</v>
      </c>
      <c r="X31" s="30">
        <v>0.17050000000000001</v>
      </c>
      <c r="Y31" s="24">
        <f>(($AA$31-$X$31)/3)+X31</f>
        <v>0.35666666666666669</v>
      </c>
      <c r="Z31" s="24">
        <f>(($AA$31-$X$31)/3)+Y31</f>
        <v>0.54283333333333339</v>
      </c>
      <c r="AA31" s="30">
        <v>0.72899999999999998</v>
      </c>
      <c r="AB31" s="30">
        <v>1.3420000000000001</v>
      </c>
      <c r="AC31" s="30">
        <v>1.452</v>
      </c>
      <c r="AD31" s="30">
        <v>1.3819999999999999</v>
      </c>
      <c r="AE31" s="30">
        <v>1.35</v>
      </c>
      <c r="AF31" s="30">
        <v>1.339</v>
      </c>
      <c r="AG31" s="30">
        <v>1.345</v>
      </c>
      <c r="AH31" s="30">
        <v>1.17</v>
      </c>
      <c r="AI31" s="30">
        <v>0.92900000000000005</v>
      </c>
      <c r="AJ31" s="31" t="s">
        <v>37</v>
      </c>
      <c r="AK31" s="30" t="s">
        <v>37</v>
      </c>
      <c r="AL31" s="30" t="s">
        <v>37</v>
      </c>
      <c r="AM31" s="30" t="s">
        <v>37</v>
      </c>
      <c r="AN31" s="30" t="s">
        <v>37</v>
      </c>
      <c r="AO31" s="30" t="s">
        <v>37</v>
      </c>
      <c r="AP31" s="30" t="s">
        <v>37</v>
      </c>
      <c r="AQ31" s="30" t="s">
        <v>37</v>
      </c>
      <c r="AR31" s="30" t="s">
        <v>37</v>
      </c>
      <c r="AS31" s="30" t="s">
        <v>37</v>
      </c>
      <c r="AT31" s="30" t="s">
        <v>37</v>
      </c>
      <c r="AU31" s="30" t="s">
        <v>37</v>
      </c>
      <c r="AV31" s="30" t="s">
        <v>37</v>
      </c>
      <c r="AW31" s="30" t="s">
        <v>37</v>
      </c>
      <c r="AX31" s="30" t="s">
        <v>37</v>
      </c>
      <c r="AY31" s="30" t="s">
        <v>37</v>
      </c>
      <c r="AZ31" s="30" t="s">
        <v>37</v>
      </c>
      <c r="BA31" s="30" t="s">
        <v>37</v>
      </c>
      <c r="BB31" s="30" t="s">
        <v>37</v>
      </c>
      <c r="BC31" s="30" t="s">
        <v>37</v>
      </c>
      <c r="BD31" s="30" t="s">
        <v>37</v>
      </c>
      <c r="BE31" s="30" t="s">
        <v>37</v>
      </c>
      <c r="BF31" s="30" t="s">
        <v>37</v>
      </c>
      <c r="BG31" s="30" t="s">
        <v>37</v>
      </c>
      <c r="BH31" s="30" t="s">
        <v>37</v>
      </c>
      <c r="BI31" s="30" t="s">
        <v>37</v>
      </c>
      <c r="BJ31" s="30" t="s">
        <v>45</v>
      </c>
      <c r="BK31" s="30" t="s">
        <v>45</v>
      </c>
      <c r="BL31" s="30" t="s">
        <v>45</v>
      </c>
      <c r="BM31" s="30" t="s">
        <v>45</v>
      </c>
      <c r="BN31" s="30" t="s">
        <v>45</v>
      </c>
      <c r="BO31" s="30" t="s">
        <v>45</v>
      </c>
      <c r="BP31" s="30" t="s">
        <v>45</v>
      </c>
      <c r="BQ31" s="30" t="s">
        <v>45</v>
      </c>
      <c r="BR31" s="31" t="s">
        <v>37</v>
      </c>
      <c r="BS31" s="30" t="s">
        <v>37</v>
      </c>
      <c r="BT31" s="30" t="s">
        <v>37</v>
      </c>
      <c r="BU31" s="30" t="s">
        <v>37</v>
      </c>
      <c r="BV31" s="30" t="s">
        <v>37</v>
      </c>
      <c r="BW31" s="30" t="s">
        <v>37</v>
      </c>
      <c r="BX31" s="30" t="s">
        <v>37</v>
      </c>
      <c r="BY31" s="30" t="s">
        <v>45</v>
      </c>
      <c r="BZ31" s="30" t="s">
        <v>45</v>
      </c>
      <c r="CA31" s="30" t="s">
        <v>45</v>
      </c>
      <c r="CB31" s="30" t="s">
        <v>45</v>
      </c>
      <c r="CC31" s="30" t="s">
        <v>45</v>
      </c>
      <c r="CD31" s="30" t="s">
        <v>45</v>
      </c>
      <c r="CE31" s="30" t="s">
        <v>45</v>
      </c>
      <c r="CF31" s="30" t="s">
        <v>45</v>
      </c>
      <c r="CG31" s="26">
        <f t="shared" si="64"/>
        <v>0</v>
      </c>
      <c r="CH31" s="27">
        <f t="shared" si="65"/>
        <v>0</v>
      </c>
      <c r="CI31" s="27">
        <f t="shared" si="66"/>
        <v>0</v>
      </c>
      <c r="CJ31" s="27">
        <f t="shared" si="67"/>
        <v>0</v>
      </c>
      <c r="CK31" s="27">
        <f t="shared" si="68"/>
        <v>0</v>
      </c>
      <c r="CL31" s="27">
        <f t="shared" si="69"/>
        <v>0</v>
      </c>
      <c r="CM31" s="27">
        <f t="shared" si="70"/>
        <v>0</v>
      </c>
      <c r="CN31" s="27">
        <f t="shared" si="71"/>
        <v>0</v>
      </c>
      <c r="CO31" s="27">
        <f t="shared" si="72"/>
        <v>0</v>
      </c>
      <c r="CP31" s="27">
        <f t="shared" si="73"/>
        <v>0</v>
      </c>
      <c r="CQ31" s="27">
        <f t="shared" si="74"/>
        <v>0</v>
      </c>
      <c r="CR31" s="27">
        <f t="shared" si="75"/>
        <v>0</v>
      </c>
      <c r="CS31" s="27">
        <f t="shared" si="76"/>
        <v>0</v>
      </c>
      <c r="CT31" s="27">
        <f t="shared" si="77"/>
        <v>0</v>
      </c>
      <c r="CU31" s="27">
        <f t="shared" si="78"/>
        <v>0.86</v>
      </c>
      <c r="CV31" s="27">
        <f t="shared" si="79"/>
        <v>0.92200000000000004</v>
      </c>
      <c r="CW31" s="27">
        <f t="shared" si="80"/>
        <v>0.96299999999999997</v>
      </c>
      <c r="CX31" s="27">
        <f t="shared" si="81"/>
        <v>0.99099999999999999</v>
      </c>
      <c r="CY31" s="27">
        <f t="shared" si="82"/>
        <v>0.82689999999999997</v>
      </c>
      <c r="CZ31" s="27">
        <f t="shared" si="83"/>
        <v>0.66279999999999994</v>
      </c>
      <c r="DA31" s="27">
        <f t="shared" si="84"/>
        <v>0.49869999999999992</v>
      </c>
      <c r="DB31" s="27">
        <f t="shared" si="85"/>
        <v>0.3345999999999999</v>
      </c>
      <c r="DC31" s="27">
        <f t="shared" si="86"/>
        <v>0.17050000000000001</v>
      </c>
      <c r="DD31" s="27">
        <f t="shared" si="87"/>
        <v>0.35666666666666669</v>
      </c>
      <c r="DE31" s="27">
        <f t="shared" si="88"/>
        <v>0.54283333333333339</v>
      </c>
      <c r="DF31" s="27">
        <f t="shared" si="89"/>
        <v>0.72899999999999998</v>
      </c>
      <c r="DG31" s="27">
        <f t="shared" si="90"/>
        <v>1.3420000000000001</v>
      </c>
      <c r="DH31" s="27">
        <f t="shared" si="91"/>
        <v>1.452</v>
      </c>
      <c r="DI31" s="27">
        <f t="shared" si="92"/>
        <v>1.3819999999999999</v>
      </c>
      <c r="DJ31" s="27">
        <f t="shared" si="93"/>
        <v>1.35</v>
      </c>
      <c r="DK31" s="27">
        <f t="shared" si="94"/>
        <v>1.339</v>
      </c>
      <c r="DL31" s="27">
        <f t="shared" si="95"/>
        <v>1.345</v>
      </c>
      <c r="DM31" s="27">
        <f t="shared" si="96"/>
        <v>1.17</v>
      </c>
      <c r="DN31" s="27">
        <f t="shared" si="97"/>
        <v>0.92900000000000005</v>
      </c>
      <c r="EO31" s="22"/>
      <c r="EP31" s="22"/>
      <c r="EQ31" s="22"/>
      <c r="ER31" s="22"/>
      <c r="ES31" s="22"/>
    </row>
    <row r="32" spans="1:149">
      <c r="A32" s="23" t="s">
        <v>62</v>
      </c>
      <c r="B32" s="30" t="s">
        <v>37</v>
      </c>
      <c r="C32" s="30" t="s">
        <v>37</v>
      </c>
      <c r="D32" s="30" t="s">
        <v>37</v>
      </c>
      <c r="E32" s="30" t="s">
        <v>37</v>
      </c>
      <c r="F32" s="30" t="s">
        <v>37</v>
      </c>
      <c r="G32" s="30" t="s">
        <v>37</v>
      </c>
      <c r="H32" s="30" t="s">
        <v>37</v>
      </c>
      <c r="I32" s="30" t="s">
        <v>37</v>
      </c>
      <c r="J32" s="30" t="s">
        <v>37</v>
      </c>
      <c r="K32" s="30" t="s">
        <v>37</v>
      </c>
      <c r="L32" s="30" t="s">
        <v>37</v>
      </c>
      <c r="M32" s="30" t="s">
        <v>37</v>
      </c>
      <c r="N32" s="30">
        <v>0.46800000000000003</v>
      </c>
      <c r="O32" s="30">
        <v>0.52700000000000002</v>
      </c>
      <c r="P32" s="24">
        <f>(($S$32-$O$32)/4)+O32</f>
        <v>2.1252499999999999</v>
      </c>
      <c r="Q32" s="24">
        <f>(($S$32-$O$32)/4)+P32</f>
        <v>3.7234999999999996</v>
      </c>
      <c r="R32" s="24">
        <f>(($S$32-$O$32)/4)+Q32</f>
        <v>5.3217499999999998</v>
      </c>
      <c r="S32" s="30">
        <v>6.92</v>
      </c>
      <c r="T32" s="30">
        <v>8.9999999999999993E-3</v>
      </c>
      <c r="U32" s="24">
        <f>((V32-T32)/2)+T32</f>
        <v>13.394500000000001</v>
      </c>
      <c r="V32" s="30">
        <v>26.78</v>
      </c>
      <c r="W32" s="30">
        <v>30.652000000000001</v>
      </c>
      <c r="X32" s="30">
        <v>28.471360000000001</v>
      </c>
      <c r="Y32" s="30">
        <v>25.391999999999999</v>
      </c>
      <c r="Z32" s="30">
        <v>25.7</v>
      </c>
      <c r="AA32" s="30">
        <v>25.661999999999999</v>
      </c>
      <c r="AB32" s="30">
        <v>25.244</v>
      </c>
      <c r="AC32" s="30">
        <v>24.068999999999999</v>
      </c>
      <c r="AD32" s="30">
        <v>22.861999999999998</v>
      </c>
      <c r="AE32" s="30">
        <v>23.053000000000001</v>
      </c>
      <c r="AF32" s="30">
        <v>23.866</v>
      </c>
      <c r="AG32" s="30">
        <v>24.766999999999999</v>
      </c>
      <c r="AH32" s="30">
        <v>30.352142000000001</v>
      </c>
      <c r="AI32" s="30">
        <v>32.020651999999998</v>
      </c>
      <c r="AJ32" s="31" t="s">
        <v>37</v>
      </c>
      <c r="AK32" s="30" t="s">
        <v>37</v>
      </c>
      <c r="AL32" s="30" t="s">
        <v>37</v>
      </c>
      <c r="AM32" s="30" t="s">
        <v>37</v>
      </c>
      <c r="AN32" s="30" t="s">
        <v>37</v>
      </c>
      <c r="AO32" s="30" t="s">
        <v>37</v>
      </c>
      <c r="AP32" s="30" t="s">
        <v>37</v>
      </c>
      <c r="AQ32" s="30" t="s">
        <v>37</v>
      </c>
      <c r="AR32" s="30" t="s">
        <v>37</v>
      </c>
      <c r="AS32" s="30" t="s">
        <v>37</v>
      </c>
      <c r="AT32" s="30" t="s">
        <v>37</v>
      </c>
      <c r="AU32" s="30" t="s">
        <v>37</v>
      </c>
      <c r="AV32" s="30">
        <v>3.3000000000000002E-2</v>
      </c>
      <c r="AW32" s="30">
        <v>0.17599999999999999</v>
      </c>
      <c r="AX32" s="30" t="s">
        <v>45</v>
      </c>
      <c r="AY32" s="30" t="s">
        <v>45</v>
      </c>
      <c r="AZ32" s="30" t="s">
        <v>45</v>
      </c>
      <c r="BA32" s="30" t="s">
        <v>45</v>
      </c>
      <c r="BB32" s="30" t="s">
        <v>45</v>
      </c>
      <c r="BC32" s="30" t="s">
        <v>45</v>
      </c>
      <c r="BD32" s="30" t="s">
        <v>45</v>
      </c>
      <c r="BE32" s="30">
        <v>0.17799999999999999</v>
      </c>
      <c r="BF32" s="30" t="s">
        <v>37</v>
      </c>
      <c r="BG32" s="30" t="s">
        <v>37</v>
      </c>
      <c r="BH32" s="30" t="s">
        <v>37</v>
      </c>
      <c r="BI32" s="30" t="s">
        <v>37</v>
      </c>
      <c r="BJ32" s="30" t="s">
        <v>45</v>
      </c>
      <c r="BK32" s="30" t="s">
        <v>45</v>
      </c>
      <c r="BL32" s="30" t="s">
        <v>45</v>
      </c>
      <c r="BM32" s="30" t="s">
        <v>45</v>
      </c>
      <c r="BN32" s="30" t="s">
        <v>45</v>
      </c>
      <c r="BO32" s="30" t="s">
        <v>45</v>
      </c>
      <c r="BP32" s="30" t="s">
        <v>45</v>
      </c>
      <c r="BQ32" s="30" t="s">
        <v>45</v>
      </c>
      <c r="BR32" s="31">
        <v>20.699000000000002</v>
      </c>
      <c r="BS32" s="30">
        <v>1.0529999999999999</v>
      </c>
      <c r="BT32" s="30" t="s">
        <v>37</v>
      </c>
      <c r="BU32" s="30" t="s">
        <v>37</v>
      </c>
      <c r="BV32" s="30" t="s">
        <v>37</v>
      </c>
      <c r="BW32" s="30" t="s">
        <v>37</v>
      </c>
      <c r="BX32" s="30" t="s">
        <v>37</v>
      </c>
      <c r="BY32" s="30" t="s">
        <v>45</v>
      </c>
      <c r="BZ32" s="30" t="s">
        <v>45</v>
      </c>
      <c r="CA32" s="30" t="s">
        <v>45</v>
      </c>
      <c r="CB32" s="30" t="s">
        <v>45</v>
      </c>
      <c r="CC32" s="30" t="s">
        <v>45</v>
      </c>
      <c r="CD32" s="30" t="s">
        <v>45</v>
      </c>
      <c r="CE32" s="30" t="s">
        <v>45</v>
      </c>
      <c r="CF32" s="30" t="s">
        <v>45</v>
      </c>
      <c r="CG32" s="26">
        <f t="shared" si="64"/>
        <v>0</v>
      </c>
      <c r="CH32" s="27">
        <f t="shared" si="65"/>
        <v>0</v>
      </c>
      <c r="CI32" s="27">
        <f t="shared" si="66"/>
        <v>0</v>
      </c>
      <c r="CJ32" s="27">
        <f t="shared" si="67"/>
        <v>0</v>
      </c>
      <c r="CK32" s="27">
        <f t="shared" si="68"/>
        <v>0</v>
      </c>
      <c r="CL32" s="27">
        <f t="shared" si="69"/>
        <v>0</v>
      </c>
      <c r="CM32" s="27">
        <f t="shared" si="70"/>
        <v>0</v>
      </c>
      <c r="CN32" s="27">
        <f t="shared" si="71"/>
        <v>0</v>
      </c>
      <c r="CO32" s="27">
        <f t="shared" si="72"/>
        <v>0</v>
      </c>
      <c r="CP32" s="27">
        <f t="shared" si="73"/>
        <v>0</v>
      </c>
      <c r="CQ32" s="27">
        <f t="shared" si="74"/>
        <v>0</v>
      </c>
      <c r="CR32" s="27">
        <f t="shared" si="75"/>
        <v>0</v>
      </c>
      <c r="CS32" s="27">
        <f t="shared" si="76"/>
        <v>0.501</v>
      </c>
      <c r="CT32" s="27">
        <f t="shared" si="77"/>
        <v>0.70300000000000007</v>
      </c>
      <c r="CU32" s="27">
        <f t="shared" si="78"/>
        <v>2.1252499999999999</v>
      </c>
      <c r="CV32" s="27">
        <f t="shared" si="79"/>
        <v>3.7234999999999996</v>
      </c>
      <c r="CW32" s="27">
        <f t="shared" si="80"/>
        <v>5.3217499999999998</v>
      </c>
      <c r="CX32" s="27">
        <f t="shared" si="81"/>
        <v>6.92</v>
      </c>
      <c r="CY32" s="27">
        <f t="shared" si="82"/>
        <v>8.9999999999999993E-3</v>
      </c>
      <c r="CZ32" s="27">
        <f t="shared" si="83"/>
        <v>34.093500000000006</v>
      </c>
      <c r="DA32" s="27">
        <f t="shared" si="84"/>
        <v>27.833000000000002</v>
      </c>
      <c r="DB32" s="27">
        <f t="shared" si="85"/>
        <v>30.830000000000002</v>
      </c>
      <c r="DC32" s="27">
        <f t="shared" si="86"/>
        <v>28.471360000000001</v>
      </c>
      <c r="DD32" s="27">
        <f t="shared" si="87"/>
        <v>25.391999999999999</v>
      </c>
      <c r="DE32" s="27">
        <f t="shared" si="88"/>
        <v>25.7</v>
      </c>
      <c r="DF32" s="27">
        <f t="shared" si="89"/>
        <v>25.661999999999999</v>
      </c>
      <c r="DG32" s="27">
        <f t="shared" si="90"/>
        <v>25.244</v>
      </c>
      <c r="DH32" s="27">
        <f t="shared" si="91"/>
        <v>24.068999999999999</v>
      </c>
      <c r="DI32" s="27">
        <f t="shared" si="92"/>
        <v>22.861999999999998</v>
      </c>
      <c r="DJ32" s="27">
        <f t="shared" si="93"/>
        <v>23.053000000000001</v>
      </c>
      <c r="DK32" s="27">
        <f t="shared" si="94"/>
        <v>23.866</v>
      </c>
      <c r="DL32" s="27">
        <f t="shared" si="95"/>
        <v>24.766999999999999</v>
      </c>
      <c r="DM32" s="27">
        <f t="shared" si="96"/>
        <v>30.352142000000001</v>
      </c>
      <c r="DN32" s="27">
        <f t="shared" si="97"/>
        <v>32.020651999999998</v>
      </c>
      <c r="EO32" s="22"/>
      <c r="EP32" s="22"/>
      <c r="EQ32" s="22"/>
      <c r="ER32" s="22"/>
      <c r="ES32" s="22"/>
    </row>
    <row r="33" spans="1:149">
      <c r="A33" s="23" t="s">
        <v>63</v>
      </c>
      <c r="B33" s="30" t="s">
        <v>37</v>
      </c>
      <c r="C33" s="30" t="s">
        <v>37</v>
      </c>
      <c r="D33" s="30" t="s">
        <v>37</v>
      </c>
      <c r="E33" s="30" t="s">
        <v>37</v>
      </c>
      <c r="F33" s="30" t="s">
        <v>37</v>
      </c>
      <c r="G33" s="30">
        <v>2.95</v>
      </c>
      <c r="H33" s="30">
        <v>2.95</v>
      </c>
      <c r="I33" s="30">
        <v>3.988</v>
      </c>
      <c r="J33" s="30">
        <v>3.9649999999999999</v>
      </c>
      <c r="K33" s="30">
        <v>0.128</v>
      </c>
      <c r="L33" s="30">
        <v>0.13100000000000001</v>
      </c>
      <c r="M33" s="30">
        <v>0.14499999999999999</v>
      </c>
      <c r="N33" s="30">
        <v>2.359</v>
      </c>
      <c r="O33" s="30">
        <v>5.2759999999999998</v>
      </c>
      <c r="P33" s="30">
        <v>22.957000000000001</v>
      </c>
      <c r="Q33" s="30">
        <v>12.407999999999999</v>
      </c>
      <c r="R33" s="30">
        <v>18.126999999999999</v>
      </c>
      <c r="S33" s="30">
        <v>21.266999999999999</v>
      </c>
      <c r="T33" s="30">
        <v>15.138999999999999</v>
      </c>
      <c r="U33" s="30">
        <v>2.0529999999999999</v>
      </c>
      <c r="V33" s="30">
        <v>27.396000000000001</v>
      </c>
      <c r="W33" s="30">
        <v>43.305999999999997</v>
      </c>
      <c r="X33" s="30">
        <v>40.78622</v>
      </c>
      <c r="Y33" s="30">
        <v>48.027000000000001</v>
      </c>
      <c r="Z33" s="30">
        <v>46.070999999999998</v>
      </c>
      <c r="AA33" s="30">
        <v>53.235999999999997</v>
      </c>
      <c r="AB33" s="30">
        <v>55.845999999999997</v>
      </c>
      <c r="AC33" s="30">
        <v>64.391999999999996</v>
      </c>
      <c r="AD33" s="30">
        <v>69.462999999999994</v>
      </c>
      <c r="AE33" s="30">
        <v>60.945999999999998</v>
      </c>
      <c r="AF33" s="30">
        <v>68.144999999999996</v>
      </c>
      <c r="AG33" s="30">
        <v>77.495000000000005</v>
      </c>
      <c r="AH33" s="30">
        <v>59.131895999999998</v>
      </c>
      <c r="AI33" s="30">
        <v>82.324596999999997</v>
      </c>
      <c r="AJ33" s="31" t="s">
        <v>37</v>
      </c>
      <c r="AK33" s="30" t="s">
        <v>37</v>
      </c>
      <c r="AL33" s="30" t="s">
        <v>37</v>
      </c>
      <c r="AM33" s="30" t="s">
        <v>37</v>
      </c>
      <c r="AN33" s="30" t="s">
        <v>37</v>
      </c>
      <c r="AO33" s="30" t="s">
        <v>37</v>
      </c>
      <c r="AP33" s="30" t="s">
        <v>37</v>
      </c>
      <c r="AQ33" s="30">
        <v>2E-3</v>
      </c>
      <c r="AR33" s="30">
        <v>2E-3</v>
      </c>
      <c r="AS33" s="30">
        <v>7.0000000000000001E-3</v>
      </c>
      <c r="AT33" s="30">
        <v>0.01</v>
      </c>
      <c r="AU33" s="30" t="s">
        <v>45</v>
      </c>
      <c r="AV33" s="30">
        <v>0.106</v>
      </c>
      <c r="AW33" s="30" t="s">
        <v>45</v>
      </c>
      <c r="AX33" s="30">
        <v>4.7610000000000001</v>
      </c>
      <c r="AY33" s="30">
        <v>9.7000000000000003E-2</v>
      </c>
      <c r="AZ33" s="30">
        <v>9.8400000000000001E-2</v>
      </c>
      <c r="BA33" s="30">
        <v>5.5E-2</v>
      </c>
      <c r="BB33" s="30">
        <v>1.9550000000000001</v>
      </c>
      <c r="BC33" s="30">
        <v>5.4139999999999997</v>
      </c>
      <c r="BD33" s="24">
        <f>((BE33-BC33)/2)+BC33</f>
        <v>3.0474999999999999</v>
      </c>
      <c r="BE33" s="30">
        <v>0.68100000000000005</v>
      </c>
      <c r="BF33" s="30">
        <v>0.101199</v>
      </c>
      <c r="BG33" s="30">
        <v>0.19800000000000001</v>
      </c>
      <c r="BH33" s="30">
        <v>0.65400000000000003</v>
      </c>
      <c r="BI33" s="30">
        <v>0.35799999999999998</v>
      </c>
      <c r="BJ33" s="30">
        <v>0.83699999999999997</v>
      </c>
      <c r="BK33" s="30">
        <v>0.34899999999999998</v>
      </c>
      <c r="BL33" s="30">
        <v>0.30399999999999999</v>
      </c>
      <c r="BM33" s="30" t="s">
        <v>45</v>
      </c>
      <c r="BN33" s="30" t="s">
        <v>45</v>
      </c>
      <c r="BO33" s="30" t="s">
        <v>45</v>
      </c>
      <c r="BP33" s="30" t="s">
        <v>45</v>
      </c>
      <c r="BQ33" s="30" t="s">
        <v>45</v>
      </c>
      <c r="BR33" s="31">
        <v>21.436</v>
      </c>
      <c r="BS33" s="30">
        <v>7.5060000000000002</v>
      </c>
      <c r="BT33" s="30" t="s">
        <v>37</v>
      </c>
      <c r="BU33" s="30" t="s">
        <v>37</v>
      </c>
      <c r="BV33" s="30" t="s">
        <v>37</v>
      </c>
      <c r="BW33" s="30" t="s">
        <v>37</v>
      </c>
      <c r="BX33" s="30" t="s">
        <v>37</v>
      </c>
      <c r="BY33" s="30" t="s">
        <v>45</v>
      </c>
      <c r="BZ33" s="30" t="s">
        <v>45</v>
      </c>
      <c r="CA33" s="30">
        <v>0.16</v>
      </c>
      <c r="CB33" s="30">
        <v>20.178999999999998</v>
      </c>
      <c r="CC33" s="30">
        <v>11.131</v>
      </c>
      <c r="CD33" s="30">
        <v>10.962</v>
      </c>
      <c r="CE33" s="30">
        <v>12.872386000000001</v>
      </c>
      <c r="CF33" s="30">
        <v>0.26395800000000003</v>
      </c>
      <c r="CG33" s="26">
        <f t="shared" si="64"/>
        <v>0</v>
      </c>
      <c r="CH33" s="27">
        <f t="shared" si="65"/>
        <v>0</v>
      </c>
      <c r="CI33" s="27">
        <f t="shared" si="66"/>
        <v>0</v>
      </c>
      <c r="CJ33" s="27">
        <f t="shared" si="67"/>
        <v>0</v>
      </c>
      <c r="CK33" s="27">
        <f t="shared" si="68"/>
        <v>0</v>
      </c>
      <c r="CL33" s="27">
        <f t="shared" si="69"/>
        <v>2.95</v>
      </c>
      <c r="CM33" s="27">
        <f t="shared" si="70"/>
        <v>2.95</v>
      </c>
      <c r="CN33" s="27">
        <f t="shared" si="71"/>
        <v>3.9899999999999998</v>
      </c>
      <c r="CO33" s="27">
        <f t="shared" si="72"/>
        <v>3.9669999999999996</v>
      </c>
      <c r="CP33" s="27">
        <f t="shared" si="73"/>
        <v>0.13500000000000001</v>
      </c>
      <c r="CQ33" s="27">
        <f t="shared" si="74"/>
        <v>0.14100000000000001</v>
      </c>
      <c r="CR33" s="27">
        <f t="shared" si="75"/>
        <v>0.14499999999999999</v>
      </c>
      <c r="CS33" s="27">
        <f t="shared" si="76"/>
        <v>2.4649999999999999</v>
      </c>
      <c r="CT33" s="27">
        <f t="shared" si="77"/>
        <v>5.2759999999999998</v>
      </c>
      <c r="CU33" s="27">
        <f t="shared" si="78"/>
        <v>27.718</v>
      </c>
      <c r="CV33" s="27">
        <f t="shared" si="79"/>
        <v>12.504999999999999</v>
      </c>
      <c r="CW33" s="27">
        <f t="shared" si="80"/>
        <v>18.2254</v>
      </c>
      <c r="CX33" s="27">
        <f t="shared" si="81"/>
        <v>21.321999999999999</v>
      </c>
      <c r="CY33" s="27">
        <f t="shared" si="82"/>
        <v>17.094000000000001</v>
      </c>
      <c r="CZ33" s="27">
        <f t="shared" si="83"/>
        <v>28.902999999999999</v>
      </c>
      <c r="DA33" s="27">
        <f t="shared" si="84"/>
        <v>37.9495</v>
      </c>
      <c r="DB33" s="27">
        <f t="shared" si="85"/>
        <v>43.986999999999995</v>
      </c>
      <c r="DC33" s="27">
        <f t="shared" si="86"/>
        <v>40.887419000000001</v>
      </c>
      <c r="DD33" s="27">
        <f t="shared" si="87"/>
        <v>48.225000000000001</v>
      </c>
      <c r="DE33" s="27">
        <f t="shared" si="88"/>
        <v>46.725000000000001</v>
      </c>
      <c r="DF33" s="27">
        <f t="shared" si="89"/>
        <v>53.593999999999994</v>
      </c>
      <c r="DG33" s="27">
        <f t="shared" si="90"/>
        <v>56.683</v>
      </c>
      <c r="DH33" s="27">
        <f t="shared" si="91"/>
        <v>64.741</v>
      </c>
      <c r="DI33" s="27">
        <f t="shared" si="92"/>
        <v>69.926999999999992</v>
      </c>
      <c r="DJ33" s="27">
        <f t="shared" si="93"/>
        <v>81.125</v>
      </c>
      <c r="DK33" s="27">
        <f t="shared" si="94"/>
        <v>79.275999999999996</v>
      </c>
      <c r="DL33" s="27">
        <f t="shared" si="95"/>
        <v>88.457000000000008</v>
      </c>
      <c r="DM33" s="27">
        <f t="shared" si="96"/>
        <v>72.004282000000003</v>
      </c>
      <c r="DN33" s="27">
        <f t="shared" si="97"/>
        <v>82.588554999999999</v>
      </c>
      <c r="EO33" s="22"/>
      <c r="EP33" s="22"/>
      <c r="EQ33" s="22"/>
      <c r="ER33" s="22"/>
      <c r="ES33" s="22"/>
    </row>
    <row r="34" spans="1:149">
      <c r="A34" s="23" t="s">
        <v>64</v>
      </c>
      <c r="B34" s="30" t="s">
        <v>37</v>
      </c>
      <c r="C34" s="30" t="s">
        <v>37</v>
      </c>
      <c r="D34" s="30" t="s">
        <v>37</v>
      </c>
      <c r="E34" s="30" t="s">
        <v>37</v>
      </c>
      <c r="F34" s="30" t="s">
        <v>37</v>
      </c>
      <c r="G34" s="30" t="s">
        <v>37</v>
      </c>
      <c r="H34" s="30" t="s">
        <v>37</v>
      </c>
      <c r="I34" s="30" t="s">
        <v>37</v>
      </c>
      <c r="J34" s="30" t="s">
        <v>37</v>
      </c>
      <c r="K34" s="30" t="s">
        <v>37</v>
      </c>
      <c r="L34" s="30" t="s">
        <v>37</v>
      </c>
      <c r="M34" s="30" t="s">
        <v>37</v>
      </c>
      <c r="N34" s="30" t="s">
        <v>37</v>
      </c>
      <c r="O34" s="30" t="s">
        <v>37</v>
      </c>
      <c r="P34" s="30" t="s">
        <v>37</v>
      </c>
      <c r="Q34" s="30" t="s">
        <v>37</v>
      </c>
      <c r="R34" s="30" t="s">
        <v>37</v>
      </c>
      <c r="S34" s="30" t="s">
        <v>37</v>
      </c>
      <c r="T34" s="30" t="s">
        <v>37</v>
      </c>
      <c r="U34" s="30" t="s">
        <v>37</v>
      </c>
      <c r="V34" s="30" t="s">
        <v>37</v>
      </c>
      <c r="W34" s="30">
        <v>0.128</v>
      </c>
      <c r="X34" s="30">
        <v>6.8249000000000004E-2</v>
      </c>
      <c r="Y34" s="30">
        <v>0.26500000000000001</v>
      </c>
      <c r="Z34" s="30">
        <v>0.33700000000000002</v>
      </c>
      <c r="AA34" s="30">
        <v>4.4999999999999998E-2</v>
      </c>
      <c r="AB34" s="30">
        <v>4.4999999999999998E-2</v>
      </c>
      <c r="AC34" s="30" t="s">
        <v>45</v>
      </c>
      <c r="AD34" s="30" t="s">
        <v>45</v>
      </c>
      <c r="AE34" s="30" t="s">
        <v>45</v>
      </c>
      <c r="AF34" s="30" t="s">
        <v>45</v>
      </c>
      <c r="AG34" s="30" t="s">
        <v>45</v>
      </c>
      <c r="AH34" s="30" t="s">
        <v>45</v>
      </c>
      <c r="AI34" s="30" t="s">
        <v>45</v>
      </c>
      <c r="AJ34" s="31" t="s">
        <v>37</v>
      </c>
      <c r="AK34" s="30" t="s">
        <v>37</v>
      </c>
      <c r="AL34" s="30" t="s">
        <v>37</v>
      </c>
      <c r="AM34" s="30" t="s">
        <v>37</v>
      </c>
      <c r="AN34" s="30" t="s">
        <v>37</v>
      </c>
      <c r="AO34" s="30" t="s">
        <v>37</v>
      </c>
      <c r="AP34" s="30" t="s">
        <v>37</v>
      </c>
      <c r="AQ34" s="30" t="s">
        <v>37</v>
      </c>
      <c r="AR34" s="30" t="s">
        <v>37</v>
      </c>
      <c r="AS34" s="30" t="s">
        <v>37</v>
      </c>
      <c r="AT34" s="30" t="s">
        <v>37</v>
      </c>
      <c r="AU34" s="30" t="s">
        <v>37</v>
      </c>
      <c r="AV34" s="30" t="s">
        <v>37</v>
      </c>
      <c r="AW34" s="30" t="s">
        <v>37</v>
      </c>
      <c r="AX34" s="30" t="s">
        <v>37</v>
      </c>
      <c r="AY34" s="30" t="s">
        <v>37</v>
      </c>
      <c r="AZ34" s="30" t="s">
        <v>37</v>
      </c>
      <c r="BA34" s="30" t="s">
        <v>37</v>
      </c>
      <c r="BB34" s="30" t="s">
        <v>37</v>
      </c>
      <c r="BC34" s="30" t="s">
        <v>37</v>
      </c>
      <c r="BD34" s="30" t="s">
        <v>37</v>
      </c>
      <c r="BE34" s="30" t="s">
        <v>37</v>
      </c>
      <c r="BF34" s="30" t="s">
        <v>37</v>
      </c>
      <c r="BG34" s="30" t="s">
        <v>37</v>
      </c>
      <c r="BH34" s="30" t="s">
        <v>37</v>
      </c>
      <c r="BI34" s="30" t="s">
        <v>37</v>
      </c>
      <c r="BJ34" s="30" t="s">
        <v>45</v>
      </c>
      <c r="BK34" s="30" t="s">
        <v>45</v>
      </c>
      <c r="BL34" s="30" t="s">
        <v>45</v>
      </c>
      <c r="BM34" s="30" t="s">
        <v>45</v>
      </c>
      <c r="BN34" s="30" t="s">
        <v>45</v>
      </c>
      <c r="BO34" s="30" t="s">
        <v>45</v>
      </c>
      <c r="BP34" s="30" t="s">
        <v>45</v>
      </c>
      <c r="BQ34" s="30" t="s">
        <v>45</v>
      </c>
      <c r="BR34" s="31">
        <v>0.29599999999999999</v>
      </c>
      <c r="BS34" s="30" t="s">
        <v>37</v>
      </c>
      <c r="BT34" s="30" t="s">
        <v>37</v>
      </c>
      <c r="BU34" s="30" t="s">
        <v>37</v>
      </c>
      <c r="BV34" s="30" t="s">
        <v>37</v>
      </c>
      <c r="BW34" s="30" t="s">
        <v>37</v>
      </c>
      <c r="BX34" s="30" t="s">
        <v>37</v>
      </c>
      <c r="BY34" s="30">
        <v>5.1999999999999998E-2</v>
      </c>
      <c r="BZ34" s="30">
        <v>4.7E-2</v>
      </c>
      <c r="CA34" s="30">
        <v>4.3999999999999997E-2</v>
      </c>
      <c r="CB34" s="30">
        <v>3.2000000000000001E-2</v>
      </c>
      <c r="CC34" s="30">
        <v>2.5999999999999999E-2</v>
      </c>
      <c r="CD34" s="30">
        <v>2.1999999999999999E-2</v>
      </c>
      <c r="CE34" s="30">
        <v>1.6185000000000001E-2</v>
      </c>
      <c r="CF34" s="30">
        <v>2.2138000000000001E-2</v>
      </c>
      <c r="CG34" s="26">
        <f t="shared" si="64"/>
        <v>0</v>
      </c>
      <c r="CH34" s="27">
        <f t="shared" si="65"/>
        <v>0</v>
      </c>
      <c r="CI34" s="27">
        <f t="shared" si="66"/>
        <v>0</v>
      </c>
      <c r="CJ34" s="27">
        <f t="shared" si="67"/>
        <v>0</v>
      </c>
      <c r="CK34" s="27">
        <f t="shared" si="68"/>
        <v>0</v>
      </c>
      <c r="CL34" s="27">
        <f t="shared" si="69"/>
        <v>0</v>
      </c>
      <c r="CM34" s="27">
        <f t="shared" si="70"/>
        <v>0</v>
      </c>
      <c r="CN34" s="27">
        <f t="shared" si="71"/>
        <v>0</v>
      </c>
      <c r="CO34" s="27">
        <f t="shared" si="72"/>
        <v>0</v>
      </c>
      <c r="CP34" s="27">
        <f t="shared" si="73"/>
        <v>0</v>
      </c>
      <c r="CQ34" s="27">
        <f t="shared" si="74"/>
        <v>0</v>
      </c>
      <c r="CR34" s="27">
        <f t="shared" si="75"/>
        <v>0</v>
      </c>
      <c r="CS34" s="27">
        <f t="shared" si="76"/>
        <v>0</v>
      </c>
      <c r="CT34" s="27">
        <f t="shared" si="77"/>
        <v>0</v>
      </c>
      <c r="CU34" s="27">
        <f t="shared" si="78"/>
        <v>0</v>
      </c>
      <c r="CV34" s="27">
        <f t="shared" si="79"/>
        <v>0</v>
      </c>
      <c r="CW34" s="27">
        <f t="shared" si="80"/>
        <v>0</v>
      </c>
      <c r="CX34" s="27">
        <f t="shared" si="81"/>
        <v>0</v>
      </c>
      <c r="CY34" s="27">
        <f t="shared" si="82"/>
        <v>0</v>
      </c>
      <c r="CZ34" s="27">
        <f t="shared" si="83"/>
        <v>0.29599999999999999</v>
      </c>
      <c r="DA34" s="27">
        <f t="shared" si="84"/>
        <v>0</v>
      </c>
      <c r="DB34" s="27">
        <f t="shared" si="85"/>
        <v>0.128</v>
      </c>
      <c r="DC34" s="27">
        <f t="shared" si="86"/>
        <v>6.8249000000000004E-2</v>
      </c>
      <c r="DD34" s="27">
        <f t="shared" si="87"/>
        <v>0.26500000000000001</v>
      </c>
      <c r="DE34" s="27">
        <f t="shared" si="88"/>
        <v>0.33700000000000002</v>
      </c>
      <c r="DF34" s="27">
        <f t="shared" si="89"/>
        <v>4.4999999999999998E-2</v>
      </c>
      <c r="DG34" s="27">
        <f t="shared" si="90"/>
        <v>9.7000000000000003E-2</v>
      </c>
      <c r="DH34" s="27">
        <f t="shared" si="91"/>
        <v>4.7E-2</v>
      </c>
      <c r="DI34" s="27">
        <f t="shared" si="92"/>
        <v>4.3999999999999997E-2</v>
      </c>
      <c r="DJ34" s="27">
        <f t="shared" si="93"/>
        <v>3.2000000000000001E-2</v>
      </c>
      <c r="DK34" s="27">
        <f t="shared" si="94"/>
        <v>2.5999999999999999E-2</v>
      </c>
      <c r="DL34" s="27">
        <f t="shared" si="95"/>
        <v>2.1999999999999999E-2</v>
      </c>
      <c r="DM34" s="27">
        <f t="shared" si="96"/>
        <v>1.6185000000000001E-2</v>
      </c>
      <c r="DN34" s="27">
        <f t="shared" si="97"/>
        <v>2.2138000000000001E-2</v>
      </c>
      <c r="EO34" s="22"/>
      <c r="EP34" s="22"/>
      <c r="EQ34" s="22"/>
      <c r="ER34" s="22"/>
      <c r="ES34" s="22"/>
    </row>
    <row r="35" spans="1:149">
      <c r="A35" s="23" t="s">
        <v>65</v>
      </c>
      <c r="B35" s="30" t="s">
        <v>37</v>
      </c>
      <c r="C35" s="41">
        <v>0.54500000000000004</v>
      </c>
      <c r="D35" s="41">
        <v>0.59</v>
      </c>
      <c r="E35" s="41">
        <v>0.57199999999999995</v>
      </c>
      <c r="F35" s="41">
        <v>0.67300000000000004</v>
      </c>
      <c r="G35" s="41" t="s">
        <v>45</v>
      </c>
      <c r="H35" s="41" t="s">
        <v>45</v>
      </c>
      <c r="I35" s="41" t="s">
        <v>45</v>
      </c>
      <c r="J35" s="41" t="s">
        <v>45</v>
      </c>
      <c r="K35" s="41" t="s">
        <v>45</v>
      </c>
      <c r="L35" s="41" t="s">
        <v>45</v>
      </c>
      <c r="M35" s="41">
        <v>1.5309999999999999</v>
      </c>
      <c r="N35" s="41" t="s">
        <v>37</v>
      </c>
      <c r="O35" s="41" t="s">
        <v>37</v>
      </c>
      <c r="P35" s="41" t="s">
        <v>37</v>
      </c>
      <c r="Q35" s="41" t="s">
        <v>37</v>
      </c>
      <c r="R35" s="41" t="s">
        <v>37</v>
      </c>
      <c r="S35" s="41" t="s">
        <v>37</v>
      </c>
      <c r="T35" s="41" t="s">
        <v>37</v>
      </c>
      <c r="U35" s="41" t="s">
        <v>37</v>
      </c>
      <c r="V35" s="41">
        <v>0.36899999999999999</v>
      </c>
      <c r="W35" s="24">
        <f>((X35-V35)/2)+V35</f>
        <v>0.58701700000000001</v>
      </c>
      <c r="X35" s="41">
        <v>0.80503400000000003</v>
      </c>
      <c r="Y35" s="41">
        <v>1.208</v>
      </c>
      <c r="Z35" s="41">
        <v>1.663</v>
      </c>
      <c r="AA35" s="41">
        <v>2.2240000000000002</v>
      </c>
      <c r="AB35" s="41">
        <v>4.2859999999999996</v>
      </c>
      <c r="AC35" s="41">
        <v>5.5759999999999996</v>
      </c>
      <c r="AD35" s="41">
        <v>5.6959999999999997</v>
      </c>
      <c r="AE35" s="41">
        <v>5.383</v>
      </c>
      <c r="AF35" s="41">
        <v>6.0869999999999997</v>
      </c>
      <c r="AG35" s="41">
        <v>7.1189999999999998</v>
      </c>
      <c r="AH35" s="41">
        <v>9.9341550000000005</v>
      </c>
      <c r="AI35" s="30">
        <v>11.64695</v>
      </c>
      <c r="AJ35" s="42" t="s">
        <v>37</v>
      </c>
      <c r="AK35" s="41">
        <v>1.0940000000000001</v>
      </c>
      <c r="AL35" s="41">
        <v>0.89100000000000001</v>
      </c>
      <c r="AM35" s="41">
        <v>0.79200000000000004</v>
      </c>
      <c r="AN35" s="41">
        <v>0.93500000000000005</v>
      </c>
      <c r="AO35" s="41">
        <v>0.98399999999999999</v>
      </c>
      <c r="AP35" s="41">
        <v>0.96799999999999997</v>
      </c>
      <c r="AQ35" s="41">
        <v>0.98399999999999999</v>
      </c>
      <c r="AR35" s="41">
        <v>1.3959999999999999</v>
      </c>
      <c r="AS35" s="41">
        <v>0.90700000000000003</v>
      </c>
      <c r="AT35" s="41">
        <v>0.90300000000000002</v>
      </c>
      <c r="AU35" s="41">
        <v>0.98</v>
      </c>
      <c r="AV35" s="41">
        <v>0.89700000000000002</v>
      </c>
      <c r="AW35" s="41">
        <v>0.96550000000000002</v>
      </c>
      <c r="AX35" s="41">
        <v>0.97140000000000004</v>
      </c>
      <c r="AY35" s="41">
        <v>0.96650000000000003</v>
      </c>
      <c r="AZ35" s="41">
        <v>0.97640000000000005</v>
      </c>
      <c r="BA35" s="41">
        <v>1.002</v>
      </c>
      <c r="BB35" s="24">
        <f>(($BD$35-$BA$35)/3)+BA35</f>
        <v>1.0046666666666666</v>
      </c>
      <c r="BC35" s="24">
        <f>(($BD$35-$BA$35)/3)+BB35</f>
        <v>1.0073333333333332</v>
      </c>
      <c r="BD35" s="41">
        <v>1.01</v>
      </c>
      <c r="BE35" s="30" t="s">
        <v>45</v>
      </c>
      <c r="BF35" s="30" t="s">
        <v>45</v>
      </c>
      <c r="BG35" s="30" t="s">
        <v>45</v>
      </c>
      <c r="BH35" s="30" t="s">
        <v>45</v>
      </c>
      <c r="BI35" s="30" t="s">
        <v>45</v>
      </c>
      <c r="BJ35" s="41">
        <v>0.91700000000000004</v>
      </c>
      <c r="BK35" s="41">
        <v>0.95099999999999996</v>
      </c>
      <c r="BL35" s="41">
        <v>0.89</v>
      </c>
      <c r="BM35" s="41">
        <v>0.85699999999999998</v>
      </c>
      <c r="BN35" s="41">
        <v>1.37</v>
      </c>
      <c r="BO35" s="41">
        <v>1.405</v>
      </c>
      <c r="BP35" s="41">
        <v>0.828241</v>
      </c>
      <c r="BQ35" s="30" t="s">
        <v>45</v>
      </c>
      <c r="BR35" s="42">
        <v>1.264</v>
      </c>
      <c r="BS35" s="24">
        <f>((BT35-BR35)/2)+BR35</f>
        <v>1.4235</v>
      </c>
      <c r="BT35" s="41">
        <v>1.583</v>
      </c>
      <c r="BU35" s="41">
        <v>0.98799999999999999</v>
      </c>
      <c r="BV35" s="41">
        <v>0.89500000000000002</v>
      </c>
      <c r="BW35" s="41">
        <v>0.96399999999999997</v>
      </c>
      <c r="BX35" s="41" t="s">
        <v>37</v>
      </c>
      <c r="BY35" s="30" t="s">
        <v>45</v>
      </c>
      <c r="BZ35" s="30" t="s">
        <v>45</v>
      </c>
      <c r="CA35" s="30" t="s">
        <v>45</v>
      </c>
      <c r="CB35" s="30" t="s">
        <v>45</v>
      </c>
      <c r="CC35" s="30" t="s">
        <v>45</v>
      </c>
      <c r="CD35" s="30" t="s">
        <v>45</v>
      </c>
      <c r="CE35" s="30" t="s">
        <v>45</v>
      </c>
      <c r="CF35" s="30" t="s">
        <v>45</v>
      </c>
      <c r="CG35" s="43">
        <f t="shared" si="64"/>
        <v>0</v>
      </c>
      <c r="CH35" s="44">
        <f t="shared" si="65"/>
        <v>1.6390000000000002</v>
      </c>
      <c r="CI35" s="44">
        <f t="shared" si="66"/>
        <v>1.4809999999999999</v>
      </c>
      <c r="CJ35" s="44">
        <f t="shared" si="67"/>
        <v>1.3639999999999999</v>
      </c>
      <c r="CK35" s="44">
        <f t="shared" si="68"/>
        <v>1.6080000000000001</v>
      </c>
      <c r="CL35" s="44">
        <f t="shared" si="69"/>
        <v>0.98399999999999999</v>
      </c>
      <c r="CM35" s="44">
        <f t="shared" si="70"/>
        <v>0.96799999999999997</v>
      </c>
      <c r="CN35" s="44">
        <f t="shared" si="71"/>
        <v>0.98399999999999999</v>
      </c>
      <c r="CO35" s="44">
        <f t="shared" si="72"/>
        <v>1.3959999999999999</v>
      </c>
      <c r="CP35" s="44">
        <f t="shared" si="73"/>
        <v>0.90700000000000003</v>
      </c>
      <c r="CQ35" s="44">
        <f t="shared" si="74"/>
        <v>0.90300000000000002</v>
      </c>
      <c r="CR35" s="44">
        <f t="shared" si="75"/>
        <v>2.5110000000000001</v>
      </c>
      <c r="CS35" s="44">
        <f t="shared" si="76"/>
        <v>0.89700000000000002</v>
      </c>
      <c r="CT35" s="44">
        <f t="shared" si="77"/>
        <v>0.96550000000000002</v>
      </c>
      <c r="CU35" s="44">
        <f t="shared" si="78"/>
        <v>0.97140000000000004</v>
      </c>
      <c r="CV35" s="44">
        <f t="shared" si="79"/>
        <v>0.96650000000000003</v>
      </c>
      <c r="CW35" s="44">
        <f t="shared" si="80"/>
        <v>0.97640000000000005</v>
      </c>
      <c r="CX35" s="44">
        <f t="shared" si="81"/>
        <v>1.002</v>
      </c>
      <c r="CY35" s="44">
        <f t="shared" si="82"/>
        <v>1.0046666666666666</v>
      </c>
      <c r="CZ35" s="44">
        <f t="shared" si="83"/>
        <v>2.2713333333333332</v>
      </c>
      <c r="DA35" s="44">
        <f t="shared" si="84"/>
        <v>2.8025000000000002</v>
      </c>
      <c r="DB35" s="44">
        <f t="shared" si="85"/>
        <v>2.1700170000000001</v>
      </c>
      <c r="DC35" s="44">
        <f t="shared" si="86"/>
        <v>1.793034</v>
      </c>
      <c r="DD35" s="44">
        <f t="shared" si="87"/>
        <v>2.1029999999999998</v>
      </c>
      <c r="DE35" s="44">
        <f t="shared" si="88"/>
        <v>2.6269999999999998</v>
      </c>
      <c r="DF35" s="44">
        <f t="shared" si="89"/>
        <v>2.2240000000000002</v>
      </c>
      <c r="DG35" s="44">
        <f t="shared" si="90"/>
        <v>5.2029999999999994</v>
      </c>
      <c r="DH35" s="44">
        <f t="shared" si="91"/>
        <v>6.5269999999999992</v>
      </c>
      <c r="DI35" s="44">
        <f t="shared" si="92"/>
        <v>6.5859999999999994</v>
      </c>
      <c r="DJ35" s="44">
        <f t="shared" si="93"/>
        <v>6.24</v>
      </c>
      <c r="DK35" s="44">
        <f>SUM(AF35,BN35,CC35)</f>
        <v>7.4569999999999999</v>
      </c>
      <c r="DL35" s="44">
        <f t="shared" si="95"/>
        <v>8.5239999999999991</v>
      </c>
      <c r="DM35" s="44">
        <f t="shared" si="96"/>
        <v>10.762396000000001</v>
      </c>
      <c r="DN35" s="44">
        <f t="shared" si="97"/>
        <v>11.64695</v>
      </c>
      <c r="EO35" s="22"/>
      <c r="EP35" s="22"/>
      <c r="EQ35" s="22"/>
      <c r="ER35" s="22"/>
      <c r="ES35" s="22"/>
    </row>
    <row r="36" spans="1:149">
      <c r="A36" s="23" t="s">
        <v>66</v>
      </c>
      <c r="B36" s="30">
        <v>3.1E-2</v>
      </c>
      <c r="C36" s="30">
        <v>2.8000000000000001E-2</v>
      </c>
      <c r="D36" s="30">
        <v>2.8000000000000001E-2</v>
      </c>
      <c r="E36" s="30">
        <v>2.8000000000000001E-2</v>
      </c>
      <c r="F36" s="30" t="s">
        <v>45</v>
      </c>
      <c r="G36" s="30" t="s">
        <v>45</v>
      </c>
      <c r="H36" s="30" t="s">
        <v>45</v>
      </c>
      <c r="I36" s="30">
        <v>3.2000000000000001E-2</v>
      </c>
      <c r="J36" s="30" t="s">
        <v>45</v>
      </c>
      <c r="K36" s="30" t="s">
        <v>45</v>
      </c>
      <c r="L36" s="30" t="s">
        <v>45</v>
      </c>
      <c r="M36" s="30">
        <v>0.84089999999999998</v>
      </c>
      <c r="N36" s="30">
        <v>1.2929999999999999</v>
      </c>
      <c r="O36" s="30">
        <v>1.482</v>
      </c>
      <c r="P36" s="30">
        <v>1.506</v>
      </c>
      <c r="Q36" s="30">
        <v>1.5329999999999999</v>
      </c>
      <c r="R36" s="30">
        <v>4.0759999999999996</v>
      </c>
      <c r="S36" s="30">
        <v>7.8819999999999997</v>
      </c>
      <c r="T36" s="30">
        <v>1.2110000000000001</v>
      </c>
      <c r="U36" s="30">
        <v>1.367</v>
      </c>
      <c r="V36" s="30">
        <v>8.1839999999999993</v>
      </c>
      <c r="W36" s="30">
        <v>10.462999999999999</v>
      </c>
      <c r="X36" s="30">
        <v>6.4966710000000001</v>
      </c>
      <c r="Y36" s="30">
        <v>3.133</v>
      </c>
      <c r="Z36" s="30">
        <v>3.3759999999999999</v>
      </c>
      <c r="AA36" s="30">
        <v>3.7250000000000001</v>
      </c>
      <c r="AB36" s="30">
        <v>3.8180000000000001</v>
      </c>
      <c r="AC36" s="30">
        <v>3.734</v>
      </c>
      <c r="AD36" s="30">
        <v>2.7469999999999999</v>
      </c>
      <c r="AE36" s="30">
        <v>1.8320000000000001</v>
      </c>
      <c r="AF36" s="30">
        <v>0.52900000000000003</v>
      </c>
      <c r="AG36" s="30">
        <v>6.4000000000000001E-2</v>
      </c>
      <c r="AH36" s="30">
        <v>1.1150999999999999E-2</v>
      </c>
      <c r="AI36" s="30">
        <v>12.440759999999999</v>
      </c>
      <c r="AJ36" s="31" t="s">
        <v>37</v>
      </c>
      <c r="AK36" s="30" t="s">
        <v>37</v>
      </c>
      <c r="AL36" s="30" t="s">
        <v>37</v>
      </c>
      <c r="AM36" s="30" t="s">
        <v>37</v>
      </c>
      <c r="AN36" s="30" t="s">
        <v>37</v>
      </c>
      <c r="AO36" s="30" t="s">
        <v>37</v>
      </c>
      <c r="AP36" s="30" t="s">
        <v>37</v>
      </c>
      <c r="AQ36" s="30" t="s">
        <v>37</v>
      </c>
      <c r="AR36" s="30" t="s">
        <v>37</v>
      </c>
      <c r="AS36" s="30" t="s">
        <v>37</v>
      </c>
      <c r="AT36" s="30" t="s">
        <v>37</v>
      </c>
      <c r="AU36" s="30" t="s">
        <v>37</v>
      </c>
      <c r="AV36" s="30" t="s">
        <v>37</v>
      </c>
      <c r="AW36" s="30" t="s">
        <v>37</v>
      </c>
      <c r="AX36" s="30" t="s">
        <v>37</v>
      </c>
      <c r="AY36" s="30" t="s">
        <v>37</v>
      </c>
      <c r="AZ36" s="30" t="s">
        <v>37</v>
      </c>
      <c r="BA36" s="30" t="s">
        <v>37</v>
      </c>
      <c r="BB36" s="30" t="s">
        <v>37</v>
      </c>
      <c r="BC36" s="30" t="s">
        <v>37</v>
      </c>
      <c r="BD36" s="30" t="s">
        <v>37</v>
      </c>
      <c r="BE36" s="30" t="s">
        <v>37</v>
      </c>
      <c r="BF36" s="30" t="s">
        <v>37</v>
      </c>
      <c r="BG36" s="30" t="s">
        <v>37</v>
      </c>
      <c r="BH36" s="30" t="s">
        <v>37</v>
      </c>
      <c r="BI36" s="30" t="s">
        <v>37</v>
      </c>
      <c r="BJ36" s="30" t="s">
        <v>45</v>
      </c>
      <c r="BK36" s="30" t="s">
        <v>45</v>
      </c>
      <c r="BL36" s="30" t="s">
        <v>45</v>
      </c>
      <c r="BM36" s="30" t="s">
        <v>45</v>
      </c>
      <c r="BN36" s="30" t="s">
        <v>45</v>
      </c>
      <c r="BO36" s="30" t="s">
        <v>45</v>
      </c>
      <c r="BP36" s="30" t="s">
        <v>45</v>
      </c>
      <c r="BQ36" s="30" t="s">
        <v>45</v>
      </c>
      <c r="BR36" s="31">
        <v>0.57799999999999996</v>
      </c>
      <c r="BS36" s="30" t="s">
        <v>37</v>
      </c>
      <c r="BT36" s="30" t="s">
        <v>37</v>
      </c>
      <c r="BU36" s="30" t="s">
        <v>37</v>
      </c>
      <c r="BV36" s="30" t="s">
        <v>37</v>
      </c>
      <c r="BW36" s="30" t="s">
        <v>37</v>
      </c>
      <c r="BX36" s="30" t="s">
        <v>37</v>
      </c>
      <c r="BY36" s="30" t="s">
        <v>45</v>
      </c>
      <c r="BZ36" s="30" t="s">
        <v>45</v>
      </c>
      <c r="CA36" s="30" t="s">
        <v>45</v>
      </c>
      <c r="CB36" s="30" t="s">
        <v>45</v>
      </c>
      <c r="CC36" s="30" t="s">
        <v>45</v>
      </c>
      <c r="CD36" s="30" t="s">
        <v>45</v>
      </c>
      <c r="CE36" s="30" t="s">
        <v>45</v>
      </c>
      <c r="CF36" s="30" t="s">
        <v>45</v>
      </c>
      <c r="CG36" s="26">
        <f t="shared" si="64"/>
        <v>3.1E-2</v>
      </c>
      <c r="CH36" s="27">
        <f t="shared" si="65"/>
        <v>2.8000000000000001E-2</v>
      </c>
      <c r="CI36" s="27">
        <f t="shared" si="66"/>
        <v>2.8000000000000001E-2</v>
      </c>
      <c r="CJ36" s="27">
        <f t="shared" si="67"/>
        <v>2.8000000000000001E-2</v>
      </c>
      <c r="CK36" s="27">
        <f t="shared" si="68"/>
        <v>0</v>
      </c>
      <c r="CL36" s="27">
        <f t="shared" si="69"/>
        <v>0</v>
      </c>
      <c r="CM36" s="27">
        <f t="shared" si="70"/>
        <v>0</v>
      </c>
      <c r="CN36" s="27">
        <f t="shared" si="71"/>
        <v>3.2000000000000001E-2</v>
      </c>
      <c r="CO36" s="27">
        <f t="shared" si="72"/>
        <v>0</v>
      </c>
      <c r="CP36" s="27">
        <f t="shared" si="73"/>
        <v>0</v>
      </c>
      <c r="CQ36" s="27">
        <f t="shared" si="74"/>
        <v>0</v>
      </c>
      <c r="CR36" s="27">
        <f t="shared" si="75"/>
        <v>0.84089999999999998</v>
      </c>
      <c r="CS36" s="27">
        <f t="shared" si="76"/>
        <v>1.2929999999999999</v>
      </c>
      <c r="CT36" s="27">
        <f t="shared" si="77"/>
        <v>1.482</v>
      </c>
      <c r="CU36" s="27">
        <f t="shared" si="78"/>
        <v>1.506</v>
      </c>
      <c r="CV36" s="27">
        <f t="shared" si="79"/>
        <v>1.5329999999999999</v>
      </c>
      <c r="CW36" s="27">
        <f t="shared" si="80"/>
        <v>4.0759999999999996</v>
      </c>
      <c r="CX36" s="27">
        <f t="shared" si="81"/>
        <v>7.8819999999999997</v>
      </c>
      <c r="CY36" s="27">
        <f t="shared" si="82"/>
        <v>1.2110000000000001</v>
      </c>
      <c r="CZ36" s="27">
        <f t="shared" si="83"/>
        <v>1.9449999999999998</v>
      </c>
      <c r="DA36" s="27">
        <f t="shared" si="84"/>
        <v>8.1839999999999993</v>
      </c>
      <c r="DB36" s="27">
        <f t="shared" si="85"/>
        <v>10.462999999999999</v>
      </c>
      <c r="DC36" s="27">
        <f t="shared" si="86"/>
        <v>6.4966710000000001</v>
      </c>
      <c r="DD36" s="27">
        <f t="shared" si="87"/>
        <v>3.133</v>
      </c>
      <c r="DE36" s="27">
        <f t="shared" si="88"/>
        <v>3.3759999999999999</v>
      </c>
      <c r="DF36" s="27">
        <f t="shared" si="89"/>
        <v>3.7250000000000001</v>
      </c>
      <c r="DG36" s="27">
        <f t="shared" si="90"/>
        <v>3.8180000000000001</v>
      </c>
      <c r="DH36" s="27">
        <f t="shared" si="91"/>
        <v>3.734</v>
      </c>
      <c r="DI36" s="27">
        <f t="shared" si="92"/>
        <v>2.7469999999999999</v>
      </c>
      <c r="DJ36" s="27">
        <f t="shared" si="93"/>
        <v>1.8320000000000001</v>
      </c>
      <c r="DK36" s="27">
        <f>SUM(AF36,BN36,CC36)</f>
        <v>0.52900000000000003</v>
      </c>
      <c r="DL36" s="27">
        <f t="shared" si="95"/>
        <v>6.4000000000000001E-2</v>
      </c>
      <c r="DM36" s="27">
        <f t="shared" si="96"/>
        <v>1.1150999999999999E-2</v>
      </c>
      <c r="DN36" s="27">
        <f t="shared" si="97"/>
        <v>12.440759999999999</v>
      </c>
      <c r="EO36" s="22"/>
      <c r="EP36" s="22"/>
      <c r="EQ36" s="22"/>
      <c r="ER36" s="22"/>
      <c r="ES36" s="22"/>
    </row>
    <row r="37" spans="1:149">
      <c r="A37" s="32" t="s">
        <v>67</v>
      </c>
      <c r="B37" s="33" t="s">
        <v>37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3" t="s">
        <v>37</v>
      </c>
      <c r="N37" s="33" t="s">
        <v>37</v>
      </c>
      <c r="O37" s="33" t="s">
        <v>37</v>
      </c>
      <c r="P37" s="33" t="s">
        <v>37</v>
      </c>
      <c r="Q37" s="33" t="s">
        <v>37</v>
      </c>
      <c r="R37" s="33" t="s">
        <v>37</v>
      </c>
      <c r="S37" s="33" t="s">
        <v>37</v>
      </c>
      <c r="T37" s="33" t="s">
        <v>37</v>
      </c>
      <c r="U37" s="33" t="s">
        <v>37</v>
      </c>
      <c r="V37" s="33" t="s">
        <v>37</v>
      </c>
      <c r="W37" s="33" t="s">
        <v>37</v>
      </c>
      <c r="X37" s="33" t="s">
        <v>37</v>
      </c>
      <c r="Y37" s="33" t="s">
        <v>37</v>
      </c>
      <c r="Z37" s="33" t="s">
        <v>37</v>
      </c>
      <c r="AA37" s="33" t="s">
        <v>37</v>
      </c>
      <c r="AB37" s="30" t="s">
        <v>45</v>
      </c>
      <c r="AC37" s="30" t="s">
        <v>45</v>
      </c>
      <c r="AD37" s="30" t="s">
        <v>45</v>
      </c>
      <c r="AE37" s="30" t="s">
        <v>45</v>
      </c>
      <c r="AF37" s="30" t="s">
        <v>45</v>
      </c>
      <c r="AG37" s="30" t="s">
        <v>45</v>
      </c>
      <c r="AH37" s="30" t="s">
        <v>45</v>
      </c>
      <c r="AI37" s="30" t="s">
        <v>45</v>
      </c>
      <c r="AJ37" s="34" t="s">
        <v>37</v>
      </c>
      <c r="AK37" s="33" t="s">
        <v>37</v>
      </c>
      <c r="AL37" s="33" t="s">
        <v>37</v>
      </c>
      <c r="AM37" s="33" t="s">
        <v>37</v>
      </c>
      <c r="AN37" s="33" t="s">
        <v>37</v>
      </c>
      <c r="AO37" s="33" t="s">
        <v>37</v>
      </c>
      <c r="AP37" s="33" t="s">
        <v>37</v>
      </c>
      <c r="AQ37" s="33" t="s">
        <v>37</v>
      </c>
      <c r="AR37" s="33" t="s">
        <v>37</v>
      </c>
      <c r="AS37" s="33" t="s">
        <v>37</v>
      </c>
      <c r="AT37" s="33" t="s">
        <v>37</v>
      </c>
      <c r="AU37" s="33" t="s">
        <v>37</v>
      </c>
      <c r="AV37" s="33" t="s">
        <v>37</v>
      </c>
      <c r="AW37" s="33" t="s">
        <v>37</v>
      </c>
      <c r="AX37" s="33" t="s">
        <v>37</v>
      </c>
      <c r="AY37" s="33" t="s">
        <v>37</v>
      </c>
      <c r="AZ37" s="33" t="s">
        <v>37</v>
      </c>
      <c r="BA37" s="33" t="s">
        <v>37</v>
      </c>
      <c r="BB37" s="33" t="s">
        <v>37</v>
      </c>
      <c r="BC37" s="33" t="s">
        <v>37</v>
      </c>
      <c r="BD37" s="33" t="s">
        <v>37</v>
      </c>
      <c r="BE37" s="33" t="s">
        <v>37</v>
      </c>
      <c r="BF37" s="33" t="s">
        <v>37</v>
      </c>
      <c r="BG37" s="33" t="s">
        <v>37</v>
      </c>
      <c r="BH37" s="33" t="s">
        <v>37</v>
      </c>
      <c r="BI37" s="33" t="s">
        <v>37</v>
      </c>
      <c r="BJ37" s="33" t="s">
        <v>45</v>
      </c>
      <c r="BK37" s="33" t="s">
        <v>45</v>
      </c>
      <c r="BL37" s="33" t="s">
        <v>45</v>
      </c>
      <c r="BM37" s="30" t="s">
        <v>45</v>
      </c>
      <c r="BN37" s="30" t="s">
        <v>45</v>
      </c>
      <c r="BO37" s="30" t="s">
        <v>45</v>
      </c>
      <c r="BP37" s="33" t="s">
        <v>45</v>
      </c>
      <c r="BQ37" s="33" t="s">
        <v>45</v>
      </c>
      <c r="BR37" s="34" t="s">
        <v>37</v>
      </c>
      <c r="BS37" s="33" t="s">
        <v>37</v>
      </c>
      <c r="BT37" s="33" t="s">
        <v>37</v>
      </c>
      <c r="BU37" s="33" t="s">
        <v>37</v>
      </c>
      <c r="BV37" s="33" t="s">
        <v>37</v>
      </c>
      <c r="BW37" s="33" t="s">
        <v>37</v>
      </c>
      <c r="BX37" s="33" t="s">
        <v>37</v>
      </c>
      <c r="BY37" s="33" t="s">
        <v>45</v>
      </c>
      <c r="BZ37" s="33" t="s">
        <v>45</v>
      </c>
      <c r="CA37" s="33" t="s">
        <v>45</v>
      </c>
      <c r="CB37" s="33" t="s">
        <v>45</v>
      </c>
      <c r="CC37" s="33" t="s">
        <v>45</v>
      </c>
      <c r="CD37" s="264" t="s">
        <v>45</v>
      </c>
      <c r="CE37" s="33" t="s">
        <v>45</v>
      </c>
      <c r="CF37" s="33" t="s">
        <v>45</v>
      </c>
      <c r="CG37" s="35">
        <f t="shared" si="64"/>
        <v>0</v>
      </c>
      <c r="CH37" s="36">
        <f t="shared" si="65"/>
        <v>0</v>
      </c>
      <c r="CI37" s="36">
        <f t="shared" si="66"/>
        <v>0</v>
      </c>
      <c r="CJ37" s="36">
        <f t="shared" si="67"/>
        <v>0</v>
      </c>
      <c r="CK37" s="36">
        <f t="shared" si="68"/>
        <v>0</v>
      </c>
      <c r="CL37" s="36">
        <f t="shared" si="69"/>
        <v>0</v>
      </c>
      <c r="CM37" s="36">
        <f t="shared" si="70"/>
        <v>0</v>
      </c>
      <c r="CN37" s="36">
        <f t="shared" si="71"/>
        <v>0</v>
      </c>
      <c r="CO37" s="36">
        <f t="shared" si="72"/>
        <v>0</v>
      </c>
      <c r="CP37" s="36">
        <f t="shared" si="73"/>
        <v>0</v>
      </c>
      <c r="CQ37" s="36">
        <f t="shared" si="74"/>
        <v>0</v>
      </c>
      <c r="CR37" s="36">
        <f t="shared" si="75"/>
        <v>0</v>
      </c>
      <c r="CS37" s="36">
        <f t="shared" si="76"/>
        <v>0</v>
      </c>
      <c r="CT37" s="36">
        <f t="shared" si="77"/>
        <v>0</v>
      </c>
      <c r="CU37" s="36">
        <f t="shared" si="78"/>
        <v>0</v>
      </c>
      <c r="CV37" s="36">
        <f t="shared" si="79"/>
        <v>0</v>
      </c>
      <c r="CW37" s="36">
        <f t="shared" si="80"/>
        <v>0</v>
      </c>
      <c r="CX37" s="36">
        <f t="shared" si="81"/>
        <v>0</v>
      </c>
      <c r="CY37" s="36">
        <f t="shared" si="82"/>
        <v>0</v>
      </c>
      <c r="CZ37" s="36">
        <f t="shared" si="83"/>
        <v>0</v>
      </c>
      <c r="DA37" s="36">
        <f t="shared" si="84"/>
        <v>0</v>
      </c>
      <c r="DB37" s="36">
        <f t="shared" si="85"/>
        <v>0</v>
      </c>
      <c r="DC37" s="36">
        <f t="shared" si="86"/>
        <v>0</v>
      </c>
      <c r="DD37" s="36">
        <f t="shared" si="87"/>
        <v>0</v>
      </c>
      <c r="DE37" s="36">
        <f t="shared" si="88"/>
        <v>0</v>
      </c>
      <c r="DF37" s="36">
        <f t="shared" si="89"/>
        <v>0</v>
      </c>
      <c r="DG37" s="36">
        <f t="shared" si="90"/>
        <v>0</v>
      </c>
      <c r="DH37" s="36">
        <f t="shared" si="91"/>
        <v>0</v>
      </c>
      <c r="DI37" s="36">
        <f t="shared" si="92"/>
        <v>0</v>
      </c>
      <c r="DJ37" s="36">
        <f t="shared" si="93"/>
        <v>0</v>
      </c>
      <c r="DK37" s="36">
        <f>SUM(AF37,BN37,CC37)</f>
        <v>0</v>
      </c>
      <c r="DL37" s="36">
        <f t="shared" si="95"/>
        <v>0</v>
      </c>
      <c r="DM37" s="36">
        <f t="shared" si="96"/>
        <v>0</v>
      </c>
      <c r="DN37" s="36">
        <f t="shared" si="97"/>
        <v>0</v>
      </c>
      <c r="EO37" s="22"/>
      <c r="EP37" s="22"/>
      <c r="EQ37" s="22"/>
      <c r="ER37" s="22"/>
      <c r="ES37" s="22"/>
    </row>
    <row r="38" spans="1:149">
      <c r="A38" s="7" t="s">
        <v>68</v>
      </c>
      <c r="B38" s="37">
        <f>SUM(B40:B51)</f>
        <v>21.720000000000002</v>
      </c>
      <c r="C38" s="37">
        <f t="shared" ref="C38:CI38" si="98">SUM(C40:C51)</f>
        <v>28.734999999999999</v>
      </c>
      <c r="D38" s="37">
        <f t="shared" si="98"/>
        <v>21.349999999999998</v>
      </c>
      <c r="E38" s="37">
        <f t="shared" si="98"/>
        <v>31.395</v>
      </c>
      <c r="F38" s="37">
        <f t="shared" si="98"/>
        <v>31.815000000000001</v>
      </c>
      <c r="G38" s="37">
        <f t="shared" si="98"/>
        <v>34.612000000000002</v>
      </c>
      <c r="H38" s="37">
        <f t="shared" si="98"/>
        <v>53.460400000000007</v>
      </c>
      <c r="I38" s="37">
        <f t="shared" si="98"/>
        <v>57.763000000000005</v>
      </c>
      <c r="J38" s="37">
        <f t="shared" si="98"/>
        <v>57.258000000000003</v>
      </c>
      <c r="K38" s="37">
        <f t="shared" si="98"/>
        <v>57.850999999999999</v>
      </c>
      <c r="L38" s="37">
        <f t="shared" si="98"/>
        <v>60.074000000000005</v>
      </c>
      <c r="M38" s="37">
        <f t="shared" si="98"/>
        <v>76.428500000000014</v>
      </c>
      <c r="N38" s="37">
        <f t="shared" si="98"/>
        <v>78.03</v>
      </c>
      <c r="O38" s="37">
        <f t="shared" si="98"/>
        <v>86.253</v>
      </c>
      <c r="P38" s="37">
        <f t="shared" si="98"/>
        <v>88.789000000000001</v>
      </c>
      <c r="Q38" s="37">
        <f t="shared" si="98"/>
        <v>94.57</v>
      </c>
      <c r="R38" s="37">
        <f t="shared" si="98"/>
        <v>112.36399999999999</v>
      </c>
      <c r="S38" s="37">
        <f t="shared" si="98"/>
        <v>121.986</v>
      </c>
      <c r="T38" s="37">
        <f t="shared" si="98"/>
        <v>152.28</v>
      </c>
      <c r="U38" s="37">
        <f t="shared" si="98"/>
        <v>113.32366666666667</v>
      </c>
      <c r="V38" s="37">
        <f t="shared" si="98"/>
        <v>165.77833333333334</v>
      </c>
      <c r="W38" s="37">
        <f t="shared" si="98"/>
        <v>262.95600000000002</v>
      </c>
      <c r="X38" s="37">
        <f t="shared" si="98"/>
        <v>227.67209700000004</v>
      </c>
      <c r="Y38" s="37">
        <f t="shared" si="98"/>
        <v>271.00557799999996</v>
      </c>
      <c r="Z38" s="37">
        <f t="shared" si="98"/>
        <v>237.49599999999998</v>
      </c>
      <c r="AA38" s="37">
        <f t="shared" si="98"/>
        <v>213.58</v>
      </c>
      <c r="AB38" s="37">
        <f t="shared" si="98"/>
        <v>113.66400000000002</v>
      </c>
      <c r="AC38" s="37">
        <f t="shared" si="98"/>
        <v>100.794</v>
      </c>
      <c r="AD38" s="263">
        <f t="shared" si="98"/>
        <v>104.43599999999999</v>
      </c>
      <c r="AE38" s="263">
        <f t="shared" si="98"/>
        <v>102.818</v>
      </c>
      <c r="AF38" s="263">
        <f t="shared" si="98"/>
        <v>112.49</v>
      </c>
      <c r="AG38" s="263">
        <f t="shared" si="98"/>
        <v>117.89400000000001</v>
      </c>
      <c r="AH38" s="263">
        <f t="shared" ref="AH38:AI38" si="99">SUM(AH40:AH51)</f>
        <v>119.937079</v>
      </c>
      <c r="AI38" s="263">
        <f t="shared" si="99"/>
        <v>124.643974</v>
      </c>
      <c r="AJ38" s="38">
        <f t="shared" si="98"/>
        <v>0.628</v>
      </c>
      <c r="AK38" s="37">
        <f t="shared" si="98"/>
        <v>0.4</v>
      </c>
      <c r="AL38" s="37">
        <f t="shared" si="98"/>
        <v>0.25</v>
      </c>
      <c r="AM38" s="37">
        <f t="shared" si="98"/>
        <v>0.25800000000000001</v>
      </c>
      <c r="AN38" s="37">
        <f t="shared" si="98"/>
        <v>1.728</v>
      </c>
      <c r="AO38" s="37">
        <f t="shared" si="98"/>
        <v>0.41299999999999998</v>
      </c>
      <c r="AP38" s="37">
        <f t="shared" si="98"/>
        <v>0.77400000000000002</v>
      </c>
      <c r="AQ38" s="37">
        <f t="shared" si="98"/>
        <v>0.86699999999999999</v>
      </c>
      <c r="AR38" s="37">
        <f t="shared" si="98"/>
        <v>0.71599999999999997</v>
      </c>
      <c r="AS38" s="37">
        <f t="shared" si="98"/>
        <v>2.016</v>
      </c>
      <c r="AT38" s="37">
        <f t="shared" si="98"/>
        <v>1.696</v>
      </c>
      <c r="AU38" s="37">
        <f t="shared" si="98"/>
        <v>9.1270000000000007</v>
      </c>
      <c r="AV38" s="37">
        <f t="shared" si="98"/>
        <v>1.635</v>
      </c>
      <c r="AW38" s="37">
        <f t="shared" si="98"/>
        <v>5.5465</v>
      </c>
      <c r="AX38" s="37">
        <f t="shared" si="98"/>
        <v>5.6044</v>
      </c>
      <c r="AY38" s="37">
        <f t="shared" si="98"/>
        <v>5.4584999999999999</v>
      </c>
      <c r="AZ38" s="37">
        <f t="shared" si="98"/>
        <v>5.5018000000000002</v>
      </c>
      <c r="BA38" s="37">
        <f t="shared" si="98"/>
        <v>7.516</v>
      </c>
      <c r="BB38" s="37">
        <f t="shared" si="98"/>
        <v>8.3610000000000007</v>
      </c>
      <c r="BC38" s="37">
        <f t="shared" si="98"/>
        <v>5.6280000000000001</v>
      </c>
      <c r="BD38" s="37">
        <f t="shared" si="98"/>
        <v>1.5034999999999998</v>
      </c>
      <c r="BE38" s="37">
        <f t="shared" si="98"/>
        <v>0.755</v>
      </c>
      <c r="BF38" s="37">
        <f t="shared" si="98"/>
        <v>2.718661</v>
      </c>
      <c r="BG38" s="37">
        <f t="shared" si="98"/>
        <v>2.7439999999999998</v>
      </c>
      <c r="BH38" s="37">
        <f t="shared" si="98"/>
        <v>2.702</v>
      </c>
      <c r="BI38" s="37">
        <f t="shared" si="98"/>
        <v>6.3479999999999999</v>
      </c>
      <c r="BJ38" s="37">
        <f t="shared" si="98"/>
        <v>4.4309999999999992</v>
      </c>
      <c r="BK38" s="37">
        <f t="shared" si="98"/>
        <v>0.84299999999999997</v>
      </c>
      <c r="BL38" s="37">
        <f t="shared" si="98"/>
        <v>3.6509999999999998</v>
      </c>
      <c r="BM38" s="263">
        <f t="shared" si="98"/>
        <v>1.877</v>
      </c>
      <c r="BN38" s="263">
        <f t="shared" si="98"/>
        <v>1.925</v>
      </c>
      <c r="BO38" s="263">
        <f t="shared" si="98"/>
        <v>2.3849999999999998</v>
      </c>
      <c r="BP38" s="37">
        <f t="shared" ref="BP38:BQ38" si="100">SUM(BP40:BP51)</f>
        <v>2.8780000000000001</v>
      </c>
      <c r="BQ38" s="37">
        <f t="shared" si="100"/>
        <v>2.807064</v>
      </c>
      <c r="BR38" s="38">
        <f t="shared" si="98"/>
        <v>153.846</v>
      </c>
      <c r="BS38" s="37">
        <f t="shared" si="98"/>
        <v>109.066</v>
      </c>
      <c r="BT38" s="37">
        <f t="shared" si="98"/>
        <v>2.48</v>
      </c>
      <c r="BU38" s="37">
        <f t="shared" si="98"/>
        <v>0.34256900000000001</v>
      </c>
      <c r="BV38" s="37" t="str">
        <f t="shared" ref="BV38:CC38" si="101">IF(SUM(BV40:BV51)&gt;0,SUM(BV40:BV51),"NA")</f>
        <v>NA</v>
      </c>
      <c r="BW38" s="37" t="str">
        <f t="shared" si="101"/>
        <v>NA</v>
      </c>
      <c r="BX38" s="37" t="str">
        <f t="shared" si="101"/>
        <v>NA</v>
      </c>
      <c r="BY38" s="30" t="s">
        <v>45</v>
      </c>
      <c r="BZ38" s="30" t="s">
        <v>45</v>
      </c>
      <c r="CA38" s="37">
        <f t="shared" si="101"/>
        <v>9.33</v>
      </c>
      <c r="CB38" s="37">
        <f t="shared" si="101"/>
        <v>0.82099999999999995</v>
      </c>
      <c r="CC38" s="37">
        <f t="shared" si="101"/>
        <v>1.395</v>
      </c>
      <c r="CD38" s="37" t="str">
        <f t="shared" ref="CD38:CE38" si="102">IF(SUM(CD40:CD51)&gt;0,SUM(CD40:CD51),"—")</f>
        <v>—</v>
      </c>
      <c r="CE38" s="37" t="str">
        <f t="shared" si="102"/>
        <v>—</v>
      </c>
      <c r="CF38" s="37" t="str">
        <f>IF(SUM(CF40:CF51)&gt;0,SUM(CF40:CF51),"—")</f>
        <v>—</v>
      </c>
      <c r="CG38" s="39">
        <f t="shared" si="98"/>
        <v>22.347999999999999</v>
      </c>
      <c r="CH38" s="40">
        <f t="shared" si="98"/>
        <v>29.134999999999998</v>
      </c>
      <c r="CI38" s="40">
        <f t="shared" si="98"/>
        <v>21.599999999999998</v>
      </c>
      <c r="CJ38" s="40">
        <f t="shared" ref="CJ38:DG38" si="103">SUM(CJ40:CJ51)</f>
        <v>31.653000000000002</v>
      </c>
      <c r="CK38" s="40">
        <f t="shared" si="103"/>
        <v>33.543000000000006</v>
      </c>
      <c r="CL38" s="40">
        <f t="shared" si="103"/>
        <v>35.025000000000006</v>
      </c>
      <c r="CM38" s="40">
        <f t="shared" si="103"/>
        <v>54.234400000000008</v>
      </c>
      <c r="CN38" s="40">
        <f t="shared" si="103"/>
        <v>58.63000000000001</v>
      </c>
      <c r="CO38" s="40">
        <f t="shared" si="103"/>
        <v>57.974000000000004</v>
      </c>
      <c r="CP38" s="40">
        <f t="shared" si="103"/>
        <v>59.867000000000004</v>
      </c>
      <c r="CQ38" s="40">
        <f t="shared" si="103"/>
        <v>61.77</v>
      </c>
      <c r="CR38" s="40">
        <f t="shared" si="103"/>
        <v>85.555500000000009</v>
      </c>
      <c r="CS38" s="40">
        <f t="shared" si="103"/>
        <v>79.665000000000006</v>
      </c>
      <c r="CT38" s="40">
        <f t="shared" si="103"/>
        <v>91.799500000000009</v>
      </c>
      <c r="CU38" s="40">
        <f t="shared" si="103"/>
        <v>94.393400000000014</v>
      </c>
      <c r="CV38" s="40">
        <f t="shared" si="103"/>
        <v>100.02849999999999</v>
      </c>
      <c r="CW38" s="40">
        <f t="shared" si="103"/>
        <v>117.86580000000001</v>
      </c>
      <c r="CX38" s="40">
        <f t="shared" si="103"/>
        <v>129.50199999999998</v>
      </c>
      <c r="CY38" s="40">
        <f t="shared" si="103"/>
        <v>160.64099999999999</v>
      </c>
      <c r="CZ38" s="40">
        <f t="shared" si="103"/>
        <v>272.79766666666666</v>
      </c>
      <c r="DA38" s="40">
        <f t="shared" si="103"/>
        <v>276.34783333333331</v>
      </c>
      <c r="DB38" s="40">
        <f t="shared" si="103"/>
        <v>266.19100000000003</v>
      </c>
      <c r="DC38" s="40">
        <f t="shared" si="103"/>
        <v>230.733327</v>
      </c>
      <c r="DD38" s="40">
        <f t="shared" si="103"/>
        <v>273.74957799999999</v>
      </c>
      <c r="DE38" s="40">
        <f t="shared" si="103"/>
        <v>240.19799999999995</v>
      </c>
      <c r="DF38" s="40">
        <f t="shared" si="103"/>
        <v>219.92799999999997</v>
      </c>
      <c r="DG38" s="40">
        <f t="shared" si="103"/>
        <v>118.09500000000001</v>
      </c>
      <c r="DH38" s="40">
        <f>SUM(DH40:DH51)</f>
        <v>101.637</v>
      </c>
      <c r="DI38" s="40">
        <f>SUM(DI40:DI51)</f>
        <v>117.417</v>
      </c>
      <c r="DJ38" s="40">
        <f t="shared" ref="DJ38:DK38" si="104">SUM(DJ40:DJ51)</f>
        <v>105.51599999999999</v>
      </c>
      <c r="DK38" s="40">
        <f t="shared" si="104"/>
        <v>115.80999999999999</v>
      </c>
      <c r="DL38" s="40">
        <f t="shared" ref="DL38:DM38" si="105">SUM(DL40:DL51)</f>
        <v>120.279</v>
      </c>
      <c r="DM38" s="40">
        <f t="shared" si="105"/>
        <v>122.81507900000001</v>
      </c>
      <c r="DN38" s="40">
        <f t="shared" ref="DN38" si="106">SUM(DN40:DN51)</f>
        <v>127.45103800000001</v>
      </c>
    </row>
    <row r="39" spans="1:149">
      <c r="A39" s="7" t="s">
        <v>35</v>
      </c>
      <c r="AJ39" s="28"/>
      <c r="BR39" s="28"/>
      <c r="CG39" s="29"/>
    </row>
    <row r="40" spans="1:149">
      <c r="A40" s="23" t="s">
        <v>69</v>
      </c>
      <c r="B40" s="30">
        <v>0.54100000000000004</v>
      </c>
      <c r="C40" s="30">
        <v>1.0649999999999999</v>
      </c>
      <c r="D40" s="30">
        <v>3.75</v>
      </c>
      <c r="E40" s="30">
        <v>10.217000000000001</v>
      </c>
      <c r="F40" s="30">
        <v>7.9710000000000001</v>
      </c>
      <c r="G40" s="30">
        <v>8.4749999999999996</v>
      </c>
      <c r="H40" s="30">
        <v>19.385400000000001</v>
      </c>
      <c r="I40" s="30">
        <v>18.285</v>
      </c>
      <c r="J40" s="30">
        <v>20.623999999999999</v>
      </c>
      <c r="K40" s="30">
        <v>16.917999999999999</v>
      </c>
      <c r="L40" s="30">
        <v>16.620999999999999</v>
      </c>
      <c r="M40" s="30">
        <v>25.97</v>
      </c>
      <c r="N40" s="30">
        <v>25.937000000000001</v>
      </c>
      <c r="O40" s="30">
        <v>26.094999999999999</v>
      </c>
      <c r="P40" s="30">
        <v>22.585999999999999</v>
      </c>
      <c r="Q40" s="30">
        <v>22.471</v>
      </c>
      <c r="R40" s="30">
        <v>23.173999999999999</v>
      </c>
      <c r="S40" s="30">
        <v>22.634</v>
      </c>
      <c r="T40" s="30">
        <v>23.145</v>
      </c>
      <c r="U40" s="30">
        <v>27.146000000000001</v>
      </c>
      <c r="V40" s="30">
        <v>7.94</v>
      </c>
      <c r="W40" s="30">
        <v>29.481999999999999</v>
      </c>
      <c r="X40" s="30">
        <v>24.982254999999999</v>
      </c>
      <c r="Y40" s="30">
        <v>25.579000000000001</v>
      </c>
      <c r="Z40" s="30">
        <v>22.116</v>
      </c>
      <c r="AA40" s="30">
        <v>19.765999999999998</v>
      </c>
      <c r="AB40" s="30">
        <v>18.149999999999999</v>
      </c>
      <c r="AC40" s="30">
        <v>3.3119999999999998</v>
      </c>
      <c r="AD40" s="30">
        <v>15.884</v>
      </c>
      <c r="AE40" s="30">
        <v>1.0489999999999999</v>
      </c>
      <c r="AF40" s="30">
        <v>1.0509999999999999</v>
      </c>
      <c r="AG40" s="30">
        <v>1.0189999999999999</v>
      </c>
      <c r="AH40" s="30">
        <v>0.49298500000000001</v>
      </c>
      <c r="AI40" s="30">
        <v>0.93145199999999995</v>
      </c>
      <c r="AJ40" s="31" t="s">
        <v>37</v>
      </c>
      <c r="AK40" s="30" t="s">
        <v>37</v>
      </c>
      <c r="AL40" s="30" t="s">
        <v>37</v>
      </c>
      <c r="AM40" s="30" t="s">
        <v>37</v>
      </c>
      <c r="AN40" s="30" t="s">
        <v>37</v>
      </c>
      <c r="AO40" s="30" t="s">
        <v>37</v>
      </c>
      <c r="AP40" s="30" t="s">
        <v>37</v>
      </c>
      <c r="AQ40" s="30" t="s">
        <v>37</v>
      </c>
      <c r="AR40" s="30" t="s">
        <v>37</v>
      </c>
      <c r="AS40" s="30">
        <v>1.2</v>
      </c>
      <c r="AT40" s="30">
        <v>1.2</v>
      </c>
      <c r="AU40" s="30" t="s">
        <v>45</v>
      </c>
      <c r="AV40" s="30" t="s">
        <v>45</v>
      </c>
      <c r="AW40" s="30" t="s">
        <v>45</v>
      </c>
      <c r="AX40" s="30" t="s">
        <v>45</v>
      </c>
      <c r="AY40" s="30" t="s">
        <v>45</v>
      </c>
      <c r="AZ40" s="30" t="s">
        <v>45</v>
      </c>
      <c r="BA40" s="30">
        <v>2.0739999999999998</v>
      </c>
      <c r="BB40" s="30">
        <v>2.117</v>
      </c>
      <c r="BC40" s="30">
        <v>1.9370000000000001</v>
      </c>
      <c r="BD40" s="24">
        <f>((BE40-BC40)/2)+BC40</f>
        <v>1.1844999999999999</v>
      </c>
      <c r="BE40" s="30">
        <v>0.432</v>
      </c>
      <c r="BF40" s="30">
        <v>2.3681610000000002</v>
      </c>
      <c r="BG40" s="30">
        <v>2.3639999999999999</v>
      </c>
      <c r="BH40" s="30">
        <v>2.3690000000000002</v>
      </c>
      <c r="BI40" s="30">
        <v>6.0289999999999999</v>
      </c>
      <c r="BJ40" s="30">
        <v>4.3079999999999998</v>
      </c>
      <c r="BK40" s="30">
        <v>0.54400000000000004</v>
      </c>
      <c r="BL40" s="30">
        <v>3.637</v>
      </c>
      <c r="BM40" s="30" t="s">
        <v>45</v>
      </c>
      <c r="BN40" s="30" t="s">
        <v>45</v>
      </c>
      <c r="BO40" s="30" t="s">
        <v>45</v>
      </c>
      <c r="BP40" s="30" t="s">
        <v>45</v>
      </c>
      <c r="BQ40" s="30">
        <v>0.05</v>
      </c>
      <c r="BR40" s="31">
        <v>0.89800000000000002</v>
      </c>
      <c r="BS40" s="30">
        <v>24.629000000000001</v>
      </c>
      <c r="BT40" s="30">
        <v>2.48</v>
      </c>
      <c r="BU40" s="30">
        <v>0.34256900000000001</v>
      </c>
      <c r="BV40" s="30" t="s">
        <v>37</v>
      </c>
      <c r="BW40" s="30" t="s">
        <v>37</v>
      </c>
      <c r="BX40" s="30" t="s">
        <v>37</v>
      </c>
      <c r="BY40" s="30" t="s">
        <v>45</v>
      </c>
      <c r="BZ40" s="30" t="s">
        <v>45</v>
      </c>
      <c r="CA40" s="30" t="s">
        <v>45</v>
      </c>
      <c r="CB40" s="30" t="s">
        <v>45</v>
      </c>
      <c r="CC40" s="30" t="s">
        <v>45</v>
      </c>
      <c r="CD40" s="30" t="s">
        <v>45</v>
      </c>
      <c r="CE40" s="30" t="s">
        <v>45</v>
      </c>
      <c r="CF40" s="30" t="s">
        <v>45</v>
      </c>
      <c r="CG40" s="26">
        <f t="shared" ref="CG40:CG51" si="107">SUM(B40,AJ40)</f>
        <v>0.54100000000000004</v>
      </c>
      <c r="CH40" s="27">
        <f t="shared" ref="CH40:CH51" si="108">SUM(C40,AK40)</f>
        <v>1.0649999999999999</v>
      </c>
      <c r="CI40" s="27">
        <f t="shared" ref="CI40:CI51" si="109">SUM(D40,AL40)</f>
        <v>3.75</v>
      </c>
      <c r="CJ40" s="27">
        <f t="shared" ref="CJ40:CJ51" si="110">SUM(E40,AM40)</f>
        <v>10.217000000000001</v>
      </c>
      <c r="CK40" s="27">
        <f t="shared" ref="CK40:CK51" si="111">SUM(F40,AN40)</f>
        <v>7.9710000000000001</v>
      </c>
      <c r="CL40" s="27">
        <f t="shared" ref="CL40:CL51" si="112">SUM(G40,AO40)</f>
        <v>8.4749999999999996</v>
      </c>
      <c r="CM40" s="27">
        <f t="shared" ref="CM40:CM51" si="113">SUM(H40,AP40)</f>
        <v>19.385400000000001</v>
      </c>
      <c r="CN40" s="27">
        <f t="shared" ref="CN40:CN51" si="114">SUM(I40,AQ40)</f>
        <v>18.285</v>
      </c>
      <c r="CO40" s="27">
        <f t="shared" ref="CO40:CO51" si="115">SUM(J40,AR40)</f>
        <v>20.623999999999999</v>
      </c>
      <c r="CP40" s="27">
        <f t="shared" ref="CP40:CP51" si="116">SUM(K40,AS40)</f>
        <v>18.117999999999999</v>
      </c>
      <c r="CQ40" s="27">
        <f t="shared" ref="CQ40:CQ51" si="117">SUM(L40,AT40)</f>
        <v>17.820999999999998</v>
      </c>
      <c r="CR40" s="27">
        <f t="shared" ref="CR40:CR51" si="118">SUM(M40,AU40)</f>
        <v>25.97</v>
      </c>
      <c r="CS40" s="27">
        <f t="shared" ref="CS40:CS51" si="119">SUM(N40,AV40)</f>
        <v>25.937000000000001</v>
      </c>
      <c r="CT40" s="27">
        <f t="shared" ref="CT40:CT51" si="120">SUM(O40,AW40)</f>
        <v>26.094999999999999</v>
      </c>
      <c r="CU40" s="27">
        <f t="shared" ref="CU40:CU51" si="121">SUM(P40,AX40)</f>
        <v>22.585999999999999</v>
      </c>
      <c r="CV40" s="27">
        <f t="shared" ref="CV40:CV51" si="122">SUM(Q40,AY40)</f>
        <v>22.471</v>
      </c>
      <c r="CW40" s="27">
        <f t="shared" ref="CW40:CW51" si="123">SUM(R40,AZ40)</f>
        <v>23.173999999999999</v>
      </c>
      <c r="CX40" s="27">
        <f t="shared" ref="CX40:CX51" si="124">SUM(S40,BA40)</f>
        <v>24.707999999999998</v>
      </c>
      <c r="CY40" s="27">
        <f t="shared" ref="CY40:CY51" si="125">SUM(T40,BB40)</f>
        <v>25.262</v>
      </c>
      <c r="CZ40" s="27">
        <f t="shared" ref="CZ40:CZ51" si="126">SUM(U40,BC40,BR40)</f>
        <v>29.981000000000002</v>
      </c>
      <c r="DA40" s="27">
        <f t="shared" ref="DA40:DA51" si="127">SUM(V40,BD40,BS40)</f>
        <v>33.753500000000003</v>
      </c>
      <c r="DB40" s="27">
        <f t="shared" ref="DB40:DB51" si="128">SUM(W40,BE40,BT40)</f>
        <v>32.393999999999998</v>
      </c>
      <c r="DC40" s="27">
        <f t="shared" ref="DC40:DC51" si="129">SUM(X40,BF40,BU40)</f>
        <v>27.692985</v>
      </c>
      <c r="DD40" s="27">
        <f t="shared" ref="DD40:DD51" si="130">SUM(Y40,BG40,BV40)</f>
        <v>27.943000000000001</v>
      </c>
      <c r="DE40" s="27">
        <f t="shared" ref="DE40:DE51" si="131">SUM(Z40,BH40,BW40)</f>
        <v>24.484999999999999</v>
      </c>
      <c r="DF40" s="27">
        <f t="shared" ref="DF40:DF51" si="132">SUM(AA40,BI40,BX40)</f>
        <v>25.794999999999998</v>
      </c>
      <c r="DG40" s="27">
        <f t="shared" ref="DG40:DG51" si="133">SUM(AB40,BJ40,BY40)</f>
        <v>22.457999999999998</v>
      </c>
      <c r="DH40" s="27">
        <f t="shared" ref="DH40:DN40" si="134">SUM(AC40,BK40,BZ40)</f>
        <v>3.8559999999999999</v>
      </c>
      <c r="DI40" s="27">
        <f t="shared" si="134"/>
        <v>19.521000000000001</v>
      </c>
      <c r="DJ40" s="27">
        <f t="shared" si="134"/>
        <v>1.0489999999999999</v>
      </c>
      <c r="DK40" s="27">
        <f t="shared" si="134"/>
        <v>1.0509999999999999</v>
      </c>
      <c r="DL40" s="27">
        <f t="shared" si="134"/>
        <v>1.0189999999999999</v>
      </c>
      <c r="DM40" s="27">
        <f t="shared" si="134"/>
        <v>0.49298500000000001</v>
      </c>
      <c r="DN40" s="27">
        <f t="shared" si="134"/>
        <v>0.98145199999999999</v>
      </c>
      <c r="EO40" s="22"/>
      <c r="EP40" s="22"/>
      <c r="EQ40" s="22"/>
      <c r="ER40" s="22"/>
      <c r="ES40" s="22"/>
    </row>
    <row r="41" spans="1:149">
      <c r="A41" s="23" t="s">
        <v>70</v>
      </c>
      <c r="B41" s="30">
        <v>0.437</v>
      </c>
      <c r="C41" s="30">
        <v>0.437</v>
      </c>
      <c r="D41" s="30">
        <v>0.40400000000000003</v>
      </c>
      <c r="E41" s="30">
        <v>0.41</v>
      </c>
      <c r="F41" s="30">
        <v>0.40799999999999997</v>
      </c>
      <c r="G41" s="30">
        <v>0.40799999999999997</v>
      </c>
      <c r="H41" s="30">
        <v>0.92</v>
      </c>
      <c r="I41" s="30">
        <v>0.96599999999999997</v>
      </c>
      <c r="J41" s="30">
        <v>0.90900000000000003</v>
      </c>
      <c r="K41" s="30">
        <v>0.377</v>
      </c>
      <c r="L41" s="30">
        <v>0.377</v>
      </c>
      <c r="M41" s="30">
        <v>0.42</v>
      </c>
      <c r="N41" s="30">
        <v>1.2589999999999999</v>
      </c>
      <c r="O41" s="30">
        <v>1.3149999999999999</v>
      </c>
      <c r="P41" s="30">
        <v>1.4039999999999999</v>
      </c>
      <c r="Q41" s="30">
        <v>1.3340000000000001</v>
      </c>
      <c r="R41" s="30">
        <v>1.4319999999999999</v>
      </c>
      <c r="S41" s="30">
        <v>1.4710000000000001</v>
      </c>
      <c r="T41" s="30">
        <v>11.682</v>
      </c>
      <c r="U41" s="30">
        <v>0.84099999999999997</v>
      </c>
      <c r="V41" s="30">
        <v>10.558</v>
      </c>
      <c r="W41" s="30">
        <v>11.375</v>
      </c>
      <c r="X41" s="30">
        <v>5.9146460000000003</v>
      </c>
      <c r="Y41" s="30">
        <v>8.8640000000000008</v>
      </c>
      <c r="Z41" s="30">
        <v>10.048999999999999</v>
      </c>
      <c r="AA41" s="30">
        <v>10.913</v>
      </c>
      <c r="AB41" s="30">
        <v>11.726000000000001</v>
      </c>
      <c r="AC41" s="30">
        <v>12.481999999999999</v>
      </c>
      <c r="AD41" s="30">
        <v>6.8000000000000005E-2</v>
      </c>
      <c r="AE41" s="30">
        <v>6.9130000000000003</v>
      </c>
      <c r="AF41" s="30">
        <v>6.1440000000000001</v>
      </c>
      <c r="AG41" s="30">
        <v>6.2670000000000003</v>
      </c>
      <c r="AH41" s="30">
        <v>6.1876179999999996</v>
      </c>
      <c r="AI41" s="30">
        <v>5.9034319999999996</v>
      </c>
      <c r="AJ41" s="31">
        <v>0.2</v>
      </c>
      <c r="AK41" s="30">
        <v>0.2</v>
      </c>
      <c r="AL41" s="30">
        <v>0.25</v>
      </c>
      <c r="AM41" s="30">
        <v>0.15</v>
      </c>
      <c r="AN41" s="30" t="s">
        <v>45</v>
      </c>
      <c r="AO41" s="30" t="s">
        <v>45</v>
      </c>
      <c r="AP41" s="30" t="s">
        <v>45</v>
      </c>
      <c r="AQ41" s="30" t="s">
        <v>45</v>
      </c>
      <c r="AR41" s="30" t="s">
        <v>45</v>
      </c>
      <c r="AS41" s="30" t="s">
        <v>45</v>
      </c>
      <c r="AT41" s="30" t="s">
        <v>45</v>
      </c>
      <c r="AU41" s="30" t="s">
        <v>45</v>
      </c>
      <c r="AV41" s="30" t="s">
        <v>45</v>
      </c>
      <c r="AW41" s="30" t="s">
        <v>45</v>
      </c>
      <c r="AX41" s="30" t="s">
        <v>45</v>
      </c>
      <c r="AY41" s="30" t="s">
        <v>45</v>
      </c>
      <c r="AZ41" s="30" t="s">
        <v>45</v>
      </c>
      <c r="BA41" s="30" t="s">
        <v>45</v>
      </c>
      <c r="BB41" s="30">
        <v>0.71099999999999997</v>
      </c>
      <c r="BC41" s="30" t="s">
        <v>37</v>
      </c>
      <c r="BD41" s="30" t="s">
        <v>37</v>
      </c>
      <c r="BE41" s="30" t="s">
        <v>37</v>
      </c>
      <c r="BF41" s="30" t="s">
        <v>37</v>
      </c>
      <c r="BG41" s="30" t="s">
        <v>37</v>
      </c>
      <c r="BH41" s="30" t="s">
        <v>37</v>
      </c>
      <c r="BI41" s="30" t="s">
        <v>37</v>
      </c>
      <c r="BJ41" s="30" t="s">
        <v>45</v>
      </c>
      <c r="BK41" s="30" t="s">
        <v>45</v>
      </c>
      <c r="BL41" s="30" t="s">
        <v>45</v>
      </c>
      <c r="BM41" s="30" t="s">
        <v>45</v>
      </c>
      <c r="BN41" s="30" t="s">
        <v>45</v>
      </c>
      <c r="BO41" s="30" t="s">
        <v>45</v>
      </c>
      <c r="BP41" s="30" t="s">
        <v>45</v>
      </c>
      <c r="BQ41" s="30" t="s">
        <v>45</v>
      </c>
      <c r="BR41" s="31">
        <v>10.489000000000001</v>
      </c>
      <c r="BS41" s="30">
        <v>84.436999999999998</v>
      </c>
      <c r="BT41" s="30" t="s">
        <v>37</v>
      </c>
      <c r="BU41" s="30" t="s">
        <v>37</v>
      </c>
      <c r="BV41" s="30" t="s">
        <v>37</v>
      </c>
      <c r="BW41" s="30" t="s">
        <v>37</v>
      </c>
      <c r="BX41" s="30" t="s">
        <v>37</v>
      </c>
      <c r="BY41" s="30" t="s">
        <v>45</v>
      </c>
      <c r="BZ41" s="30" t="s">
        <v>45</v>
      </c>
      <c r="CA41" s="30">
        <v>8.5169999999999995</v>
      </c>
      <c r="CB41" s="30" t="s">
        <v>45</v>
      </c>
      <c r="CC41" s="30" t="s">
        <v>45</v>
      </c>
      <c r="CD41" s="30" t="s">
        <v>45</v>
      </c>
      <c r="CE41" s="30" t="s">
        <v>45</v>
      </c>
      <c r="CF41" s="30" t="s">
        <v>45</v>
      </c>
      <c r="CG41" s="26">
        <f t="shared" si="107"/>
        <v>0.63700000000000001</v>
      </c>
      <c r="CH41" s="27">
        <f t="shared" si="108"/>
        <v>0.63700000000000001</v>
      </c>
      <c r="CI41" s="27">
        <f t="shared" si="109"/>
        <v>0.65400000000000003</v>
      </c>
      <c r="CJ41" s="27">
        <f t="shared" si="110"/>
        <v>0.55999999999999994</v>
      </c>
      <c r="CK41" s="27">
        <f t="shared" si="111"/>
        <v>0.40799999999999997</v>
      </c>
      <c r="CL41" s="27">
        <f t="shared" si="112"/>
        <v>0.40799999999999997</v>
      </c>
      <c r="CM41" s="27">
        <f t="shared" si="113"/>
        <v>0.92</v>
      </c>
      <c r="CN41" s="27">
        <f t="shared" si="114"/>
        <v>0.96599999999999997</v>
      </c>
      <c r="CO41" s="27">
        <f t="shared" si="115"/>
        <v>0.90900000000000003</v>
      </c>
      <c r="CP41" s="27">
        <f t="shared" si="116"/>
        <v>0.377</v>
      </c>
      <c r="CQ41" s="27">
        <f t="shared" si="117"/>
        <v>0.377</v>
      </c>
      <c r="CR41" s="27">
        <f t="shared" si="118"/>
        <v>0.42</v>
      </c>
      <c r="CS41" s="27">
        <f t="shared" si="119"/>
        <v>1.2589999999999999</v>
      </c>
      <c r="CT41" s="27">
        <f t="shared" si="120"/>
        <v>1.3149999999999999</v>
      </c>
      <c r="CU41" s="27">
        <f t="shared" si="121"/>
        <v>1.4039999999999999</v>
      </c>
      <c r="CV41" s="27">
        <f t="shared" si="122"/>
        <v>1.3340000000000001</v>
      </c>
      <c r="CW41" s="27">
        <f t="shared" si="123"/>
        <v>1.4319999999999999</v>
      </c>
      <c r="CX41" s="27">
        <f t="shared" si="124"/>
        <v>1.4710000000000001</v>
      </c>
      <c r="CY41" s="27">
        <f t="shared" si="125"/>
        <v>12.393000000000001</v>
      </c>
      <c r="CZ41" s="27">
        <f t="shared" si="126"/>
        <v>11.33</v>
      </c>
      <c r="DA41" s="27">
        <f t="shared" si="127"/>
        <v>94.995000000000005</v>
      </c>
      <c r="DB41" s="27">
        <f t="shared" si="128"/>
        <v>11.375</v>
      </c>
      <c r="DC41" s="27">
        <f t="shared" si="129"/>
        <v>5.9146460000000003</v>
      </c>
      <c r="DD41" s="27">
        <f t="shared" si="130"/>
        <v>8.8640000000000008</v>
      </c>
      <c r="DE41" s="27">
        <f t="shared" si="131"/>
        <v>10.048999999999999</v>
      </c>
      <c r="DF41" s="27">
        <f t="shared" si="132"/>
        <v>10.913</v>
      </c>
      <c r="DG41" s="27">
        <f t="shared" si="133"/>
        <v>11.726000000000001</v>
      </c>
      <c r="DH41" s="27">
        <f t="shared" ref="DH41:DH51" si="135">SUM(AC41,BK41,BZ41)</f>
        <v>12.481999999999999</v>
      </c>
      <c r="DI41" s="27">
        <f t="shared" ref="DI41:DI51" si="136">SUM(AD41,BL41,CA41)</f>
        <v>8.5849999999999991</v>
      </c>
      <c r="DJ41" s="27">
        <f t="shared" ref="DJ41:DJ51" si="137">SUM(AE41,BM41,CB41)</f>
        <v>6.9130000000000003</v>
      </c>
      <c r="DK41" s="27">
        <f t="shared" ref="DK41:DK51" si="138">SUM(AF41,BN41,CC41)</f>
        <v>6.1440000000000001</v>
      </c>
      <c r="DL41" s="27">
        <f t="shared" ref="DL41:DL51" si="139">SUM(AG41,BO41,CD41)</f>
        <v>6.2670000000000003</v>
      </c>
      <c r="DM41" s="27">
        <f t="shared" ref="DM41:DM51" si="140">SUM(AH41,BP41,CE41)</f>
        <v>6.1876179999999996</v>
      </c>
      <c r="DN41" s="27">
        <f t="shared" ref="DN41:DN51" si="141">SUM(AI41,BQ41,CF41)</f>
        <v>5.9034319999999996</v>
      </c>
      <c r="EO41" s="22"/>
      <c r="EP41" s="22"/>
      <c r="EQ41" s="22"/>
      <c r="ER41" s="22"/>
      <c r="ES41" s="22"/>
    </row>
    <row r="42" spans="1:149">
      <c r="A42" s="23" t="s">
        <v>71</v>
      </c>
      <c r="B42" s="30" t="s">
        <v>37</v>
      </c>
      <c r="C42" s="30">
        <v>1.524</v>
      </c>
      <c r="D42" s="30">
        <v>0.98299999999999998</v>
      </c>
      <c r="E42" s="30">
        <v>0.9</v>
      </c>
      <c r="F42" s="30">
        <v>0.79900000000000004</v>
      </c>
      <c r="G42" s="30">
        <v>0.45</v>
      </c>
      <c r="H42" s="30">
        <v>0.8</v>
      </c>
      <c r="I42" s="30">
        <v>0.47799999999999998</v>
      </c>
      <c r="J42" s="30">
        <v>0.35399999999999998</v>
      </c>
      <c r="K42" s="30">
        <v>0.42699999999999999</v>
      </c>
      <c r="L42" s="30">
        <v>0.47499999999999998</v>
      </c>
      <c r="M42" s="30">
        <v>0.46899999999999997</v>
      </c>
      <c r="N42" s="30">
        <v>0.47799999999999998</v>
      </c>
      <c r="O42" s="30">
        <v>0.47299999999999998</v>
      </c>
      <c r="P42" s="30">
        <v>0.48799999999999999</v>
      </c>
      <c r="Q42" s="30">
        <v>0.47699999999999998</v>
      </c>
      <c r="R42" s="30">
        <v>0.47199999999999998</v>
      </c>
      <c r="S42" s="30">
        <v>0.46800000000000003</v>
      </c>
      <c r="T42" s="30">
        <v>0.47699999999999998</v>
      </c>
      <c r="U42" s="30">
        <v>0.44500000000000001</v>
      </c>
      <c r="V42" s="30">
        <v>0.44700000000000001</v>
      </c>
      <c r="W42" s="30">
        <v>0.40500000000000003</v>
      </c>
      <c r="X42" s="30">
        <v>0.36815599999999998</v>
      </c>
      <c r="Y42" s="24">
        <f>((Z42-X42)/2)+X42</f>
        <v>0.412578</v>
      </c>
      <c r="Z42" s="30">
        <v>0.45700000000000002</v>
      </c>
      <c r="AA42" s="30">
        <v>4.6989999999999998</v>
      </c>
      <c r="AB42" s="30">
        <v>4.4050000000000002</v>
      </c>
      <c r="AC42" s="30">
        <v>3.4849999999999999</v>
      </c>
      <c r="AD42" s="30">
        <v>5.1950000000000003</v>
      </c>
      <c r="AE42" s="30">
        <v>5.1890000000000001</v>
      </c>
      <c r="AF42" s="30">
        <v>4.8019999999999996</v>
      </c>
      <c r="AG42" s="30">
        <v>4.8220000000000001</v>
      </c>
      <c r="AH42" s="30">
        <v>4.8197229999999998</v>
      </c>
      <c r="AI42" s="30">
        <v>5.2158889999999998</v>
      </c>
      <c r="AJ42" s="31" t="s">
        <v>37</v>
      </c>
      <c r="AK42" s="30" t="s">
        <v>37</v>
      </c>
      <c r="AL42" s="30" t="s">
        <v>37</v>
      </c>
      <c r="AM42" s="30" t="s">
        <v>37</v>
      </c>
      <c r="AN42" s="30">
        <v>1.5249999999999999</v>
      </c>
      <c r="AO42" s="30" t="s">
        <v>45</v>
      </c>
      <c r="AP42" s="30">
        <v>0.39600000000000002</v>
      </c>
      <c r="AQ42" s="30">
        <v>0.42599999999999999</v>
      </c>
      <c r="AR42" s="30">
        <v>0.27500000000000002</v>
      </c>
      <c r="AS42" s="30">
        <v>0.36499999999999999</v>
      </c>
      <c r="AT42" s="30">
        <v>7.1999999999999995E-2</v>
      </c>
      <c r="AU42" s="30">
        <v>7.1999999999999995E-2</v>
      </c>
      <c r="AV42" s="30">
        <v>7.1999999999999995E-2</v>
      </c>
      <c r="AW42" s="30" t="s">
        <v>37</v>
      </c>
      <c r="AX42" s="30" t="s">
        <v>37</v>
      </c>
      <c r="AY42" s="30" t="s">
        <v>37</v>
      </c>
      <c r="AZ42" s="30" t="s">
        <v>37</v>
      </c>
      <c r="BA42" s="30" t="s">
        <v>37</v>
      </c>
      <c r="BB42" s="30" t="s">
        <v>37</v>
      </c>
      <c r="BC42" s="30" t="s">
        <v>37</v>
      </c>
      <c r="BD42" s="30" t="s">
        <v>37</v>
      </c>
      <c r="BE42" s="30" t="s">
        <v>37</v>
      </c>
      <c r="BF42" s="30" t="s">
        <v>37</v>
      </c>
      <c r="BG42" s="30" t="s">
        <v>37</v>
      </c>
      <c r="BH42" s="30" t="s">
        <v>37</v>
      </c>
      <c r="BI42" s="30" t="s">
        <v>37</v>
      </c>
      <c r="BJ42" s="30" t="s">
        <v>45</v>
      </c>
      <c r="BK42" s="30" t="s">
        <v>45</v>
      </c>
      <c r="BL42" s="30" t="s">
        <v>45</v>
      </c>
      <c r="BM42" s="30" t="s">
        <v>45</v>
      </c>
      <c r="BN42" s="30" t="s">
        <v>45</v>
      </c>
      <c r="BO42" s="30" t="s">
        <v>45</v>
      </c>
      <c r="BP42" s="30" t="s">
        <v>45</v>
      </c>
      <c r="BQ42" s="30" t="s">
        <v>45</v>
      </c>
      <c r="BR42" s="31">
        <v>2.2679999999999998</v>
      </c>
      <c r="BS42" s="30" t="s">
        <v>37</v>
      </c>
      <c r="BT42" s="30" t="s">
        <v>37</v>
      </c>
      <c r="BU42" s="30" t="s">
        <v>37</v>
      </c>
      <c r="BV42" s="30" t="s">
        <v>37</v>
      </c>
      <c r="BW42" s="30" t="s">
        <v>37</v>
      </c>
      <c r="BX42" s="30" t="s">
        <v>37</v>
      </c>
      <c r="BY42" s="30" t="s">
        <v>45</v>
      </c>
      <c r="BZ42" s="30" t="s">
        <v>45</v>
      </c>
      <c r="CA42" s="30" t="s">
        <v>45</v>
      </c>
      <c r="CB42" s="30" t="s">
        <v>45</v>
      </c>
      <c r="CC42" s="30" t="s">
        <v>45</v>
      </c>
      <c r="CD42" s="30" t="s">
        <v>45</v>
      </c>
      <c r="CE42" s="30" t="s">
        <v>45</v>
      </c>
      <c r="CF42" s="30" t="s">
        <v>45</v>
      </c>
      <c r="CG42" s="26">
        <f t="shared" si="107"/>
        <v>0</v>
      </c>
      <c r="CH42" s="27">
        <f t="shared" si="108"/>
        <v>1.524</v>
      </c>
      <c r="CI42" s="27">
        <f t="shared" si="109"/>
        <v>0.98299999999999998</v>
      </c>
      <c r="CJ42" s="27">
        <f t="shared" si="110"/>
        <v>0.9</v>
      </c>
      <c r="CK42" s="27">
        <f t="shared" si="111"/>
        <v>2.3239999999999998</v>
      </c>
      <c r="CL42" s="27">
        <f t="shared" si="112"/>
        <v>0.45</v>
      </c>
      <c r="CM42" s="27">
        <f t="shared" si="113"/>
        <v>1.1960000000000002</v>
      </c>
      <c r="CN42" s="27">
        <f t="shared" si="114"/>
        <v>0.90399999999999991</v>
      </c>
      <c r="CO42" s="27">
        <f t="shared" si="115"/>
        <v>0.629</v>
      </c>
      <c r="CP42" s="27">
        <f t="shared" si="116"/>
        <v>0.79200000000000004</v>
      </c>
      <c r="CQ42" s="27">
        <f t="shared" si="117"/>
        <v>0.54699999999999993</v>
      </c>
      <c r="CR42" s="27">
        <f t="shared" si="118"/>
        <v>0.54099999999999993</v>
      </c>
      <c r="CS42" s="27">
        <f t="shared" si="119"/>
        <v>0.54999999999999993</v>
      </c>
      <c r="CT42" s="27">
        <f t="shared" si="120"/>
        <v>0.47299999999999998</v>
      </c>
      <c r="CU42" s="27">
        <f t="shared" si="121"/>
        <v>0.48799999999999999</v>
      </c>
      <c r="CV42" s="27">
        <f t="shared" si="122"/>
        <v>0.47699999999999998</v>
      </c>
      <c r="CW42" s="27">
        <f t="shared" si="123"/>
        <v>0.47199999999999998</v>
      </c>
      <c r="CX42" s="27">
        <f t="shared" si="124"/>
        <v>0.46800000000000003</v>
      </c>
      <c r="CY42" s="27">
        <f t="shared" si="125"/>
        <v>0.47699999999999998</v>
      </c>
      <c r="CZ42" s="27">
        <f t="shared" si="126"/>
        <v>2.7129999999999996</v>
      </c>
      <c r="DA42" s="27">
        <f t="shared" si="127"/>
        <v>0.44700000000000001</v>
      </c>
      <c r="DB42" s="27">
        <f t="shared" si="128"/>
        <v>0.40500000000000003</v>
      </c>
      <c r="DC42" s="27">
        <f t="shared" si="129"/>
        <v>0.36815599999999998</v>
      </c>
      <c r="DD42" s="27">
        <f t="shared" si="130"/>
        <v>0.412578</v>
      </c>
      <c r="DE42" s="27">
        <f t="shared" si="131"/>
        <v>0.45700000000000002</v>
      </c>
      <c r="DF42" s="27">
        <f t="shared" si="132"/>
        <v>4.6989999999999998</v>
      </c>
      <c r="DG42" s="27">
        <f t="shared" si="133"/>
        <v>4.4050000000000002</v>
      </c>
      <c r="DH42" s="27">
        <f t="shared" si="135"/>
        <v>3.4849999999999999</v>
      </c>
      <c r="DI42" s="27">
        <f t="shared" si="136"/>
        <v>5.1950000000000003</v>
      </c>
      <c r="DJ42" s="27">
        <f t="shared" si="137"/>
        <v>5.1890000000000001</v>
      </c>
      <c r="DK42" s="27">
        <f t="shared" si="138"/>
        <v>4.8019999999999996</v>
      </c>
      <c r="DL42" s="27">
        <f t="shared" si="139"/>
        <v>4.8220000000000001</v>
      </c>
      <c r="DM42" s="27">
        <f t="shared" si="140"/>
        <v>4.8197229999999998</v>
      </c>
      <c r="DN42" s="27">
        <f t="shared" si="141"/>
        <v>5.2158889999999998</v>
      </c>
      <c r="EO42" s="22"/>
      <c r="EP42" s="22"/>
      <c r="EQ42" s="22"/>
      <c r="ER42" s="22"/>
      <c r="ES42" s="22"/>
    </row>
    <row r="43" spans="1:149">
      <c r="A43" s="23" t="s">
        <v>72</v>
      </c>
      <c r="B43" s="30" t="s">
        <v>37</v>
      </c>
      <c r="C43" s="30" t="s">
        <v>37</v>
      </c>
      <c r="D43" s="30" t="s">
        <v>37</v>
      </c>
      <c r="E43" s="30" t="s">
        <v>37</v>
      </c>
      <c r="F43" s="30">
        <v>2.5000000000000001E-2</v>
      </c>
      <c r="G43" s="30">
        <v>2.5000000000000001E-2</v>
      </c>
      <c r="H43" s="30">
        <v>3.5000000000000003E-2</v>
      </c>
      <c r="I43" s="30">
        <v>3.1E-2</v>
      </c>
      <c r="J43" s="30">
        <v>3.2000000000000001E-2</v>
      </c>
      <c r="K43" s="30">
        <v>0.06</v>
      </c>
      <c r="L43" s="30">
        <v>6.5000000000000002E-2</v>
      </c>
      <c r="M43" s="30">
        <v>2.1179999999999999</v>
      </c>
      <c r="N43" s="30">
        <v>6.2E-2</v>
      </c>
      <c r="O43" s="30">
        <v>6.4000000000000001E-2</v>
      </c>
      <c r="P43" s="30">
        <v>6.8000000000000005E-2</v>
      </c>
      <c r="Q43" s="30">
        <v>0.105</v>
      </c>
      <c r="R43" s="30">
        <v>0.13200000000000001</v>
      </c>
      <c r="S43" s="30">
        <v>0.127</v>
      </c>
      <c r="T43" s="30">
        <v>0.125</v>
      </c>
      <c r="U43" s="24">
        <f>(($W$43-$T$43)/3)+T43</f>
        <v>0.38466666666666666</v>
      </c>
      <c r="V43" s="24">
        <f>(($W$43-$T$43)/3)+U43</f>
        <v>0.64433333333333331</v>
      </c>
      <c r="W43" s="30">
        <v>0.90400000000000003</v>
      </c>
      <c r="X43" s="30">
        <v>0.121</v>
      </c>
      <c r="Y43" s="30">
        <v>0.11899999999999999</v>
      </c>
      <c r="Z43" s="30">
        <v>0.126</v>
      </c>
      <c r="AA43" s="30">
        <v>0.16</v>
      </c>
      <c r="AB43" s="30">
        <v>0.12</v>
      </c>
      <c r="AC43" s="30">
        <v>0.155</v>
      </c>
      <c r="AD43" s="30">
        <v>0.11899999999999999</v>
      </c>
      <c r="AE43" s="30">
        <v>8.1000000000000003E-2</v>
      </c>
      <c r="AF43" s="30" t="s">
        <v>45</v>
      </c>
      <c r="AG43" s="30" t="s">
        <v>45</v>
      </c>
      <c r="AH43" s="30" t="s">
        <v>45</v>
      </c>
      <c r="AI43" s="30" t="s">
        <v>45</v>
      </c>
      <c r="AJ43" s="31">
        <v>0.42799999999999999</v>
      </c>
      <c r="AK43" s="30" t="s">
        <v>45</v>
      </c>
      <c r="AL43" s="30" t="s">
        <v>45</v>
      </c>
      <c r="AM43" s="30" t="s">
        <v>45</v>
      </c>
      <c r="AN43" s="30" t="s">
        <v>45</v>
      </c>
      <c r="AO43" s="30" t="s">
        <v>45</v>
      </c>
      <c r="AP43" s="30" t="s">
        <v>45</v>
      </c>
      <c r="AQ43" s="30" t="s">
        <v>45</v>
      </c>
      <c r="AR43" s="30" t="s">
        <v>45</v>
      </c>
      <c r="AS43" s="30" t="s">
        <v>45</v>
      </c>
      <c r="AT43" s="30" t="s">
        <v>45</v>
      </c>
      <c r="AU43" s="30">
        <v>0.23599999999999999</v>
      </c>
      <c r="AV43" s="30" t="s">
        <v>37</v>
      </c>
      <c r="AW43" s="30" t="s">
        <v>37</v>
      </c>
      <c r="AX43" s="30" t="s">
        <v>37</v>
      </c>
      <c r="AY43" s="30" t="s">
        <v>37</v>
      </c>
      <c r="AZ43" s="30" t="s">
        <v>37</v>
      </c>
      <c r="BA43" s="30" t="s">
        <v>37</v>
      </c>
      <c r="BB43" s="30" t="s">
        <v>37</v>
      </c>
      <c r="BC43" s="30" t="s">
        <v>37</v>
      </c>
      <c r="BD43" s="30" t="s">
        <v>37</v>
      </c>
      <c r="BE43" s="30" t="s">
        <v>37</v>
      </c>
      <c r="BF43" s="30" t="s">
        <v>37</v>
      </c>
      <c r="BG43" s="30" t="s">
        <v>37</v>
      </c>
      <c r="BH43" s="30" t="s">
        <v>37</v>
      </c>
      <c r="BI43" s="30" t="s">
        <v>37</v>
      </c>
      <c r="BJ43" s="30" t="s">
        <v>45</v>
      </c>
      <c r="BK43" s="30" t="s">
        <v>45</v>
      </c>
      <c r="BL43" s="30" t="s">
        <v>45</v>
      </c>
      <c r="BM43" s="30" t="s">
        <v>45</v>
      </c>
      <c r="BN43" s="30" t="s">
        <v>45</v>
      </c>
      <c r="BO43" s="30" t="s">
        <v>45</v>
      </c>
      <c r="BP43" s="30" t="s">
        <v>45</v>
      </c>
      <c r="BQ43" s="30" t="s">
        <v>45</v>
      </c>
      <c r="BR43" s="31">
        <v>0.114</v>
      </c>
      <c r="BS43" s="30" t="s">
        <v>37</v>
      </c>
      <c r="BT43" s="30" t="s">
        <v>37</v>
      </c>
      <c r="BU43" s="30" t="s">
        <v>37</v>
      </c>
      <c r="BV43" s="30" t="s">
        <v>37</v>
      </c>
      <c r="BW43" s="30" t="s">
        <v>37</v>
      </c>
      <c r="BX43" s="30" t="s">
        <v>37</v>
      </c>
      <c r="BY43" s="30" t="s">
        <v>45</v>
      </c>
      <c r="BZ43" s="30" t="s">
        <v>45</v>
      </c>
      <c r="CA43" s="30" t="s">
        <v>45</v>
      </c>
      <c r="CB43" s="30" t="s">
        <v>45</v>
      </c>
      <c r="CC43" s="30" t="s">
        <v>45</v>
      </c>
      <c r="CD43" s="30" t="s">
        <v>45</v>
      </c>
      <c r="CE43" s="30" t="s">
        <v>45</v>
      </c>
      <c r="CF43" s="30" t="s">
        <v>45</v>
      </c>
      <c r="CG43" s="26">
        <f t="shared" si="107"/>
        <v>0.42799999999999999</v>
      </c>
      <c r="CH43" s="27">
        <f t="shared" si="108"/>
        <v>0</v>
      </c>
      <c r="CI43" s="27">
        <f t="shared" si="109"/>
        <v>0</v>
      </c>
      <c r="CJ43" s="27">
        <f t="shared" si="110"/>
        <v>0</v>
      </c>
      <c r="CK43" s="27">
        <f t="shared" si="111"/>
        <v>2.5000000000000001E-2</v>
      </c>
      <c r="CL43" s="27">
        <f t="shared" si="112"/>
        <v>2.5000000000000001E-2</v>
      </c>
      <c r="CM43" s="27">
        <f t="shared" si="113"/>
        <v>3.5000000000000003E-2</v>
      </c>
      <c r="CN43" s="27">
        <f t="shared" si="114"/>
        <v>3.1E-2</v>
      </c>
      <c r="CO43" s="27">
        <f t="shared" si="115"/>
        <v>3.2000000000000001E-2</v>
      </c>
      <c r="CP43" s="27">
        <f t="shared" si="116"/>
        <v>0.06</v>
      </c>
      <c r="CQ43" s="27">
        <f t="shared" si="117"/>
        <v>6.5000000000000002E-2</v>
      </c>
      <c r="CR43" s="27">
        <f t="shared" si="118"/>
        <v>2.3540000000000001</v>
      </c>
      <c r="CS43" s="27">
        <f t="shared" si="119"/>
        <v>6.2E-2</v>
      </c>
      <c r="CT43" s="27">
        <f t="shared" si="120"/>
        <v>6.4000000000000001E-2</v>
      </c>
      <c r="CU43" s="27">
        <f t="shared" si="121"/>
        <v>6.8000000000000005E-2</v>
      </c>
      <c r="CV43" s="27">
        <f t="shared" si="122"/>
        <v>0.105</v>
      </c>
      <c r="CW43" s="27">
        <f t="shared" si="123"/>
        <v>0.13200000000000001</v>
      </c>
      <c r="CX43" s="27">
        <f t="shared" si="124"/>
        <v>0.127</v>
      </c>
      <c r="CY43" s="27">
        <f t="shared" si="125"/>
        <v>0.125</v>
      </c>
      <c r="CZ43" s="27">
        <f t="shared" si="126"/>
        <v>0.49866666666666665</v>
      </c>
      <c r="DA43" s="27">
        <f t="shared" si="127"/>
        <v>0.64433333333333331</v>
      </c>
      <c r="DB43" s="27">
        <f t="shared" si="128"/>
        <v>0.90400000000000003</v>
      </c>
      <c r="DC43" s="27">
        <f t="shared" si="129"/>
        <v>0.121</v>
      </c>
      <c r="DD43" s="27">
        <f t="shared" si="130"/>
        <v>0.11899999999999999</v>
      </c>
      <c r="DE43" s="27">
        <f t="shared" si="131"/>
        <v>0.126</v>
      </c>
      <c r="DF43" s="27">
        <f t="shared" si="132"/>
        <v>0.16</v>
      </c>
      <c r="DG43" s="27">
        <f t="shared" si="133"/>
        <v>0.12</v>
      </c>
      <c r="DH43" s="27">
        <f t="shared" si="135"/>
        <v>0.155</v>
      </c>
      <c r="DI43" s="27">
        <f t="shared" si="136"/>
        <v>0.11899999999999999</v>
      </c>
      <c r="DJ43" s="27">
        <f t="shared" si="137"/>
        <v>8.1000000000000003E-2</v>
      </c>
      <c r="DK43" s="27">
        <f t="shared" si="138"/>
        <v>0</v>
      </c>
      <c r="DL43" s="27">
        <f t="shared" si="139"/>
        <v>0</v>
      </c>
      <c r="DM43" s="27">
        <f t="shared" si="140"/>
        <v>0</v>
      </c>
      <c r="DN43" s="27">
        <f t="shared" si="141"/>
        <v>0</v>
      </c>
      <c r="EO43" s="22"/>
      <c r="EP43" s="22"/>
      <c r="EQ43" s="22"/>
      <c r="ER43" s="22"/>
      <c r="ES43" s="22"/>
    </row>
    <row r="44" spans="1:149">
      <c r="A44" s="23" t="s">
        <v>73</v>
      </c>
      <c r="B44" s="30">
        <v>15.492000000000001</v>
      </c>
      <c r="C44" s="30">
        <v>15.615</v>
      </c>
      <c r="D44" s="30">
        <v>3.9569999999999999</v>
      </c>
      <c r="E44" s="30">
        <v>1.0720000000000001</v>
      </c>
      <c r="F44" s="30" t="s">
        <v>37</v>
      </c>
      <c r="G44" s="30" t="s">
        <v>37</v>
      </c>
      <c r="H44" s="30" t="s">
        <v>37</v>
      </c>
      <c r="I44" s="30" t="s">
        <v>37</v>
      </c>
      <c r="J44" s="30" t="s">
        <v>37</v>
      </c>
      <c r="K44" s="30" t="s">
        <v>37</v>
      </c>
      <c r="L44" s="30" t="s">
        <v>37</v>
      </c>
      <c r="M44" s="30" t="s">
        <v>37</v>
      </c>
      <c r="N44" s="30" t="s">
        <v>37</v>
      </c>
      <c r="O44" s="30" t="s">
        <v>37</v>
      </c>
      <c r="P44" s="30" t="s">
        <v>37</v>
      </c>
      <c r="Q44" s="30" t="s">
        <v>37</v>
      </c>
      <c r="R44" s="30" t="s">
        <v>37</v>
      </c>
      <c r="S44" s="30" t="s">
        <v>37</v>
      </c>
      <c r="T44" s="30" t="s">
        <v>37</v>
      </c>
      <c r="U44" s="30" t="s">
        <v>37</v>
      </c>
      <c r="V44" s="30">
        <v>70.442999999999998</v>
      </c>
      <c r="W44" s="30">
        <v>105.134</v>
      </c>
      <c r="X44" s="30">
        <v>111.00693</v>
      </c>
      <c r="Y44" s="30">
        <v>117.54</v>
      </c>
      <c r="Z44" s="30">
        <v>98.397999999999996</v>
      </c>
      <c r="AA44" s="30">
        <v>75.287999999999997</v>
      </c>
      <c r="AB44" s="30">
        <v>2.234</v>
      </c>
      <c r="AC44" s="30">
        <v>1.016</v>
      </c>
      <c r="AD44" s="30">
        <v>1.01</v>
      </c>
      <c r="AE44" s="30">
        <v>0.97299999999999998</v>
      </c>
      <c r="AF44" s="30">
        <v>1.014</v>
      </c>
      <c r="AG44" s="30">
        <v>1.0669999999999999</v>
      </c>
      <c r="AH44" s="30">
        <v>1.101402</v>
      </c>
      <c r="AI44" s="30">
        <v>1.0997680000000001</v>
      </c>
      <c r="AJ44" s="31" t="s">
        <v>37</v>
      </c>
      <c r="AK44" s="30" t="s">
        <v>37</v>
      </c>
      <c r="AL44" s="30" t="s">
        <v>37</v>
      </c>
      <c r="AM44" s="30" t="s">
        <v>37</v>
      </c>
      <c r="AN44" s="30" t="s">
        <v>37</v>
      </c>
      <c r="AO44" s="30" t="s">
        <v>37</v>
      </c>
      <c r="AP44" s="30" t="s">
        <v>37</v>
      </c>
      <c r="AQ44" s="30" t="s">
        <v>37</v>
      </c>
      <c r="AR44" s="30" t="s">
        <v>37</v>
      </c>
      <c r="AS44" s="30" t="s">
        <v>37</v>
      </c>
      <c r="AT44" s="30" t="s">
        <v>37</v>
      </c>
      <c r="AU44" s="30" t="s">
        <v>37</v>
      </c>
      <c r="AV44" s="30" t="s">
        <v>37</v>
      </c>
      <c r="AW44" s="30" t="s">
        <v>37</v>
      </c>
      <c r="AX44" s="30" t="s">
        <v>37</v>
      </c>
      <c r="AY44" s="30" t="s">
        <v>37</v>
      </c>
      <c r="AZ44" s="30" t="s">
        <v>37</v>
      </c>
      <c r="BA44" s="30" t="s">
        <v>37</v>
      </c>
      <c r="BB44" s="30" t="s">
        <v>37</v>
      </c>
      <c r="BC44" s="30" t="s">
        <v>37</v>
      </c>
      <c r="BD44" s="30" t="s">
        <v>37</v>
      </c>
      <c r="BE44" s="30" t="s">
        <v>37</v>
      </c>
      <c r="BF44" s="30" t="s">
        <v>37</v>
      </c>
      <c r="BG44" s="30" t="s">
        <v>37</v>
      </c>
      <c r="BH44" s="30" t="s">
        <v>37</v>
      </c>
      <c r="BI44" s="30" t="s">
        <v>37</v>
      </c>
      <c r="BJ44" s="30" t="s">
        <v>45</v>
      </c>
      <c r="BK44" s="30" t="s">
        <v>45</v>
      </c>
      <c r="BL44" s="30" t="s">
        <v>45</v>
      </c>
      <c r="BM44" s="30" t="s">
        <v>45</v>
      </c>
      <c r="BN44" s="30" t="s">
        <v>45</v>
      </c>
      <c r="BO44" s="30" t="s">
        <v>45</v>
      </c>
      <c r="BP44" s="30" t="s">
        <v>45</v>
      </c>
      <c r="BQ44" s="30" t="s">
        <v>45</v>
      </c>
      <c r="BR44" s="31">
        <v>112.821</v>
      </c>
      <c r="BS44" s="30" t="s">
        <v>37</v>
      </c>
      <c r="BT44" s="30" t="s">
        <v>37</v>
      </c>
      <c r="BU44" s="30" t="s">
        <v>37</v>
      </c>
      <c r="BV44" s="30" t="s">
        <v>37</v>
      </c>
      <c r="BW44" s="30" t="s">
        <v>37</v>
      </c>
      <c r="BX44" s="30" t="s">
        <v>37</v>
      </c>
      <c r="BY44" s="30" t="s">
        <v>45</v>
      </c>
      <c r="BZ44" s="30" t="s">
        <v>45</v>
      </c>
      <c r="CA44" s="30" t="s">
        <v>45</v>
      </c>
      <c r="CB44" s="30" t="s">
        <v>45</v>
      </c>
      <c r="CC44" s="30" t="s">
        <v>45</v>
      </c>
      <c r="CD44" s="30" t="s">
        <v>45</v>
      </c>
      <c r="CE44" s="30" t="s">
        <v>45</v>
      </c>
      <c r="CF44" s="30" t="s">
        <v>45</v>
      </c>
      <c r="CG44" s="26">
        <f t="shared" si="107"/>
        <v>15.492000000000001</v>
      </c>
      <c r="CH44" s="27">
        <f t="shared" si="108"/>
        <v>15.615</v>
      </c>
      <c r="CI44" s="27">
        <f t="shared" si="109"/>
        <v>3.9569999999999999</v>
      </c>
      <c r="CJ44" s="27">
        <f t="shared" si="110"/>
        <v>1.0720000000000001</v>
      </c>
      <c r="CK44" s="27">
        <f t="shared" si="111"/>
        <v>0</v>
      </c>
      <c r="CL44" s="27">
        <f t="shared" si="112"/>
        <v>0</v>
      </c>
      <c r="CM44" s="27">
        <f t="shared" si="113"/>
        <v>0</v>
      </c>
      <c r="CN44" s="27">
        <f t="shared" si="114"/>
        <v>0</v>
      </c>
      <c r="CO44" s="27">
        <f t="shared" si="115"/>
        <v>0</v>
      </c>
      <c r="CP44" s="27">
        <f t="shared" si="116"/>
        <v>0</v>
      </c>
      <c r="CQ44" s="27">
        <f t="shared" si="117"/>
        <v>0</v>
      </c>
      <c r="CR44" s="27">
        <f t="shared" si="118"/>
        <v>0</v>
      </c>
      <c r="CS44" s="27">
        <f t="shared" si="119"/>
        <v>0</v>
      </c>
      <c r="CT44" s="27">
        <f t="shared" si="120"/>
        <v>0</v>
      </c>
      <c r="CU44" s="27">
        <f t="shared" si="121"/>
        <v>0</v>
      </c>
      <c r="CV44" s="27">
        <f t="shared" si="122"/>
        <v>0</v>
      </c>
      <c r="CW44" s="27">
        <f t="shared" si="123"/>
        <v>0</v>
      </c>
      <c r="CX44" s="27">
        <f t="shared" si="124"/>
        <v>0</v>
      </c>
      <c r="CY44" s="27">
        <f t="shared" si="125"/>
        <v>0</v>
      </c>
      <c r="CZ44" s="27">
        <f t="shared" si="126"/>
        <v>112.821</v>
      </c>
      <c r="DA44" s="27">
        <f t="shared" si="127"/>
        <v>70.442999999999998</v>
      </c>
      <c r="DB44" s="27">
        <f t="shared" si="128"/>
        <v>105.134</v>
      </c>
      <c r="DC44" s="27">
        <f t="shared" si="129"/>
        <v>111.00693</v>
      </c>
      <c r="DD44" s="27">
        <f t="shared" si="130"/>
        <v>117.54</v>
      </c>
      <c r="DE44" s="27">
        <f t="shared" si="131"/>
        <v>98.397999999999996</v>
      </c>
      <c r="DF44" s="27">
        <f t="shared" si="132"/>
        <v>75.287999999999997</v>
      </c>
      <c r="DG44" s="27">
        <f t="shared" si="133"/>
        <v>2.234</v>
      </c>
      <c r="DH44" s="27">
        <f t="shared" si="135"/>
        <v>1.016</v>
      </c>
      <c r="DI44" s="27">
        <f t="shared" si="136"/>
        <v>1.01</v>
      </c>
      <c r="DJ44" s="27">
        <f t="shared" si="137"/>
        <v>0.97299999999999998</v>
      </c>
      <c r="DK44" s="27">
        <f t="shared" si="138"/>
        <v>1.014</v>
      </c>
      <c r="DL44" s="27">
        <f t="shared" si="139"/>
        <v>1.0669999999999999</v>
      </c>
      <c r="DM44" s="27">
        <f t="shared" si="140"/>
        <v>1.101402</v>
      </c>
      <c r="DN44" s="27">
        <f t="shared" si="141"/>
        <v>1.0997680000000001</v>
      </c>
      <c r="EO44" s="22"/>
      <c r="EP44" s="22"/>
      <c r="EQ44" s="22"/>
      <c r="ER44" s="22"/>
      <c r="ES44" s="22"/>
    </row>
    <row r="45" spans="1:149">
      <c r="A45" s="23" t="s">
        <v>74</v>
      </c>
      <c r="B45" s="30" t="s">
        <v>37</v>
      </c>
      <c r="C45" s="30" t="s">
        <v>37</v>
      </c>
      <c r="D45" s="30" t="s">
        <v>37</v>
      </c>
      <c r="E45" s="30" t="s">
        <v>37</v>
      </c>
      <c r="F45" s="30" t="s">
        <v>37</v>
      </c>
      <c r="G45" s="30" t="s">
        <v>37</v>
      </c>
      <c r="H45" s="30" t="s">
        <v>37</v>
      </c>
      <c r="I45" s="30" t="s">
        <v>37</v>
      </c>
      <c r="J45" s="30" t="s">
        <v>37</v>
      </c>
      <c r="K45" s="30">
        <v>0.02</v>
      </c>
      <c r="L45" s="30">
        <v>0.04</v>
      </c>
      <c r="M45" s="30">
        <v>0.04</v>
      </c>
      <c r="N45" s="30">
        <v>0.03</v>
      </c>
      <c r="O45" s="30">
        <v>3.9E-2</v>
      </c>
      <c r="P45" s="30">
        <v>3.5000000000000003E-2</v>
      </c>
      <c r="Q45" s="30">
        <v>4.8000000000000001E-2</v>
      </c>
      <c r="R45" s="30">
        <v>3.5999999999999997E-2</v>
      </c>
      <c r="S45" s="30">
        <v>3.9E-2</v>
      </c>
      <c r="T45" s="30">
        <v>3.7999999999999999E-2</v>
      </c>
      <c r="U45" s="24">
        <f>((V45-T45)/2)+T45</f>
        <v>4.8000000000000001E-2</v>
      </c>
      <c r="V45" s="30">
        <v>5.8000000000000003E-2</v>
      </c>
      <c r="W45" s="30">
        <v>7.1999999999999995E-2</v>
      </c>
      <c r="X45" s="30">
        <v>8.8775000000000007E-2</v>
      </c>
      <c r="Y45" s="30">
        <v>7.9000000000000001E-2</v>
      </c>
      <c r="Z45" s="30">
        <v>4.8000000000000001E-2</v>
      </c>
      <c r="AA45" s="30">
        <v>5.7000000000000002E-2</v>
      </c>
      <c r="AB45" s="30">
        <v>7.8E-2</v>
      </c>
      <c r="AC45" s="30">
        <v>0.64700000000000002</v>
      </c>
      <c r="AD45" s="30">
        <v>7.2999999999999995E-2</v>
      </c>
      <c r="AE45" s="30">
        <v>5.1999999999999998E-2</v>
      </c>
      <c r="AF45" s="30">
        <v>6.3E-2</v>
      </c>
      <c r="AG45" s="30">
        <v>1.0569999999999999</v>
      </c>
      <c r="AH45" s="30">
        <v>1.157848</v>
      </c>
      <c r="AI45" s="30">
        <v>1.109629</v>
      </c>
      <c r="AJ45" s="31" t="s">
        <v>37</v>
      </c>
      <c r="AK45" s="30" t="s">
        <v>37</v>
      </c>
      <c r="AL45" s="30" t="s">
        <v>37</v>
      </c>
      <c r="AM45" s="30" t="s">
        <v>37</v>
      </c>
      <c r="AN45" s="30" t="s">
        <v>37</v>
      </c>
      <c r="AO45" s="30" t="s">
        <v>37</v>
      </c>
      <c r="AP45" s="30" t="s">
        <v>37</v>
      </c>
      <c r="AQ45" s="30" t="s">
        <v>37</v>
      </c>
      <c r="AR45" s="30" t="s">
        <v>37</v>
      </c>
      <c r="AS45" s="30" t="s">
        <v>37</v>
      </c>
      <c r="AT45" s="30" t="s">
        <v>37</v>
      </c>
      <c r="AU45" s="30" t="s">
        <v>37</v>
      </c>
      <c r="AV45" s="30" t="s">
        <v>37</v>
      </c>
      <c r="AW45" s="30" t="s">
        <v>37</v>
      </c>
      <c r="AX45" s="30" t="s">
        <v>37</v>
      </c>
      <c r="AY45" s="30" t="s">
        <v>37</v>
      </c>
      <c r="AZ45" s="30" t="s">
        <v>37</v>
      </c>
      <c r="BA45" s="30" t="s">
        <v>37</v>
      </c>
      <c r="BB45" s="30" t="s">
        <v>37</v>
      </c>
      <c r="BC45" s="30" t="s">
        <v>37</v>
      </c>
      <c r="BD45" s="30" t="s">
        <v>37</v>
      </c>
      <c r="BE45" s="30" t="s">
        <v>37</v>
      </c>
      <c r="BF45" s="30" t="s">
        <v>37</v>
      </c>
      <c r="BG45" s="30" t="s">
        <v>37</v>
      </c>
      <c r="BH45" s="30" t="s">
        <v>37</v>
      </c>
      <c r="BI45" s="30" t="s">
        <v>37</v>
      </c>
      <c r="BJ45" s="30" t="s">
        <v>45</v>
      </c>
      <c r="BK45" s="30">
        <v>0.29899999999999999</v>
      </c>
      <c r="BL45" s="30">
        <v>1.4E-2</v>
      </c>
      <c r="BM45" s="30">
        <v>0.01</v>
      </c>
      <c r="BN45" s="30" t="s">
        <v>45</v>
      </c>
      <c r="BO45" s="30">
        <v>0.45500000000000002</v>
      </c>
      <c r="BP45" s="30">
        <v>0.44175999999999999</v>
      </c>
      <c r="BQ45" s="30">
        <v>0.450401</v>
      </c>
      <c r="BR45" s="31" t="s">
        <v>37</v>
      </c>
      <c r="BS45" s="30" t="s">
        <v>37</v>
      </c>
      <c r="BT45" s="30" t="s">
        <v>37</v>
      </c>
      <c r="BU45" s="30" t="s">
        <v>37</v>
      </c>
      <c r="BV45" s="30" t="s">
        <v>37</v>
      </c>
      <c r="BW45" s="30" t="s">
        <v>37</v>
      </c>
      <c r="BX45" s="30" t="s">
        <v>37</v>
      </c>
      <c r="BY45" s="30" t="s">
        <v>45</v>
      </c>
      <c r="BZ45" s="30" t="s">
        <v>45</v>
      </c>
      <c r="CA45" s="30">
        <v>0.81299999999999994</v>
      </c>
      <c r="CB45" s="30">
        <v>0.82099999999999995</v>
      </c>
      <c r="CC45" s="30">
        <v>1.395</v>
      </c>
      <c r="CD45" s="30" t="s">
        <v>45</v>
      </c>
      <c r="CE45" s="30" t="s">
        <v>45</v>
      </c>
      <c r="CF45" s="30" t="s">
        <v>45</v>
      </c>
      <c r="CG45" s="26">
        <f t="shared" si="107"/>
        <v>0</v>
      </c>
      <c r="CH45" s="27">
        <f t="shared" si="108"/>
        <v>0</v>
      </c>
      <c r="CI45" s="27">
        <f t="shared" si="109"/>
        <v>0</v>
      </c>
      <c r="CJ45" s="27">
        <f t="shared" si="110"/>
        <v>0</v>
      </c>
      <c r="CK45" s="27">
        <f t="shared" si="111"/>
        <v>0</v>
      </c>
      <c r="CL45" s="27">
        <f t="shared" si="112"/>
        <v>0</v>
      </c>
      <c r="CM45" s="27">
        <f t="shared" si="113"/>
        <v>0</v>
      </c>
      <c r="CN45" s="27">
        <f t="shared" si="114"/>
        <v>0</v>
      </c>
      <c r="CO45" s="27">
        <f t="shared" si="115"/>
        <v>0</v>
      </c>
      <c r="CP45" s="27">
        <f t="shared" si="116"/>
        <v>0.02</v>
      </c>
      <c r="CQ45" s="27">
        <f t="shared" si="117"/>
        <v>0.04</v>
      </c>
      <c r="CR45" s="27">
        <f t="shared" si="118"/>
        <v>0.04</v>
      </c>
      <c r="CS45" s="27">
        <f t="shared" si="119"/>
        <v>0.03</v>
      </c>
      <c r="CT45" s="27">
        <f t="shared" si="120"/>
        <v>3.9E-2</v>
      </c>
      <c r="CU45" s="27">
        <f t="shared" si="121"/>
        <v>3.5000000000000003E-2</v>
      </c>
      <c r="CV45" s="27">
        <f t="shared" si="122"/>
        <v>4.8000000000000001E-2</v>
      </c>
      <c r="CW45" s="27">
        <f t="shared" si="123"/>
        <v>3.5999999999999997E-2</v>
      </c>
      <c r="CX45" s="27">
        <f t="shared" si="124"/>
        <v>3.9E-2</v>
      </c>
      <c r="CY45" s="27">
        <f t="shared" si="125"/>
        <v>3.7999999999999999E-2</v>
      </c>
      <c r="CZ45" s="27">
        <f t="shared" si="126"/>
        <v>4.8000000000000001E-2</v>
      </c>
      <c r="DA45" s="27">
        <f t="shared" si="127"/>
        <v>5.8000000000000003E-2</v>
      </c>
      <c r="DB45" s="27">
        <f t="shared" si="128"/>
        <v>7.1999999999999995E-2</v>
      </c>
      <c r="DC45" s="27">
        <f t="shared" si="129"/>
        <v>8.8775000000000007E-2</v>
      </c>
      <c r="DD45" s="27">
        <f t="shared" si="130"/>
        <v>7.9000000000000001E-2</v>
      </c>
      <c r="DE45" s="27">
        <f t="shared" si="131"/>
        <v>4.8000000000000001E-2</v>
      </c>
      <c r="DF45" s="27">
        <f t="shared" si="132"/>
        <v>5.7000000000000002E-2</v>
      </c>
      <c r="DG45" s="27">
        <f t="shared" si="133"/>
        <v>7.8E-2</v>
      </c>
      <c r="DH45" s="27">
        <f t="shared" si="135"/>
        <v>0.94599999999999995</v>
      </c>
      <c r="DI45" s="27">
        <f t="shared" si="136"/>
        <v>0.89999999999999991</v>
      </c>
      <c r="DJ45" s="27">
        <f t="shared" si="137"/>
        <v>0.88300000000000001</v>
      </c>
      <c r="DK45" s="27">
        <f t="shared" si="138"/>
        <v>1.458</v>
      </c>
      <c r="DL45" s="27">
        <f t="shared" si="139"/>
        <v>1.512</v>
      </c>
      <c r="DM45" s="27">
        <f t="shared" si="140"/>
        <v>1.5996079999999999</v>
      </c>
      <c r="DN45" s="27">
        <f t="shared" si="141"/>
        <v>1.56003</v>
      </c>
      <c r="EO45" s="22"/>
      <c r="EP45" s="22"/>
      <c r="EQ45" s="22"/>
      <c r="ER45" s="22"/>
      <c r="ES45" s="22"/>
    </row>
    <row r="46" spans="1:149">
      <c r="A46" s="23" t="s">
        <v>75</v>
      </c>
      <c r="B46" s="30" t="s">
        <v>37</v>
      </c>
      <c r="C46" s="30" t="s">
        <v>37</v>
      </c>
      <c r="D46" s="30" t="s">
        <v>37</v>
      </c>
      <c r="E46" s="30" t="s">
        <v>37</v>
      </c>
      <c r="F46" s="30">
        <v>1.8340000000000001</v>
      </c>
      <c r="G46" s="30">
        <v>4.0039999999999996</v>
      </c>
      <c r="H46" s="30">
        <v>6.5430000000000001</v>
      </c>
      <c r="I46" s="30">
        <v>10.090999999999999</v>
      </c>
      <c r="J46" s="30">
        <v>9.5150000000000006</v>
      </c>
      <c r="K46" s="30">
        <v>10.27</v>
      </c>
      <c r="L46" s="30">
        <v>10.750999999999999</v>
      </c>
      <c r="M46" s="30">
        <v>11.273</v>
      </c>
      <c r="N46" s="30">
        <v>12.003</v>
      </c>
      <c r="O46" s="30">
        <v>12.973000000000001</v>
      </c>
      <c r="P46" s="30">
        <v>14.33</v>
      </c>
      <c r="Q46" s="30">
        <v>15.175000000000001</v>
      </c>
      <c r="R46" s="30">
        <v>15.404</v>
      </c>
      <c r="S46" s="30">
        <v>15.824</v>
      </c>
      <c r="T46" s="30">
        <v>15.641</v>
      </c>
      <c r="U46" s="30">
        <v>15.541</v>
      </c>
      <c r="V46" s="30">
        <v>16.122</v>
      </c>
      <c r="W46" s="30">
        <v>32.823</v>
      </c>
      <c r="X46" s="30">
        <v>16.436391</v>
      </c>
      <c r="Y46" s="30">
        <v>34.718000000000004</v>
      </c>
      <c r="Z46" s="30">
        <v>37.281999999999996</v>
      </c>
      <c r="AA46" s="30">
        <v>36.279000000000003</v>
      </c>
      <c r="AB46" s="30">
        <v>37.252000000000002</v>
      </c>
      <c r="AC46" s="30">
        <v>33.843000000000004</v>
      </c>
      <c r="AD46" s="30">
        <v>37.04</v>
      </c>
      <c r="AE46" s="30">
        <v>40.643999999999998</v>
      </c>
      <c r="AF46" s="30">
        <v>46.863</v>
      </c>
      <c r="AG46" s="30">
        <v>51.473999999999997</v>
      </c>
      <c r="AH46" s="30">
        <v>51.838244000000003</v>
      </c>
      <c r="AI46" s="30">
        <v>54.526054000000002</v>
      </c>
      <c r="AJ46" s="31" t="s">
        <v>37</v>
      </c>
      <c r="AK46" s="30" t="s">
        <v>37</v>
      </c>
      <c r="AL46" s="30" t="s">
        <v>37</v>
      </c>
      <c r="AM46" s="30" t="s">
        <v>37</v>
      </c>
      <c r="AN46" s="30" t="s">
        <v>37</v>
      </c>
      <c r="AO46" s="30" t="s">
        <v>37</v>
      </c>
      <c r="AP46" s="30" t="s">
        <v>37</v>
      </c>
      <c r="AQ46" s="30" t="s">
        <v>37</v>
      </c>
      <c r="AR46" s="30" t="s">
        <v>37</v>
      </c>
      <c r="AS46" s="30" t="s">
        <v>37</v>
      </c>
      <c r="AT46" s="30" t="s">
        <v>37</v>
      </c>
      <c r="AU46" s="30" t="s">
        <v>37</v>
      </c>
      <c r="AV46" s="30" t="s">
        <v>37</v>
      </c>
      <c r="AW46" s="30" t="s">
        <v>37</v>
      </c>
      <c r="AX46" s="30" t="s">
        <v>37</v>
      </c>
      <c r="AY46" s="30" t="s">
        <v>37</v>
      </c>
      <c r="AZ46" s="30" t="s">
        <v>37</v>
      </c>
      <c r="BA46" s="30" t="s">
        <v>37</v>
      </c>
      <c r="BB46" s="30" t="s">
        <v>37</v>
      </c>
      <c r="BC46" s="30" t="s">
        <v>37</v>
      </c>
      <c r="BD46" s="30">
        <v>4.0000000000000001E-3</v>
      </c>
      <c r="BE46" s="30">
        <v>1.6E-2</v>
      </c>
      <c r="BF46" s="30">
        <v>2.4E-2</v>
      </c>
      <c r="BG46" s="30">
        <v>3.4000000000000002E-2</v>
      </c>
      <c r="BH46" s="30">
        <v>0.01</v>
      </c>
      <c r="BI46" s="30">
        <v>7.0000000000000001E-3</v>
      </c>
      <c r="BJ46" s="30">
        <v>4.0000000000000001E-3</v>
      </c>
      <c r="BK46" s="30" t="s">
        <v>45</v>
      </c>
      <c r="BL46" s="30" t="s">
        <v>45</v>
      </c>
      <c r="BM46" s="30">
        <v>2E-3</v>
      </c>
      <c r="BN46" s="30">
        <v>2E-3</v>
      </c>
      <c r="BO46" s="30" t="s">
        <v>45</v>
      </c>
      <c r="BP46" s="30">
        <v>3.0469999999999998E-3</v>
      </c>
      <c r="BQ46" s="30" t="s">
        <v>45</v>
      </c>
      <c r="BR46" s="31">
        <v>14.814</v>
      </c>
      <c r="BS46" s="30" t="s">
        <v>37</v>
      </c>
      <c r="BT46" s="30" t="s">
        <v>37</v>
      </c>
      <c r="BU46" s="30" t="s">
        <v>37</v>
      </c>
      <c r="BV46" s="30" t="s">
        <v>37</v>
      </c>
      <c r="BW46" s="30" t="s">
        <v>37</v>
      </c>
      <c r="BX46" s="30" t="s">
        <v>37</v>
      </c>
      <c r="BY46" s="30" t="s">
        <v>45</v>
      </c>
      <c r="BZ46" s="30" t="s">
        <v>45</v>
      </c>
      <c r="CA46" s="30" t="s">
        <v>45</v>
      </c>
      <c r="CB46" s="30" t="s">
        <v>45</v>
      </c>
      <c r="CC46" s="30" t="s">
        <v>45</v>
      </c>
      <c r="CD46" s="30" t="s">
        <v>45</v>
      </c>
      <c r="CE46" s="30" t="s">
        <v>45</v>
      </c>
      <c r="CF46" s="30" t="s">
        <v>45</v>
      </c>
      <c r="CG46" s="26">
        <f t="shared" si="107"/>
        <v>0</v>
      </c>
      <c r="CH46" s="27">
        <f t="shared" si="108"/>
        <v>0</v>
      </c>
      <c r="CI46" s="27">
        <f t="shared" si="109"/>
        <v>0</v>
      </c>
      <c r="CJ46" s="27">
        <f t="shared" si="110"/>
        <v>0</v>
      </c>
      <c r="CK46" s="27">
        <f t="shared" si="111"/>
        <v>1.8340000000000001</v>
      </c>
      <c r="CL46" s="27">
        <f t="shared" si="112"/>
        <v>4.0039999999999996</v>
      </c>
      <c r="CM46" s="27">
        <f t="shared" si="113"/>
        <v>6.5430000000000001</v>
      </c>
      <c r="CN46" s="27">
        <f t="shared" si="114"/>
        <v>10.090999999999999</v>
      </c>
      <c r="CO46" s="27">
        <f t="shared" si="115"/>
        <v>9.5150000000000006</v>
      </c>
      <c r="CP46" s="27">
        <f t="shared" si="116"/>
        <v>10.27</v>
      </c>
      <c r="CQ46" s="27">
        <f t="shared" si="117"/>
        <v>10.750999999999999</v>
      </c>
      <c r="CR46" s="27">
        <f t="shared" si="118"/>
        <v>11.273</v>
      </c>
      <c r="CS46" s="27">
        <f t="shared" si="119"/>
        <v>12.003</v>
      </c>
      <c r="CT46" s="27">
        <f t="shared" si="120"/>
        <v>12.973000000000001</v>
      </c>
      <c r="CU46" s="27">
        <f t="shared" si="121"/>
        <v>14.33</v>
      </c>
      <c r="CV46" s="27">
        <f t="shared" si="122"/>
        <v>15.175000000000001</v>
      </c>
      <c r="CW46" s="27">
        <f t="shared" si="123"/>
        <v>15.404</v>
      </c>
      <c r="CX46" s="27">
        <f t="shared" si="124"/>
        <v>15.824</v>
      </c>
      <c r="CY46" s="27">
        <f t="shared" si="125"/>
        <v>15.641</v>
      </c>
      <c r="CZ46" s="27">
        <f t="shared" si="126"/>
        <v>30.355</v>
      </c>
      <c r="DA46" s="27">
        <f t="shared" si="127"/>
        <v>16.126000000000001</v>
      </c>
      <c r="DB46" s="27">
        <f t="shared" si="128"/>
        <v>32.838999999999999</v>
      </c>
      <c r="DC46" s="27">
        <f t="shared" si="129"/>
        <v>16.460391000000001</v>
      </c>
      <c r="DD46" s="27">
        <f t="shared" si="130"/>
        <v>34.752000000000002</v>
      </c>
      <c r="DE46" s="27">
        <f t="shared" si="131"/>
        <v>37.291999999999994</v>
      </c>
      <c r="DF46" s="27">
        <f t="shared" si="132"/>
        <v>36.286000000000001</v>
      </c>
      <c r="DG46" s="27">
        <f t="shared" si="133"/>
        <v>37.256</v>
      </c>
      <c r="DH46" s="27">
        <f t="shared" si="135"/>
        <v>33.843000000000004</v>
      </c>
      <c r="DI46" s="27">
        <f t="shared" si="136"/>
        <v>37.04</v>
      </c>
      <c r="DJ46" s="27">
        <f t="shared" si="137"/>
        <v>40.646000000000001</v>
      </c>
      <c r="DK46" s="27">
        <f t="shared" si="138"/>
        <v>46.865000000000002</v>
      </c>
      <c r="DL46" s="27">
        <f t="shared" si="139"/>
        <v>51.473999999999997</v>
      </c>
      <c r="DM46" s="27">
        <f t="shared" si="140"/>
        <v>51.841291000000005</v>
      </c>
      <c r="DN46" s="27">
        <f t="shared" si="141"/>
        <v>54.526054000000002</v>
      </c>
      <c r="EO46" s="22"/>
      <c r="EP46" s="22"/>
      <c r="EQ46" s="22"/>
      <c r="ER46" s="22"/>
      <c r="ES46" s="22"/>
    </row>
    <row r="47" spans="1:149">
      <c r="A47" s="23" t="s">
        <v>76</v>
      </c>
      <c r="B47" s="30" t="s">
        <v>37</v>
      </c>
      <c r="C47" s="30" t="s">
        <v>37</v>
      </c>
      <c r="D47" s="30" t="s">
        <v>37</v>
      </c>
      <c r="E47" s="30" t="s">
        <v>37</v>
      </c>
      <c r="F47" s="30" t="s">
        <v>37</v>
      </c>
      <c r="G47" s="30" t="s">
        <v>37</v>
      </c>
      <c r="H47" s="30" t="s">
        <v>37</v>
      </c>
      <c r="I47" s="30" t="s">
        <v>37</v>
      </c>
      <c r="J47" s="30" t="s">
        <v>37</v>
      </c>
      <c r="K47" s="30" t="s">
        <v>37</v>
      </c>
      <c r="L47" s="30" t="s">
        <v>37</v>
      </c>
      <c r="M47" s="30" t="s">
        <v>37</v>
      </c>
      <c r="N47" s="30" t="s">
        <v>37</v>
      </c>
      <c r="O47" s="30" t="s">
        <v>37</v>
      </c>
      <c r="P47" s="30" t="s">
        <v>37</v>
      </c>
      <c r="Q47" s="30" t="s">
        <v>37</v>
      </c>
      <c r="R47" s="30" t="s">
        <v>37</v>
      </c>
      <c r="S47" s="30" t="s">
        <v>37</v>
      </c>
      <c r="T47" s="30">
        <v>13.353999999999999</v>
      </c>
      <c r="U47" s="30" t="s">
        <v>37</v>
      </c>
      <c r="V47" s="30" t="s">
        <v>37</v>
      </c>
      <c r="W47" s="30" t="s">
        <v>37</v>
      </c>
      <c r="X47" s="30" t="s">
        <v>37</v>
      </c>
      <c r="Y47" s="30" t="s">
        <v>37</v>
      </c>
      <c r="Z47" s="30" t="s">
        <v>37</v>
      </c>
      <c r="AA47" s="30" t="s">
        <v>37</v>
      </c>
      <c r="AB47" s="30" t="s">
        <v>45</v>
      </c>
      <c r="AC47" s="30" t="s">
        <v>45</v>
      </c>
      <c r="AD47" s="30" t="s">
        <v>45</v>
      </c>
      <c r="AE47" s="30" t="s">
        <v>45</v>
      </c>
      <c r="AF47" s="30" t="s">
        <v>45</v>
      </c>
      <c r="AG47" s="30" t="s">
        <v>45</v>
      </c>
      <c r="AH47" s="30">
        <v>1.7662800000000001</v>
      </c>
      <c r="AI47" s="30">
        <v>2.1349629999999999</v>
      </c>
      <c r="AJ47" s="31" t="s">
        <v>37</v>
      </c>
      <c r="AK47" s="30" t="s">
        <v>37</v>
      </c>
      <c r="AL47" s="30" t="s">
        <v>37</v>
      </c>
      <c r="AM47" s="30" t="s">
        <v>37</v>
      </c>
      <c r="AN47" s="30" t="s">
        <v>37</v>
      </c>
      <c r="AO47" s="30" t="s">
        <v>37</v>
      </c>
      <c r="AP47" s="30" t="s">
        <v>37</v>
      </c>
      <c r="AQ47" s="30" t="s">
        <v>37</v>
      </c>
      <c r="AR47" s="30" t="s">
        <v>37</v>
      </c>
      <c r="AS47" s="30" t="s">
        <v>37</v>
      </c>
      <c r="AT47" s="30" t="s">
        <v>37</v>
      </c>
      <c r="AU47" s="30" t="s">
        <v>37</v>
      </c>
      <c r="AV47" s="30" t="s">
        <v>37</v>
      </c>
      <c r="AW47" s="30" t="s">
        <v>37</v>
      </c>
      <c r="AX47" s="30" t="s">
        <v>37</v>
      </c>
      <c r="AY47" s="30" t="s">
        <v>37</v>
      </c>
      <c r="AZ47" s="30" t="s">
        <v>37</v>
      </c>
      <c r="BA47" s="30" t="s">
        <v>37</v>
      </c>
      <c r="BB47" s="30" t="s">
        <v>37</v>
      </c>
      <c r="BC47" s="30" t="s">
        <v>37</v>
      </c>
      <c r="BD47" s="30" t="s">
        <v>37</v>
      </c>
      <c r="BE47" s="30" t="s">
        <v>37</v>
      </c>
      <c r="BF47" s="30" t="s">
        <v>37</v>
      </c>
      <c r="BG47" s="30" t="s">
        <v>37</v>
      </c>
      <c r="BH47" s="30" t="s">
        <v>37</v>
      </c>
      <c r="BI47" s="30" t="s">
        <v>37</v>
      </c>
      <c r="BJ47" s="30" t="s">
        <v>45</v>
      </c>
      <c r="BK47" s="30" t="s">
        <v>45</v>
      </c>
      <c r="BL47" s="30" t="s">
        <v>45</v>
      </c>
      <c r="BM47" s="30" t="s">
        <v>45</v>
      </c>
      <c r="BN47" s="30" t="s">
        <v>45</v>
      </c>
      <c r="BO47" s="30" t="s">
        <v>45</v>
      </c>
      <c r="BP47" s="30">
        <v>0.47739999999999999</v>
      </c>
      <c r="BQ47" s="30">
        <v>0.44495600000000002</v>
      </c>
      <c r="BR47" s="31" t="s">
        <v>37</v>
      </c>
      <c r="BS47" s="30" t="s">
        <v>37</v>
      </c>
      <c r="BT47" s="30" t="s">
        <v>37</v>
      </c>
      <c r="BU47" s="30" t="s">
        <v>37</v>
      </c>
      <c r="BV47" s="30" t="s">
        <v>37</v>
      </c>
      <c r="BW47" s="30" t="s">
        <v>37</v>
      </c>
      <c r="BX47" s="30" t="s">
        <v>37</v>
      </c>
      <c r="BY47" s="30" t="s">
        <v>45</v>
      </c>
      <c r="BZ47" s="30" t="s">
        <v>45</v>
      </c>
      <c r="CA47" s="30" t="s">
        <v>45</v>
      </c>
      <c r="CB47" s="30" t="s">
        <v>45</v>
      </c>
      <c r="CC47" s="30" t="s">
        <v>45</v>
      </c>
      <c r="CD47" s="30" t="s">
        <v>45</v>
      </c>
      <c r="CE47" s="30" t="s">
        <v>45</v>
      </c>
      <c r="CF47" s="30" t="s">
        <v>45</v>
      </c>
      <c r="CG47" s="26">
        <f t="shared" si="107"/>
        <v>0</v>
      </c>
      <c r="CH47" s="27">
        <f t="shared" si="108"/>
        <v>0</v>
      </c>
      <c r="CI47" s="27">
        <f t="shared" si="109"/>
        <v>0</v>
      </c>
      <c r="CJ47" s="27">
        <f t="shared" si="110"/>
        <v>0</v>
      </c>
      <c r="CK47" s="27">
        <f t="shared" si="111"/>
        <v>0</v>
      </c>
      <c r="CL47" s="27">
        <f t="shared" si="112"/>
        <v>0</v>
      </c>
      <c r="CM47" s="27">
        <f t="shared" si="113"/>
        <v>0</v>
      </c>
      <c r="CN47" s="27">
        <f t="shared" si="114"/>
        <v>0</v>
      </c>
      <c r="CO47" s="27">
        <f t="shared" si="115"/>
        <v>0</v>
      </c>
      <c r="CP47" s="27">
        <f t="shared" si="116"/>
        <v>0</v>
      </c>
      <c r="CQ47" s="27">
        <f t="shared" si="117"/>
        <v>0</v>
      </c>
      <c r="CR47" s="27">
        <f t="shared" si="118"/>
        <v>0</v>
      </c>
      <c r="CS47" s="27">
        <f t="shared" si="119"/>
        <v>0</v>
      </c>
      <c r="CT47" s="27">
        <f t="shared" si="120"/>
        <v>0</v>
      </c>
      <c r="CU47" s="27">
        <f t="shared" si="121"/>
        <v>0</v>
      </c>
      <c r="CV47" s="27">
        <f t="shared" si="122"/>
        <v>0</v>
      </c>
      <c r="CW47" s="27">
        <f t="shared" si="123"/>
        <v>0</v>
      </c>
      <c r="CX47" s="27">
        <f t="shared" si="124"/>
        <v>0</v>
      </c>
      <c r="CY47" s="27">
        <f t="shared" si="125"/>
        <v>13.353999999999999</v>
      </c>
      <c r="CZ47" s="27">
        <f t="shared" si="126"/>
        <v>0</v>
      </c>
      <c r="DA47" s="27">
        <f t="shared" si="127"/>
        <v>0</v>
      </c>
      <c r="DB47" s="27">
        <f t="shared" si="128"/>
        <v>0</v>
      </c>
      <c r="DC47" s="27">
        <f t="shared" si="129"/>
        <v>0</v>
      </c>
      <c r="DD47" s="27">
        <f t="shared" si="130"/>
        <v>0</v>
      </c>
      <c r="DE47" s="27">
        <f t="shared" si="131"/>
        <v>0</v>
      </c>
      <c r="DF47" s="27">
        <f t="shared" si="132"/>
        <v>0</v>
      </c>
      <c r="DG47" s="27">
        <f t="shared" si="133"/>
        <v>0</v>
      </c>
      <c r="DH47" s="27">
        <f t="shared" si="135"/>
        <v>0</v>
      </c>
      <c r="DI47" s="27">
        <f t="shared" si="136"/>
        <v>0</v>
      </c>
      <c r="DJ47" s="27">
        <f t="shared" si="137"/>
        <v>0</v>
      </c>
      <c r="DK47" s="27">
        <f t="shared" si="138"/>
        <v>0</v>
      </c>
      <c r="DL47" s="27">
        <f t="shared" si="139"/>
        <v>0</v>
      </c>
      <c r="DM47" s="27">
        <f t="shared" si="140"/>
        <v>2.2436799999999999</v>
      </c>
      <c r="DN47" s="27">
        <f t="shared" si="141"/>
        <v>2.5799189999999999</v>
      </c>
      <c r="EO47" s="22"/>
      <c r="EP47" s="22"/>
      <c r="EQ47" s="22"/>
      <c r="ER47" s="22"/>
      <c r="ES47" s="22"/>
    </row>
    <row r="48" spans="1:149">
      <c r="A48" s="23" t="s">
        <v>77</v>
      </c>
      <c r="B48" s="30" t="s">
        <v>37</v>
      </c>
      <c r="C48" s="30" t="s">
        <v>37</v>
      </c>
      <c r="D48" s="30" t="s">
        <v>37</v>
      </c>
      <c r="E48" s="30" t="s">
        <v>37</v>
      </c>
      <c r="F48" s="30">
        <v>0.05</v>
      </c>
      <c r="G48" s="30">
        <v>0.111</v>
      </c>
      <c r="H48" s="30">
        <v>8.2000000000000003E-2</v>
      </c>
      <c r="I48" s="30">
        <v>0.29199999999999998</v>
      </c>
      <c r="J48" s="30">
        <v>0.32400000000000001</v>
      </c>
      <c r="K48" s="30">
        <v>0.29699999999999999</v>
      </c>
      <c r="L48" s="30">
        <v>0.29899999999999999</v>
      </c>
      <c r="M48" s="30">
        <v>0.316</v>
      </c>
      <c r="N48" s="30">
        <v>0.28899999999999998</v>
      </c>
      <c r="O48" s="30">
        <v>0.252</v>
      </c>
      <c r="P48" s="30">
        <v>0.307</v>
      </c>
      <c r="Q48" s="30">
        <v>0.30599999999999999</v>
      </c>
      <c r="R48" s="30">
        <v>0.35499999999999998</v>
      </c>
      <c r="S48" s="30">
        <v>0.373</v>
      </c>
      <c r="T48" s="30" t="s">
        <v>37</v>
      </c>
      <c r="U48" s="30">
        <v>0.39700000000000002</v>
      </c>
      <c r="V48" s="30">
        <v>0.41</v>
      </c>
      <c r="W48" s="30">
        <v>0.39900000000000002</v>
      </c>
      <c r="X48" s="30">
        <v>0.37148999999999999</v>
      </c>
      <c r="Y48" s="30">
        <v>0.35299999999999998</v>
      </c>
      <c r="Z48" s="30">
        <v>0.58799999999999997</v>
      </c>
      <c r="AA48" s="30">
        <v>0.73199999999999998</v>
      </c>
      <c r="AB48" s="30">
        <v>0.92600000000000005</v>
      </c>
      <c r="AC48" s="30">
        <v>3.0049999999999999</v>
      </c>
      <c r="AD48" s="30">
        <v>4.016</v>
      </c>
      <c r="AE48" s="30">
        <v>5.2380000000000004</v>
      </c>
      <c r="AF48" s="30">
        <v>6.5220000000000002</v>
      </c>
      <c r="AG48" s="30">
        <v>6.8140000000000001</v>
      </c>
      <c r="AH48" s="30">
        <v>7.264583</v>
      </c>
      <c r="AI48" s="30">
        <v>7.4693940000000003</v>
      </c>
      <c r="AJ48" s="31" t="s">
        <v>37</v>
      </c>
      <c r="AK48" s="30" t="s">
        <v>37</v>
      </c>
      <c r="AL48" s="30" t="s">
        <v>37</v>
      </c>
      <c r="AM48" s="30" t="s">
        <v>37</v>
      </c>
      <c r="AN48" s="30" t="s">
        <v>37</v>
      </c>
      <c r="AO48" s="30" t="s">
        <v>37</v>
      </c>
      <c r="AP48" s="30" t="s">
        <v>37</v>
      </c>
      <c r="AQ48" s="30" t="s">
        <v>37</v>
      </c>
      <c r="AR48" s="30" t="s">
        <v>37</v>
      </c>
      <c r="AS48" s="30" t="s">
        <v>37</v>
      </c>
      <c r="AT48" s="30" t="s">
        <v>37</v>
      </c>
      <c r="AU48" s="30" t="s">
        <v>37</v>
      </c>
      <c r="AV48" s="30" t="s">
        <v>37</v>
      </c>
      <c r="AW48" s="30" t="s">
        <v>37</v>
      </c>
      <c r="AX48" s="30" t="s">
        <v>37</v>
      </c>
      <c r="AY48" s="30" t="s">
        <v>37</v>
      </c>
      <c r="AZ48" s="30" t="s">
        <v>37</v>
      </c>
      <c r="BA48" s="30" t="s">
        <v>37</v>
      </c>
      <c r="BB48" s="30" t="s">
        <v>37</v>
      </c>
      <c r="BC48" s="30" t="s">
        <v>37</v>
      </c>
      <c r="BD48" s="30" t="s">
        <v>37</v>
      </c>
      <c r="BE48" s="30" t="s">
        <v>37</v>
      </c>
      <c r="BF48" s="30" t="s">
        <v>37</v>
      </c>
      <c r="BG48" s="30" t="s">
        <v>37</v>
      </c>
      <c r="BH48" s="30" t="s">
        <v>37</v>
      </c>
      <c r="BI48" s="30" t="s">
        <v>37</v>
      </c>
      <c r="BJ48" s="30" t="s">
        <v>45</v>
      </c>
      <c r="BK48" s="30" t="s">
        <v>45</v>
      </c>
      <c r="BL48" s="30" t="s">
        <v>45</v>
      </c>
      <c r="BM48" s="30">
        <v>1.8640000000000001</v>
      </c>
      <c r="BN48" s="30">
        <v>1.923</v>
      </c>
      <c r="BO48" s="30">
        <v>1.93</v>
      </c>
      <c r="BP48" s="30">
        <v>1.9557929999999999</v>
      </c>
      <c r="BQ48" s="30">
        <v>1.861707</v>
      </c>
      <c r="BR48" s="31">
        <v>4.2000000000000003E-2</v>
      </c>
      <c r="BS48" s="30" t="s">
        <v>37</v>
      </c>
      <c r="BT48" s="30" t="s">
        <v>37</v>
      </c>
      <c r="BU48" s="30" t="s">
        <v>37</v>
      </c>
      <c r="BV48" s="30" t="s">
        <v>37</v>
      </c>
      <c r="BW48" s="30" t="s">
        <v>37</v>
      </c>
      <c r="BX48" s="30" t="s">
        <v>37</v>
      </c>
      <c r="BY48" s="30" t="s">
        <v>45</v>
      </c>
      <c r="BZ48" s="30" t="s">
        <v>45</v>
      </c>
      <c r="CA48" s="30" t="s">
        <v>45</v>
      </c>
      <c r="CB48" s="30" t="s">
        <v>45</v>
      </c>
      <c r="CC48" s="30" t="s">
        <v>45</v>
      </c>
      <c r="CD48" s="30" t="s">
        <v>45</v>
      </c>
      <c r="CE48" s="30" t="s">
        <v>45</v>
      </c>
      <c r="CF48" s="30" t="s">
        <v>45</v>
      </c>
      <c r="CG48" s="26">
        <f t="shared" si="107"/>
        <v>0</v>
      </c>
      <c r="CH48" s="27">
        <f t="shared" si="108"/>
        <v>0</v>
      </c>
      <c r="CI48" s="27">
        <f t="shared" si="109"/>
        <v>0</v>
      </c>
      <c r="CJ48" s="27">
        <f t="shared" si="110"/>
        <v>0</v>
      </c>
      <c r="CK48" s="27">
        <f t="shared" si="111"/>
        <v>0.05</v>
      </c>
      <c r="CL48" s="27">
        <f t="shared" si="112"/>
        <v>0.111</v>
      </c>
      <c r="CM48" s="27">
        <f t="shared" si="113"/>
        <v>8.2000000000000003E-2</v>
      </c>
      <c r="CN48" s="27">
        <f t="shared" si="114"/>
        <v>0.29199999999999998</v>
      </c>
      <c r="CO48" s="27">
        <f t="shared" si="115"/>
        <v>0.32400000000000001</v>
      </c>
      <c r="CP48" s="27">
        <f t="shared" si="116"/>
        <v>0.29699999999999999</v>
      </c>
      <c r="CQ48" s="27">
        <f t="shared" si="117"/>
        <v>0.29899999999999999</v>
      </c>
      <c r="CR48" s="27">
        <f t="shared" si="118"/>
        <v>0.316</v>
      </c>
      <c r="CS48" s="27">
        <f t="shared" si="119"/>
        <v>0.28899999999999998</v>
      </c>
      <c r="CT48" s="27">
        <f t="shared" si="120"/>
        <v>0.252</v>
      </c>
      <c r="CU48" s="27">
        <f t="shared" si="121"/>
        <v>0.307</v>
      </c>
      <c r="CV48" s="27">
        <f t="shared" si="122"/>
        <v>0.30599999999999999</v>
      </c>
      <c r="CW48" s="27">
        <f t="shared" si="123"/>
        <v>0.35499999999999998</v>
      </c>
      <c r="CX48" s="27">
        <f t="shared" si="124"/>
        <v>0.373</v>
      </c>
      <c r="CY48" s="27">
        <f t="shared" si="125"/>
        <v>0</v>
      </c>
      <c r="CZ48" s="27">
        <f t="shared" si="126"/>
        <v>0.439</v>
      </c>
      <c r="DA48" s="27">
        <f t="shared" si="127"/>
        <v>0.41</v>
      </c>
      <c r="DB48" s="27">
        <f t="shared" si="128"/>
        <v>0.39900000000000002</v>
      </c>
      <c r="DC48" s="27">
        <f t="shared" si="129"/>
        <v>0.37148999999999999</v>
      </c>
      <c r="DD48" s="27">
        <f t="shared" si="130"/>
        <v>0.35299999999999998</v>
      </c>
      <c r="DE48" s="27">
        <f t="shared" si="131"/>
        <v>0.58799999999999997</v>
      </c>
      <c r="DF48" s="27">
        <f t="shared" si="132"/>
        <v>0.73199999999999998</v>
      </c>
      <c r="DG48" s="27">
        <f t="shared" si="133"/>
        <v>0.92600000000000005</v>
      </c>
      <c r="DH48" s="27">
        <f t="shared" si="135"/>
        <v>3.0049999999999999</v>
      </c>
      <c r="DI48" s="27">
        <f t="shared" si="136"/>
        <v>4.016</v>
      </c>
      <c r="DJ48" s="27">
        <f t="shared" si="137"/>
        <v>7.1020000000000003</v>
      </c>
      <c r="DK48" s="27">
        <f t="shared" si="138"/>
        <v>8.4450000000000003</v>
      </c>
      <c r="DL48" s="27">
        <f t="shared" si="139"/>
        <v>8.7439999999999998</v>
      </c>
      <c r="DM48" s="27">
        <f t="shared" si="140"/>
        <v>9.2203759999999999</v>
      </c>
      <c r="DN48" s="27">
        <f t="shared" si="141"/>
        <v>9.3311010000000003</v>
      </c>
      <c r="EO48" s="22"/>
      <c r="EP48" s="22"/>
      <c r="EQ48" s="22"/>
      <c r="ER48" s="22"/>
      <c r="ES48" s="22"/>
    </row>
    <row r="49" spans="1:149">
      <c r="A49" s="23" t="s">
        <v>78</v>
      </c>
      <c r="B49" s="30">
        <v>5.25</v>
      </c>
      <c r="C49" s="30">
        <v>10.093999999999999</v>
      </c>
      <c r="D49" s="30">
        <v>12.221</v>
      </c>
      <c r="E49" s="30">
        <v>18.739000000000001</v>
      </c>
      <c r="F49" s="30">
        <v>20.638000000000002</v>
      </c>
      <c r="G49" s="30">
        <v>21.048999999999999</v>
      </c>
      <c r="H49" s="30">
        <v>25.605</v>
      </c>
      <c r="I49" s="30">
        <v>26.83</v>
      </c>
      <c r="J49" s="30">
        <v>24.227</v>
      </c>
      <c r="K49" s="30">
        <v>27.68</v>
      </c>
      <c r="L49" s="30">
        <v>28.927</v>
      </c>
      <c r="M49" s="30">
        <v>32.906999999999996</v>
      </c>
      <c r="N49" s="30">
        <v>34.914000000000001</v>
      </c>
      <c r="O49" s="30">
        <v>41.881999999999998</v>
      </c>
      <c r="P49" s="30">
        <v>46.401000000000003</v>
      </c>
      <c r="Q49" s="30">
        <v>51.524000000000001</v>
      </c>
      <c r="R49" s="30">
        <v>68.512</v>
      </c>
      <c r="S49" s="30">
        <v>75.260999999999996</v>
      </c>
      <c r="T49" s="30">
        <v>81.775000000000006</v>
      </c>
      <c r="U49" s="30">
        <v>65.433000000000007</v>
      </c>
      <c r="V49" s="30">
        <v>56.011000000000003</v>
      </c>
      <c r="W49" s="30">
        <v>79.185000000000002</v>
      </c>
      <c r="X49" s="30">
        <v>61.859642000000001</v>
      </c>
      <c r="Y49" s="30">
        <v>78.034000000000006</v>
      </c>
      <c r="Z49" s="30">
        <v>62.845999999999997</v>
      </c>
      <c r="AA49" s="30">
        <v>59.012999999999998</v>
      </c>
      <c r="AB49" s="30">
        <v>31.879000000000001</v>
      </c>
      <c r="AC49" s="30">
        <v>35.731999999999999</v>
      </c>
      <c r="AD49" s="30">
        <v>33.859000000000002</v>
      </c>
      <c r="AE49" s="30">
        <v>35.35</v>
      </c>
      <c r="AF49" s="30">
        <v>38.537999999999997</v>
      </c>
      <c r="AG49" s="30">
        <v>37.761000000000003</v>
      </c>
      <c r="AH49" s="30">
        <v>37.477034000000003</v>
      </c>
      <c r="AI49" s="30">
        <v>37.252712000000002</v>
      </c>
      <c r="AJ49" s="31" t="s">
        <v>37</v>
      </c>
      <c r="AK49" s="30">
        <v>0.2</v>
      </c>
      <c r="AL49" s="30" t="s">
        <v>45</v>
      </c>
      <c r="AM49" s="30">
        <v>0.108</v>
      </c>
      <c r="AN49" s="30">
        <v>0.20300000000000001</v>
      </c>
      <c r="AO49" s="30">
        <v>0.41299999999999998</v>
      </c>
      <c r="AP49" s="30">
        <v>0.378</v>
      </c>
      <c r="AQ49" s="30">
        <v>0.441</v>
      </c>
      <c r="AR49" s="30">
        <v>0.441</v>
      </c>
      <c r="AS49" s="30">
        <v>0.45100000000000001</v>
      </c>
      <c r="AT49" s="30">
        <v>0.42399999999999999</v>
      </c>
      <c r="AU49" s="30">
        <v>0.38300000000000001</v>
      </c>
      <c r="AV49" s="30">
        <v>0.39600000000000002</v>
      </c>
      <c r="AW49" s="30">
        <v>0.36899999999999999</v>
      </c>
      <c r="AX49" s="30">
        <v>0.33200000000000002</v>
      </c>
      <c r="AY49" s="30">
        <v>0.29599999999999999</v>
      </c>
      <c r="AZ49" s="30">
        <v>0.3034</v>
      </c>
      <c r="BA49" s="30">
        <v>0.309</v>
      </c>
      <c r="BB49" s="30">
        <v>0.32500000000000001</v>
      </c>
      <c r="BC49" s="30">
        <v>0.31900000000000001</v>
      </c>
      <c r="BD49" s="30">
        <v>0.315</v>
      </c>
      <c r="BE49" s="30">
        <v>0.307</v>
      </c>
      <c r="BF49" s="24">
        <f>((BG49-BE49)/2)+BE49</f>
        <v>0.32650000000000001</v>
      </c>
      <c r="BG49" s="30">
        <v>0.34599999999999997</v>
      </c>
      <c r="BH49" s="30">
        <v>0.32300000000000001</v>
      </c>
      <c r="BI49" s="30">
        <v>0.312</v>
      </c>
      <c r="BJ49" s="30">
        <v>0.11899999999999999</v>
      </c>
      <c r="BK49" s="30" t="s">
        <v>45</v>
      </c>
      <c r="BL49" s="30" t="s">
        <v>45</v>
      </c>
      <c r="BM49" s="30">
        <v>1E-3</v>
      </c>
      <c r="BN49" s="30" t="s">
        <v>45</v>
      </c>
      <c r="BO49" s="30" t="s">
        <v>45</v>
      </c>
      <c r="BP49" s="30" t="s">
        <v>45</v>
      </c>
      <c r="BQ49" s="30" t="s">
        <v>45</v>
      </c>
      <c r="BR49" s="31">
        <v>12.4</v>
      </c>
      <c r="BS49" s="30" t="s">
        <v>37</v>
      </c>
      <c r="BT49" s="30" t="s">
        <v>37</v>
      </c>
      <c r="BU49" s="30" t="s">
        <v>37</v>
      </c>
      <c r="BV49" s="30" t="s">
        <v>37</v>
      </c>
      <c r="BW49" s="30" t="s">
        <v>37</v>
      </c>
      <c r="BX49" s="30" t="s">
        <v>37</v>
      </c>
      <c r="BY49" s="30" t="s">
        <v>45</v>
      </c>
      <c r="BZ49" s="30" t="s">
        <v>45</v>
      </c>
      <c r="CA49" s="30" t="s">
        <v>45</v>
      </c>
      <c r="CB49" s="30" t="s">
        <v>45</v>
      </c>
      <c r="CC49" s="30" t="s">
        <v>45</v>
      </c>
      <c r="CD49" s="30" t="s">
        <v>45</v>
      </c>
      <c r="CE49" s="30" t="s">
        <v>45</v>
      </c>
      <c r="CF49" s="30" t="s">
        <v>45</v>
      </c>
      <c r="CG49" s="26">
        <f t="shared" si="107"/>
        <v>5.25</v>
      </c>
      <c r="CH49" s="27">
        <f t="shared" si="108"/>
        <v>10.293999999999999</v>
      </c>
      <c r="CI49" s="27">
        <f t="shared" si="109"/>
        <v>12.221</v>
      </c>
      <c r="CJ49" s="27">
        <f t="shared" si="110"/>
        <v>18.847000000000001</v>
      </c>
      <c r="CK49" s="27">
        <f t="shared" si="111"/>
        <v>20.841000000000001</v>
      </c>
      <c r="CL49" s="27">
        <f t="shared" si="112"/>
        <v>21.462</v>
      </c>
      <c r="CM49" s="27">
        <f t="shared" si="113"/>
        <v>25.983000000000001</v>
      </c>
      <c r="CN49" s="27">
        <f t="shared" si="114"/>
        <v>27.270999999999997</v>
      </c>
      <c r="CO49" s="27">
        <f t="shared" si="115"/>
        <v>24.667999999999999</v>
      </c>
      <c r="CP49" s="27">
        <f t="shared" si="116"/>
        <v>28.131</v>
      </c>
      <c r="CQ49" s="27">
        <f t="shared" si="117"/>
        <v>29.350999999999999</v>
      </c>
      <c r="CR49" s="27">
        <f t="shared" si="118"/>
        <v>33.29</v>
      </c>
      <c r="CS49" s="27">
        <f t="shared" si="119"/>
        <v>35.31</v>
      </c>
      <c r="CT49" s="27">
        <f t="shared" si="120"/>
        <v>42.250999999999998</v>
      </c>
      <c r="CU49" s="27">
        <f t="shared" si="121"/>
        <v>46.733000000000004</v>
      </c>
      <c r="CV49" s="27">
        <f t="shared" si="122"/>
        <v>51.82</v>
      </c>
      <c r="CW49" s="27">
        <f t="shared" si="123"/>
        <v>68.815399999999997</v>
      </c>
      <c r="CX49" s="27">
        <f t="shared" si="124"/>
        <v>75.569999999999993</v>
      </c>
      <c r="CY49" s="27">
        <f t="shared" si="125"/>
        <v>82.100000000000009</v>
      </c>
      <c r="CZ49" s="27">
        <f t="shared" si="126"/>
        <v>78.152000000000015</v>
      </c>
      <c r="DA49" s="27">
        <f t="shared" si="127"/>
        <v>56.326000000000001</v>
      </c>
      <c r="DB49" s="27">
        <f t="shared" si="128"/>
        <v>79.492000000000004</v>
      </c>
      <c r="DC49" s="27">
        <f t="shared" si="129"/>
        <v>62.186142000000004</v>
      </c>
      <c r="DD49" s="27">
        <f t="shared" si="130"/>
        <v>78.38000000000001</v>
      </c>
      <c r="DE49" s="27">
        <f t="shared" si="131"/>
        <v>63.168999999999997</v>
      </c>
      <c r="DF49" s="27">
        <f t="shared" si="132"/>
        <v>59.324999999999996</v>
      </c>
      <c r="DG49" s="27">
        <f t="shared" si="133"/>
        <v>31.998000000000001</v>
      </c>
      <c r="DH49" s="27">
        <f t="shared" si="135"/>
        <v>35.731999999999999</v>
      </c>
      <c r="DI49" s="27">
        <f t="shared" si="136"/>
        <v>33.859000000000002</v>
      </c>
      <c r="DJ49" s="27">
        <f t="shared" si="137"/>
        <v>35.350999999999999</v>
      </c>
      <c r="DK49" s="27">
        <f t="shared" si="138"/>
        <v>38.537999999999997</v>
      </c>
      <c r="DL49" s="27">
        <f t="shared" si="139"/>
        <v>37.761000000000003</v>
      </c>
      <c r="DM49" s="27">
        <f t="shared" si="140"/>
        <v>37.477034000000003</v>
      </c>
      <c r="DN49" s="27">
        <f t="shared" si="141"/>
        <v>37.252712000000002</v>
      </c>
      <c r="EO49" s="22"/>
      <c r="EP49" s="22"/>
      <c r="EQ49" s="22"/>
      <c r="ER49" s="22"/>
      <c r="ES49" s="22"/>
    </row>
    <row r="50" spans="1:149">
      <c r="A50" s="23" t="s">
        <v>79</v>
      </c>
      <c r="B50" s="30" t="s">
        <v>37</v>
      </c>
      <c r="C50" s="30" t="s">
        <v>37</v>
      </c>
      <c r="D50" s="30">
        <v>3.5000000000000003E-2</v>
      </c>
      <c r="E50" s="30">
        <v>5.7000000000000002E-2</v>
      </c>
      <c r="F50" s="30">
        <v>0.09</v>
      </c>
      <c r="G50" s="30">
        <v>0.09</v>
      </c>
      <c r="H50" s="30">
        <v>0.09</v>
      </c>
      <c r="I50" s="30">
        <v>0.09</v>
      </c>
      <c r="J50" s="30">
        <v>0.09</v>
      </c>
      <c r="K50" s="30">
        <v>0.09</v>
      </c>
      <c r="L50" s="30">
        <v>7.1999999999999995E-2</v>
      </c>
      <c r="M50" s="30">
        <v>7.1999999999999995E-2</v>
      </c>
      <c r="N50" s="30" t="s">
        <v>37</v>
      </c>
      <c r="O50" s="30" t="s">
        <v>37</v>
      </c>
      <c r="P50" s="30" t="s">
        <v>37</v>
      </c>
      <c r="Q50" s="30" t="s">
        <v>37</v>
      </c>
      <c r="R50" s="30" t="s">
        <v>37</v>
      </c>
      <c r="S50" s="30" t="s">
        <v>37</v>
      </c>
      <c r="T50" s="30" t="s">
        <v>37</v>
      </c>
      <c r="U50" s="30" t="s">
        <v>37</v>
      </c>
      <c r="V50" s="30" t="s">
        <v>37</v>
      </c>
      <c r="W50" s="30" t="s">
        <v>37</v>
      </c>
      <c r="X50" s="30">
        <v>3.3673510000000002</v>
      </c>
      <c r="Y50" s="30">
        <v>2.14</v>
      </c>
      <c r="Z50" s="30">
        <v>2.4159999999999999</v>
      </c>
      <c r="AA50" s="30">
        <v>3.55</v>
      </c>
      <c r="AB50" s="30">
        <v>3.7679999999999998</v>
      </c>
      <c r="AC50" s="30">
        <v>4.0110000000000001</v>
      </c>
      <c r="AD50" s="30">
        <v>4.1040000000000001</v>
      </c>
      <c r="AE50" s="30">
        <v>4.3360000000000003</v>
      </c>
      <c r="AF50" s="30">
        <v>4.508</v>
      </c>
      <c r="AG50" s="30">
        <v>4.6740000000000004</v>
      </c>
      <c r="AH50" s="30">
        <v>4.9318340000000003</v>
      </c>
      <c r="AI50" s="30">
        <v>5.3370499999999996</v>
      </c>
      <c r="AJ50" s="31" t="s">
        <v>37</v>
      </c>
      <c r="AK50" s="30" t="s">
        <v>37</v>
      </c>
      <c r="AL50" s="30" t="s">
        <v>37</v>
      </c>
      <c r="AM50" s="30" t="s">
        <v>37</v>
      </c>
      <c r="AN50" s="30" t="s">
        <v>37</v>
      </c>
      <c r="AO50" s="30" t="s">
        <v>37</v>
      </c>
      <c r="AP50" s="30" t="s">
        <v>37</v>
      </c>
      <c r="AQ50" s="30" t="s">
        <v>37</v>
      </c>
      <c r="AR50" s="30" t="s">
        <v>37</v>
      </c>
      <c r="AS50" s="30" t="s">
        <v>37</v>
      </c>
      <c r="AT50" s="30" t="s">
        <v>37</v>
      </c>
      <c r="AU50" s="30" t="s">
        <v>37</v>
      </c>
      <c r="AV50" s="30" t="s">
        <v>37</v>
      </c>
      <c r="AW50" s="30" t="s">
        <v>37</v>
      </c>
      <c r="AX50" s="30" t="s">
        <v>37</v>
      </c>
      <c r="AY50" s="30" t="s">
        <v>37</v>
      </c>
      <c r="AZ50" s="30" t="s">
        <v>37</v>
      </c>
      <c r="BA50" s="30" t="s">
        <v>37</v>
      </c>
      <c r="BB50" s="30" t="s">
        <v>37</v>
      </c>
      <c r="BC50" s="30" t="s">
        <v>37</v>
      </c>
      <c r="BD50" s="30" t="s">
        <v>37</v>
      </c>
      <c r="BE50" s="30" t="s">
        <v>37</v>
      </c>
      <c r="BF50" s="30" t="s">
        <v>37</v>
      </c>
      <c r="BG50" s="30" t="s">
        <v>37</v>
      </c>
      <c r="BH50" s="30" t="s">
        <v>37</v>
      </c>
      <c r="BI50" s="30" t="s">
        <v>37</v>
      </c>
      <c r="BJ50" s="30" t="s">
        <v>45</v>
      </c>
      <c r="BK50" s="30" t="s">
        <v>45</v>
      </c>
      <c r="BL50" s="30" t="s">
        <v>45</v>
      </c>
      <c r="BM50" s="30" t="s">
        <v>45</v>
      </c>
      <c r="BN50" s="30" t="s">
        <v>45</v>
      </c>
      <c r="BO50" s="30" t="s">
        <v>45</v>
      </c>
      <c r="BP50" s="30" t="s">
        <v>45</v>
      </c>
      <c r="BQ50" s="30" t="s">
        <v>45</v>
      </c>
      <c r="BR50" s="31" t="s">
        <v>37</v>
      </c>
      <c r="BS50" s="30" t="s">
        <v>37</v>
      </c>
      <c r="BT50" s="30" t="s">
        <v>37</v>
      </c>
      <c r="BU50" s="30" t="s">
        <v>37</v>
      </c>
      <c r="BV50" s="30" t="s">
        <v>37</v>
      </c>
      <c r="BW50" s="30" t="s">
        <v>37</v>
      </c>
      <c r="BX50" s="30" t="s">
        <v>37</v>
      </c>
      <c r="BY50" s="30" t="s">
        <v>45</v>
      </c>
      <c r="BZ50" s="30" t="s">
        <v>45</v>
      </c>
      <c r="CA50" s="30" t="s">
        <v>45</v>
      </c>
      <c r="CB50" s="30" t="s">
        <v>45</v>
      </c>
      <c r="CC50" s="30" t="s">
        <v>45</v>
      </c>
      <c r="CD50" s="30" t="s">
        <v>45</v>
      </c>
      <c r="CE50" s="30" t="s">
        <v>45</v>
      </c>
      <c r="CF50" s="30" t="s">
        <v>45</v>
      </c>
      <c r="CG50" s="26">
        <f t="shared" si="107"/>
        <v>0</v>
      </c>
      <c r="CH50" s="27">
        <f t="shared" si="108"/>
        <v>0</v>
      </c>
      <c r="CI50" s="27">
        <f t="shared" si="109"/>
        <v>3.5000000000000003E-2</v>
      </c>
      <c r="CJ50" s="27">
        <f t="shared" si="110"/>
        <v>5.7000000000000002E-2</v>
      </c>
      <c r="CK50" s="27">
        <f t="shared" si="111"/>
        <v>0.09</v>
      </c>
      <c r="CL50" s="27">
        <f t="shared" si="112"/>
        <v>0.09</v>
      </c>
      <c r="CM50" s="27">
        <f t="shared" si="113"/>
        <v>0.09</v>
      </c>
      <c r="CN50" s="27">
        <f t="shared" si="114"/>
        <v>0.09</v>
      </c>
      <c r="CO50" s="27">
        <f t="shared" si="115"/>
        <v>0.09</v>
      </c>
      <c r="CP50" s="27">
        <f t="shared" si="116"/>
        <v>0.09</v>
      </c>
      <c r="CQ50" s="27">
        <f t="shared" si="117"/>
        <v>7.1999999999999995E-2</v>
      </c>
      <c r="CR50" s="27">
        <f t="shared" si="118"/>
        <v>7.1999999999999995E-2</v>
      </c>
      <c r="CS50" s="27">
        <f t="shared" si="119"/>
        <v>0</v>
      </c>
      <c r="CT50" s="27">
        <f t="shared" si="120"/>
        <v>0</v>
      </c>
      <c r="CU50" s="27">
        <f t="shared" si="121"/>
        <v>0</v>
      </c>
      <c r="CV50" s="27">
        <f t="shared" si="122"/>
        <v>0</v>
      </c>
      <c r="CW50" s="27">
        <f t="shared" si="123"/>
        <v>0</v>
      </c>
      <c r="CX50" s="27">
        <f t="shared" si="124"/>
        <v>0</v>
      </c>
      <c r="CY50" s="27">
        <f t="shared" si="125"/>
        <v>0</v>
      </c>
      <c r="CZ50" s="27">
        <f t="shared" si="126"/>
        <v>0</v>
      </c>
      <c r="DA50" s="27">
        <f t="shared" si="127"/>
        <v>0</v>
      </c>
      <c r="DB50" s="27">
        <f t="shared" si="128"/>
        <v>0</v>
      </c>
      <c r="DC50" s="27">
        <f t="shared" si="129"/>
        <v>3.3673510000000002</v>
      </c>
      <c r="DD50" s="27">
        <f t="shared" si="130"/>
        <v>2.14</v>
      </c>
      <c r="DE50" s="27">
        <f t="shared" si="131"/>
        <v>2.4159999999999999</v>
      </c>
      <c r="DF50" s="27">
        <f t="shared" si="132"/>
        <v>3.55</v>
      </c>
      <c r="DG50" s="27">
        <f t="shared" si="133"/>
        <v>3.7679999999999998</v>
      </c>
      <c r="DH50" s="27">
        <f t="shared" si="135"/>
        <v>4.0110000000000001</v>
      </c>
      <c r="DI50" s="27">
        <f t="shared" si="136"/>
        <v>4.1040000000000001</v>
      </c>
      <c r="DJ50" s="27">
        <f t="shared" si="137"/>
        <v>4.3360000000000003</v>
      </c>
      <c r="DK50" s="27">
        <f t="shared" si="138"/>
        <v>4.508</v>
      </c>
      <c r="DL50" s="27">
        <f t="shared" si="139"/>
        <v>4.6740000000000004</v>
      </c>
      <c r="DM50" s="27">
        <f t="shared" si="140"/>
        <v>4.9318340000000003</v>
      </c>
      <c r="DN50" s="27">
        <f t="shared" si="141"/>
        <v>5.3370499999999996</v>
      </c>
      <c r="EO50" s="22"/>
      <c r="EP50" s="22"/>
      <c r="EQ50" s="22"/>
      <c r="ER50" s="22"/>
      <c r="ES50" s="22"/>
    </row>
    <row r="51" spans="1:149">
      <c r="A51" s="32" t="s">
        <v>80</v>
      </c>
      <c r="B51" s="33" t="s">
        <v>37</v>
      </c>
      <c r="C51" s="33" t="s">
        <v>37</v>
      </c>
      <c r="D51" s="33" t="s">
        <v>37</v>
      </c>
      <c r="E51" s="33" t="s">
        <v>37</v>
      </c>
      <c r="F51" s="33" t="s">
        <v>37</v>
      </c>
      <c r="G51" s="33" t="s">
        <v>37</v>
      </c>
      <c r="H51" s="33" t="s">
        <v>37</v>
      </c>
      <c r="I51" s="33">
        <v>0.7</v>
      </c>
      <c r="J51" s="33">
        <v>1.1830000000000001</v>
      </c>
      <c r="K51" s="33">
        <v>1.712</v>
      </c>
      <c r="L51" s="33">
        <v>2.4470000000000001</v>
      </c>
      <c r="M51" s="33">
        <v>2.8435000000000001</v>
      </c>
      <c r="N51" s="33">
        <v>3.0579999999999998</v>
      </c>
      <c r="O51" s="33">
        <v>3.16</v>
      </c>
      <c r="P51" s="33">
        <v>3.17</v>
      </c>
      <c r="Q51" s="33">
        <v>3.13</v>
      </c>
      <c r="R51" s="33">
        <v>2.847</v>
      </c>
      <c r="S51" s="33">
        <v>5.7889999999999997</v>
      </c>
      <c r="T51" s="33">
        <v>6.0430000000000001</v>
      </c>
      <c r="U51" s="33">
        <v>3.0880000000000001</v>
      </c>
      <c r="V51" s="33">
        <v>3.145</v>
      </c>
      <c r="W51" s="33">
        <v>3.177</v>
      </c>
      <c r="X51" s="33">
        <v>3.1554609999999998</v>
      </c>
      <c r="Y51" s="33">
        <v>3.1669999999999998</v>
      </c>
      <c r="Z51" s="33">
        <v>3.17</v>
      </c>
      <c r="AA51" s="33">
        <v>3.1230000000000002</v>
      </c>
      <c r="AB51" s="33">
        <v>3.1259999999999999</v>
      </c>
      <c r="AC51" s="33">
        <v>3.1059999999999999</v>
      </c>
      <c r="AD51" s="33">
        <v>3.0680000000000001</v>
      </c>
      <c r="AE51" s="33">
        <v>2.9929999999999999</v>
      </c>
      <c r="AF51" s="33">
        <v>2.9849999999999999</v>
      </c>
      <c r="AG51" s="33">
        <v>2.9390000000000001</v>
      </c>
      <c r="AH51" s="33">
        <v>2.8995280000000001</v>
      </c>
      <c r="AI51" s="33">
        <v>3.6636310000000001</v>
      </c>
      <c r="AJ51" s="34" t="s">
        <v>37</v>
      </c>
      <c r="AK51" s="33" t="s">
        <v>37</v>
      </c>
      <c r="AL51" s="33" t="s">
        <v>37</v>
      </c>
      <c r="AM51" s="33" t="s">
        <v>37</v>
      </c>
      <c r="AN51" s="33" t="s">
        <v>37</v>
      </c>
      <c r="AO51" s="33" t="s">
        <v>37</v>
      </c>
      <c r="AP51" s="33" t="s">
        <v>37</v>
      </c>
      <c r="AQ51" s="33" t="s">
        <v>37</v>
      </c>
      <c r="AR51" s="33" t="s">
        <v>37</v>
      </c>
      <c r="AS51" s="33" t="s">
        <v>37</v>
      </c>
      <c r="AT51" s="33" t="s">
        <v>37</v>
      </c>
      <c r="AU51" s="33">
        <v>8.4359999999999999</v>
      </c>
      <c r="AV51" s="33">
        <v>1.167</v>
      </c>
      <c r="AW51" s="33">
        <v>5.1775000000000002</v>
      </c>
      <c r="AX51" s="33">
        <v>5.2724000000000002</v>
      </c>
      <c r="AY51" s="33">
        <v>5.1624999999999996</v>
      </c>
      <c r="AZ51" s="33">
        <v>5.1984000000000004</v>
      </c>
      <c r="BA51" s="33">
        <v>5.133</v>
      </c>
      <c r="BB51" s="33">
        <v>5.2080000000000002</v>
      </c>
      <c r="BC51" s="33">
        <v>3.3719999999999999</v>
      </c>
      <c r="BD51" s="33" t="s">
        <v>37</v>
      </c>
      <c r="BE51" s="33" t="s">
        <v>37</v>
      </c>
      <c r="BF51" s="33" t="s">
        <v>37</v>
      </c>
      <c r="BG51" s="33" t="s">
        <v>37</v>
      </c>
      <c r="BH51" s="33" t="s">
        <v>37</v>
      </c>
      <c r="BI51" s="33" t="s">
        <v>37</v>
      </c>
      <c r="BJ51" s="33" t="s">
        <v>45</v>
      </c>
      <c r="BK51" s="33" t="s">
        <v>45</v>
      </c>
      <c r="BL51" s="33" t="s">
        <v>45</v>
      </c>
      <c r="BM51" s="33" t="s">
        <v>45</v>
      </c>
      <c r="BN51" s="33" t="s">
        <v>45</v>
      </c>
      <c r="BO51" s="264" t="s">
        <v>45</v>
      </c>
      <c r="BP51" s="33" t="s">
        <v>45</v>
      </c>
      <c r="BQ51" s="33" t="s">
        <v>45</v>
      </c>
      <c r="BR51" s="34" t="s">
        <v>37</v>
      </c>
      <c r="BS51" s="33" t="s">
        <v>37</v>
      </c>
      <c r="BT51" s="33" t="s">
        <v>37</v>
      </c>
      <c r="BU51" s="33" t="s">
        <v>37</v>
      </c>
      <c r="BV51" s="33" t="s">
        <v>37</v>
      </c>
      <c r="BW51" s="33" t="s">
        <v>37</v>
      </c>
      <c r="BX51" s="33" t="s">
        <v>37</v>
      </c>
      <c r="BY51" s="33" t="s">
        <v>45</v>
      </c>
      <c r="BZ51" s="33" t="s">
        <v>45</v>
      </c>
      <c r="CA51" s="33" t="s">
        <v>45</v>
      </c>
      <c r="CB51" s="33" t="s">
        <v>45</v>
      </c>
      <c r="CC51" s="33" t="s">
        <v>45</v>
      </c>
      <c r="CD51" s="264" t="s">
        <v>45</v>
      </c>
      <c r="CE51" s="33" t="s">
        <v>45</v>
      </c>
      <c r="CF51" s="33" t="s">
        <v>45</v>
      </c>
      <c r="CG51" s="35">
        <f t="shared" si="107"/>
        <v>0</v>
      </c>
      <c r="CH51" s="36">
        <f t="shared" si="108"/>
        <v>0</v>
      </c>
      <c r="CI51" s="36">
        <f t="shared" si="109"/>
        <v>0</v>
      </c>
      <c r="CJ51" s="36">
        <f t="shared" si="110"/>
        <v>0</v>
      </c>
      <c r="CK51" s="36">
        <f t="shared" si="111"/>
        <v>0</v>
      </c>
      <c r="CL51" s="36">
        <f t="shared" si="112"/>
        <v>0</v>
      </c>
      <c r="CM51" s="36">
        <f t="shared" si="113"/>
        <v>0</v>
      </c>
      <c r="CN51" s="36">
        <f t="shared" si="114"/>
        <v>0.7</v>
      </c>
      <c r="CO51" s="36">
        <f t="shared" si="115"/>
        <v>1.1830000000000001</v>
      </c>
      <c r="CP51" s="36">
        <f t="shared" si="116"/>
        <v>1.712</v>
      </c>
      <c r="CQ51" s="36">
        <f t="shared" si="117"/>
        <v>2.4470000000000001</v>
      </c>
      <c r="CR51" s="36">
        <f t="shared" si="118"/>
        <v>11.279500000000001</v>
      </c>
      <c r="CS51" s="36">
        <f t="shared" si="119"/>
        <v>4.2249999999999996</v>
      </c>
      <c r="CT51" s="36">
        <f t="shared" si="120"/>
        <v>8.3375000000000004</v>
      </c>
      <c r="CU51" s="36">
        <f t="shared" si="121"/>
        <v>8.4423999999999992</v>
      </c>
      <c r="CV51" s="36">
        <f t="shared" si="122"/>
        <v>8.2925000000000004</v>
      </c>
      <c r="CW51" s="36">
        <f t="shared" si="123"/>
        <v>8.0454000000000008</v>
      </c>
      <c r="CX51" s="36">
        <f t="shared" si="124"/>
        <v>10.922000000000001</v>
      </c>
      <c r="CY51" s="36">
        <f t="shared" si="125"/>
        <v>11.251000000000001</v>
      </c>
      <c r="CZ51" s="36">
        <f t="shared" si="126"/>
        <v>6.46</v>
      </c>
      <c r="DA51" s="36">
        <f t="shared" si="127"/>
        <v>3.145</v>
      </c>
      <c r="DB51" s="36">
        <f t="shared" si="128"/>
        <v>3.177</v>
      </c>
      <c r="DC51" s="36">
        <f t="shared" si="129"/>
        <v>3.1554609999999998</v>
      </c>
      <c r="DD51" s="36">
        <f t="shared" si="130"/>
        <v>3.1669999999999998</v>
      </c>
      <c r="DE51" s="36">
        <f t="shared" si="131"/>
        <v>3.17</v>
      </c>
      <c r="DF51" s="36">
        <f t="shared" si="132"/>
        <v>3.1230000000000002</v>
      </c>
      <c r="DG51" s="36">
        <f t="shared" si="133"/>
        <v>3.1259999999999999</v>
      </c>
      <c r="DH51" s="36">
        <f t="shared" si="135"/>
        <v>3.1059999999999999</v>
      </c>
      <c r="DI51" s="36">
        <f t="shared" si="136"/>
        <v>3.0680000000000001</v>
      </c>
      <c r="DJ51" s="36">
        <f t="shared" si="137"/>
        <v>2.9929999999999999</v>
      </c>
      <c r="DK51" s="36">
        <f t="shared" si="138"/>
        <v>2.9849999999999999</v>
      </c>
      <c r="DL51" s="36">
        <f t="shared" si="139"/>
        <v>2.9390000000000001</v>
      </c>
      <c r="DM51" s="36">
        <f t="shared" si="140"/>
        <v>2.8995280000000001</v>
      </c>
      <c r="DN51" s="36">
        <f t="shared" si="141"/>
        <v>3.6636310000000001</v>
      </c>
      <c r="EO51" s="22"/>
      <c r="EP51" s="22"/>
      <c r="EQ51" s="22"/>
      <c r="ER51" s="22"/>
      <c r="ES51" s="22"/>
    </row>
    <row r="52" spans="1:149">
      <c r="A52" s="7" t="s">
        <v>81</v>
      </c>
      <c r="B52" s="37">
        <f>SUM(B54:B62)</f>
        <v>20.298000000000002</v>
      </c>
      <c r="C52" s="37">
        <f t="shared" ref="C52:CI52" si="142">SUM(C54:C62)</f>
        <v>23.669999999999998</v>
      </c>
      <c r="D52" s="37">
        <f t="shared" si="142"/>
        <v>28.446999999999996</v>
      </c>
      <c r="E52" s="37">
        <f t="shared" si="142"/>
        <v>29.872999999999998</v>
      </c>
      <c r="F52" s="37">
        <f t="shared" si="142"/>
        <v>32.851000000000006</v>
      </c>
      <c r="G52" s="37">
        <f t="shared" si="142"/>
        <v>30.626000000000001</v>
      </c>
      <c r="H52" s="37">
        <f t="shared" si="142"/>
        <v>32.739999999999995</v>
      </c>
      <c r="I52" s="37">
        <f t="shared" si="142"/>
        <v>30.638999999999999</v>
      </c>
      <c r="J52" s="37">
        <f t="shared" si="142"/>
        <v>17.095000000000002</v>
      </c>
      <c r="K52" s="37">
        <f t="shared" si="142"/>
        <v>17.033999999999999</v>
      </c>
      <c r="L52" s="37">
        <f t="shared" si="142"/>
        <v>13.769000000000002</v>
      </c>
      <c r="M52" s="37">
        <f t="shared" si="142"/>
        <v>17.792000000000002</v>
      </c>
      <c r="N52" s="37">
        <f t="shared" si="142"/>
        <v>13.7235</v>
      </c>
      <c r="O52" s="37">
        <f t="shared" si="142"/>
        <v>13.459</v>
      </c>
      <c r="P52" s="37">
        <f t="shared" si="142"/>
        <v>14.274999999999999</v>
      </c>
      <c r="Q52" s="37">
        <f t="shared" si="142"/>
        <v>25.300999999999998</v>
      </c>
      <c r="R52" s="37">
        <f t="shared" si="142"/>
        <v>32.744</v>
      </c>
      <c r="S52" s="37">
        <f t="shared" si="142"/>
        <v>40.698000000000008</v>
      </c>
      <c r="T52" s="37">
        <f t="shared" si="142"/>
        <v>52.593000000000004</v>
      </c>
      <c r="U52" s="37">
        <f t="shared" si="142"/>
        <v>56.767000000000003</v>
      </c>
      <c r="V52" s="37">
        <f t="shared" si="142"/>
        <v>46.36999999999999</v>
      </c>
      <c r="W52" s="37">
        <f t="shared" si="142"/>
        <v>49.766000000000005</v>
      </c>
      <c r="X52" s="37">
        <f t="shared" si="142"/>
        <v>53.621836000000002</v>
      </c>
      <c r="Y52" s="37">
        <f t="shared" si="142"/>
        <v>51.872996999999998</v>
      </c>
      <c r="Z52" s="37">
        <f t="shared" si="142"/>
        <v>50.548999999999999</v>
      </c>
      <c r="AA52" s="37">
        <f t="shared" si="142"/>
        <v>65.569000000000003</v>
      </c>
      <c r="AB52" s="37">
        <f t="shared" si="142"/>
        <v>61.190000000000005</v>
      </c>
      <c r="AC52" s="37">
        <f t="shared" si="142"/>
        <v>54.610000000000007</v>
      </c>
      <c r="AD52" s="37">
        <f t="shared" si="142"/>
        <v>52.32</v>
      </c>
      <c r="AE52" s="37">
        <f t="shared" si="142"/>
        <v>48.338999999999999</v>
      </c>
      <c r="AF52" s="37">
        <f t="shared" si="142"/>
        <v>44.168000000000006</v>
      </c>
      <c r="AG52" s="37">
        <f>SUM(AG54:AG62)</f>
        <v>46.5</v>
      </c>
      <c r="AH52" s="37">
        <f>SUM(AH54:AH62)</f>
        <v>51.484834999999997</v>
      </c>
      <c r="AI52" s="37">
        <f>SUM(AI54:AI62)</f>
        <v>53.908350000000006</v>
      </c>
      <c r="AJ52" s="38">
        <f t="shared" si="142"/>
        <v>2.1829999999999998</v>
      </c>
      <c r="AK52" s="37">
        <f t="shared" si="142"/>
        <v>3.2509999999999999</v>
      </c>
      <c r="AL52" s="37">
        <f t="shared" si="142"/>
        <v>4.0600000000000005</v>
      </c>
      <c r="AM52" s="37">
        <f t="shared" si="142"/>
        <v>5.3</v>
      </c>
      <c r="AN52" s="37">
        <f t="shared" si="142"/>
        <v>7.4049999999999994</v>
      </c>
      <c r="AO52" s="37">
        <f t="shared" si="142"/>
        <v>6.2590000000000003</v>
      </c>
      <c r="AP52" s="37">
        <f t="shared" si="142"/>
        <v>6.7679999999999998</v>
      </c>
      <c r="AQ52" s="37">
        <f t="shared" si="142"/>
        <v>7.2460000000000004</v>
      </c>
      <c r="AR52" s="37">
        <f t="shared" si="142"/>
        <v>4.718</v>
      </c>
      <c r="AS52" s="37">
        <f t="shared" si="142"/>
        <v>4.5809999999999995</v>
      </c>
      <c r="AT52" s="37">
        <f t="shared" si="142"/>
        <v>3.4130000000000003</v>
      </c>
      <c r="AU52" s="37">
        <f t="shared" si="142"/>
        <v>4.6040000000000001</v>
      </c>
      <c r="AV52" s="37">
        <f t="shared" si="142"/>
        <v>3.8730000000000002</v>
      </c>
      <c r="AW52" s="37">
        <f t="shared" si="142"/>
        <v>3.105</v>
      </c>
      <c r="AX52" s="37">
        <f t="shared" si="142"/>
        <v>2.8439999999999999</v>
      </c>
      <c r="AY52" s="37">
        <f t="shared" si="142"/>
        <v>2.5260000000000002</v>
      </c>
      <c r="AZ52" s="37">
        <f t="shared" si="142"/>
        <v>2.1616500000000003</v>
      </c>
      <c r="BA52" s="37">
        <f t="shared" si="142"/>
        <v>2.0924999999999998</v>
      </c>
      <c r="BB52" s="37">
        <f t="shared" si="142"/>
        <v>4.2462499999999999</v>
      </c>
      <c r="BC52" s="37">
        <f t="shared" si="142"/>
        <v>3.9015</v>
      </c>
      <c r="BD52" s="37">
        <f t="shared" si="142"/>
        <v>2.7970000000000002</v>
      </c>
      <c r="BE52" s="37">
        <f t="shared" si="142"/>
        <v>1.6509999999999998</v>
      </c>
      <c r="BF52" s="37">
        <f t="shared" si="142"/>
        <v>1.4419439999999999</v>
      </c>
      <c r="BG52" s="37">
        <f t="shared" si="142"/>
        <v>0.47699999999999998</v>
      </c>
      <c r="BH52" s="37">
        <f t="shared" si="142"/>
        <v>0.79499999999999993</v>
      </c>
      <c r="BI52" s="37">
        <f t="shared" si="142"/>
        <v>1.569</v>
      </c>
      <c r="BJ52" s="37">
        <f t="shared" si="142"/>
        <v>1.419</v>
      </c>
      <c r="BK52" s="37">
        <f t="shared" si="142"/>
        <v>1.7910000000000001</v>
      </c>
      <c r="BL52" s="37">
        <f t="shared" si="142"/>
        <v>1.53</v>
      </c>
      <c r="BM52" s="37">
        <f t="shared" si="142"/>
        <v>1.528</v>
      </c>
      <c r="BN52" s="37">
        <f t="shared" si="142"/>
        <v>0.24399999999999999</v>
      </c>
      <c r="BO52" s="37">
        <f t="shared" si="142"/>
        <v>8.8999999999999996E-2</v>
      </c>
      <c r="BP52" s="37">
        <f t="shared" ref="BP52:BQ52" si="143">SUM(BP54:BP62)</f>
        <v>0.190389</v>
      </c>
      <c r="BQ52" s="37">
        <f t="shared" si="143"/>
        <v>0.548786</v>
      </c>
      <c r="BR52" s="38">
        <f t="shared" si="142"/>
        <v>2.0199999999999996</v>
      </c>
      <c r="BS52" s="37">
        <f t="shared" si="142"/>
        <v>0.45999999999999996</v>
      </c>
      <c r="BT52" s="37">
        <f t="shared" si="142"/>
        <v>0.26540000000000002</v>
      </c>
      <c r="BU52" s="37">
        <f t="shared" si="142"/>
        <v>0.11830000000000002</v>
      </c>
      <c r="BV52" s="37">
        <f t="shared" si="142"/>
        <v>0.57699999999999996</v>
      </c>
      <c r="BW52" s="37">
        <f t="shared" si="142"/>
        <v>9.4E-2</v>
      </c>
      <c r="BX52" s="37">
        <f t="shared" si="142"/>
        <v>0</v>
      </c>
      <c r="BY52" s="37">
        <f t="shared" si="142"/>
        <v>0</v>
      </c>
      <c r="BZ52" s="37">
        <f t="shared" si="142"/>
        <v>0</v>
      </c>
      <c r="CA52" s="37">
        <f t="shared" si="142"/>
        <v>3.5999999999999997E-2</v>
      </c>
      <c r="CB52" s="37">
        <f t="shared" si="142"/>
        <v>4.8000000000000001E-2</v>
      </c>
      <c r="CC52" s="37">
        <f t="shared" si="142"/>
        <v>4.9000000000000002E-2</v>
      </c>
      <c r="CD52" s="37">
        <f t="shared" si="142"/>
        <v>5.6000000000000001E-2</v>
      </c>
      <c r="CE52" s="37">
        <f t="shared" ref="CE52:CF52" si="144">SUM(CE54:CE62)</f>
        <v>5.45E-2</v>
      </c>
      <c r="CF52" s="37">
        <f t="shared" si="144"/>
        <v>5.4793000000000001E-2</v>
      </c>
      <c r="CG52" s="39">
        <f t="shared" si="142"/>
        <v>22.481000000000002</v>
      </c>
      <c r="CH52" s="40">
        <f t="shared" si="142"/>
        <v>26.920999999999999</v>
      </c>
      <c r="CI52" s="40">
        <f t="shared" si="142"/>
        <v>32.506999999999998</v>
      </c>
      <c r="CJ52" s="40">
        <f t="shared" ref="CJ52:DG52" si="145">SUM(CJ54:CJ62)</f>
        <v>35.173000000000002</v>
      </c>
      <c r="CK52" s="40">
        <f t="shared" si="145"/>
        <v>40.256000000000007</v>
      </c>
      <c r="CL52" s="40">
        <f t="shared" si="145"/>
        <v>36.884999999999998</v>
      </c>
      <c r="CM52" s="40">
        <f t="shared" si="145"/>
        <v>39.507999999999996</v>
      </c>
      <c r="CN52" s="40">
        <f t="shared" si="145"/>
        <v>37.884999999999998</v>
      </c>
      <c r="CO52" s="40">
        <f t="shared" si="145"/>
        <v>21.813000000000002</v>
      </c>
      <c r="CP52" s="40">
        <f t="shared" si="145"/>
        <v>21.615000000000002</v>
      </c>
      <c r="CQ52" s="40">
        <f t="shared" si="145"/>
        <v>17.182000000000002</v>
      </c>
      <c r="CR52" s="40">
        <f t="shared" si="145"/>
        <v>22.395999999999997</v>
      </c>
      <c r="CS52" s="40">
        <f t="shared" si="145"/>
        <v>17.596500000000002</v>
      </c>
      <c r="CT52" s="40">
        <f t="shared" si="145"/>
        <v>16.564</v>
      </c>
      <c r="CU52" s="40">
        <f t="shared" si="145"/>
        <v>17.118999999999996</v>
      </c>
      <c r="CV52" s="40">
        <f t="shared" si="145"/>
        <v>27.827000000000002</v>
      </c>
      <c r="CW52" s="40">
        <f t="shared" si="145"/>
        <v>34.905649999999994</v>
      </c>
      <c r="CX52" s="40">
        <f t="shared" si="145"/>
        <v>42.790500000000002</v>
      </c>
      <c r="CY52" s="40">
        <f t="shared" si="145"/>
        <v>56.83925</v>
      </c>
      <c r="CZ52" s="40">
        <f t="shared" si="145"/>
        <v>62.688499999999991</v>
      </c>
      <c r="DA52" s="40">
        <f t="shared" si="145"/>
        <v>49.627000000000002</v>
      </c>
      <c r="DB52" s="40">
        <f t="shared" si="145"/>
        <v>51.682400000000001</v>
      </c>
      <c r="DC52" s="40">
        <f t="shared" si="145"/>
        <v>55.182080000000006</v>
      </c>
      <c r="DD52" s="40">
        <f t="shared" si="145"/>
        <v>52.926997</v>
      </c>
      <c r="DE52" s="40">
        <f t="shared" si="145"/>
        <v>51.438000000000002</v>
      </c>
      <c r="DF52" s="40">
        <f t="shared" si="145"/>
        <v>67.137999999999991</v>
      </c>
      <c r="DG52" s="40">
        <f t="shared" si="145"/>
        <v>62.609000000000002</v>
      </c>
      <c r="DH52" s="40">
        <f>SUM(DH54:DH62)</f>
        <v>56.401000000000003</v>
      </c>
      <c r="DI52" s="40">
        <f>SUM(DI54:DI62)</f>
        <v>53.886000000000003</v>
      </c>
      <c r="DJ52" s="40">
        <f t="shared" ref="DJ52:DK52" si="146">SUM(DJ54:DJ62)</f>
        <v>49.914999999999999</v>
      </c>
      <c r="DK52" s="40">
        <f t="shared" si="146"/>
        <v>44.461000000000006</v>
      </c>
      <c r="DL52" s="40">
        <f t="shared" ref="DL52:DM52" si="147">SUM(DL54:DL62)</f>
        <v>46.644999999999996</v>
      </c>
      <c r="DM52" s="40">
        <f t="shared" si="147"/>
        <v>51.729724000000004</v>
      </c>
      <c r="DN52" s="40">
        <f t="shared" ref="DN52" si="148">SUM(DN54:DN62)</f>
        <v>54.511929000000002</v>
      </c>
    </row>
    <row r="53" spans="1:149">
      <c r="A53" s="7" t="s">
        <v>35</v>
      </c>
      <c r="AJ53" s="28"/>
      <c r="BR53" s="28"/>
      <c r="CG53" s="29"/>
    </row>
    <row r="54" spans="1:149">
      <c r="A54" s="23" t="s">
        <v>82</v>
      </c>
      <c r="B54" s="30">
        <v>0.11</v>
      </c>
      <c r="C54" s="30" t="s">
        <v>45</v>
      </c>
      <c r="D54" s="30" t="s">
        <v>45</v>
      </c>
      <c r="E54" s="30" t="s">
        <v>45</v>
      </c>
      <c r="F54" s="30" t="s">
        <v>45</v>
      </c>
      <c r="G54" s="30" t="s">
        <v>45</v>
      </c>
      <c r="H54" s="30" t="s">
        <v>45</v>
      </c>
      <c r="I54" s="30" t="s">
        <v>45</v>
      </c>
      <c r="J54" s="30" t="s">
        <v>45</v>
      </c>
      <c r="K54" s="30" t="s">
        <v>45</v>
      </c>
      <c r="L54" s="30" t="s">
        <v>45</v>
      </c>
      <c r="M54" s="30">
        <v>0.215</v>
      </c>
      <c r="N54" s="30">
        <v>2E-3</v>
      </c>
      <c r="O54" s="30">
        <v>2E-3</v>
      </c>
      <c r="P54" s="30">
        <v>4.0000000000000001E-3</v>
      </c>
      <c r="Q54" s="30">
        <v>4.0000000000000001E-3</v>
      </c>
      <c r="R54" s="30">
        <v>0.4</v>
      </c>
      <c r="S54" s="30">
        <v>0.39900000000000002</v>
      </c>
      <c r="T54" s="30">
        <v>0.35499999999999998</v>
      </c>
      <c r="U54" s="24">
        <f>((V54-T54)/2)+T54</f>
        <v>0.34650000000000003</v>
      </c>
      <c r="V54" s="30">
        <v>0.33800000000000002</v>
      </c>
      <c r="W54" s="30">
        <v>0.34</v>
      </c>
      <c r="X54" s="30">
        <v>0.34250000000000003</v>
      </c>
      <c r="Y54" s="30">
        <v>1E-3</v>
      </c>
      <c r="Z54" s="30">
        <v>0.27800000000000002</v>
      </c>
      <c r="AA54" s="30">
        <v>0.28699999999999998</v>
      </c>
      <c r="AB54" s="30">
        <v>0.27600000000000002</v>
      </c>
      <c r="AC54" s="30">
        <v>0.27</v>
      </c>
      <c r="AD54" s="30">
        <v>0.31</v>
      </c>
      <c r="AE54" s="30">
        <v>0.33900000000000002</v>
      </c>
      <c r="AF54" s="30">
        <v>0.26800000000000002</v>
      </c>
      <c r="AG54" s="30">
        <v>0.29499999999999998</v>
      </c>
      <c r="AH54" s="30">
        <v>1.1382030000000001</v>
      </c>
      <c r="AI54" s="30">
        <v>0.21449099999999999</v>
      </c>
      <c r="AJ54" s="31" t="s">
        <v>37</v>
      </c>
      <c r="AK54" s="30">
        <v>0.1</v>
      </c>
      <c r="AL54" s="30">
        <v>0.1</v>
      </c>
      <c r="AM54" s="30">
        <v>0.2</v>
      </c>
      <c r="AN54" s="30">
        <v>0.2</v>
      </c>
      <c r="AO54" s="30">
        <v>0.2</v>
      </c>
      <c r="AP54" s="30">
        <v>0.2</v>
      </c>
      <c r="AQ54" s="30">
        <v>0.2</v>
      </c>
      <c r="AR54" s="30">
        <v>0.2</v>
      </c>
      <c r="AS54" s="30">
        <v>0.2</v>
      </c>
      <c r="AT54" s="30">
        <v>0.2</v>
      </c>
      <c r="AU54" s="30" t="s">
        <v>45</v>
      </c>
      <c r="AV54" s="30">
        <v>0.04</v>
      </c>
      <c r="AW54" s="30" t="s">
        <v>37</v>
      </c>
      <c r="AX54" s="30" t="s">
        <v>37</v>
      </c>
      <c r="AY54" s="30" t="s">
        <v>37</v>
      </c>
      <c r="AZ54" s="30" t="s">
        <v>37</v>
      </c>
      <c r="BA54" s="30" t="s">
        <v>37</v>
      </c>
      <c r="BB54" s="30" t="s">
        <v>37</v>
      </c>
      <c r="BC54" s="30" t="s">
        <v>37</v>
      </c>
      <c r="BD54" s="30" t="s">
        <v>37</v>
      </c>
      <c r="BE54" s="30" t="s">
        <v>37</v>
      </c>
      <c r="BF54" s="30" t="s">
        <v>37</v>
      </c>
      <c r="BG54" s="30" t="s">
        <v>37</v>
      </c>
      <c r="BH54" s="30">
        <v>0.01</v>
      </c>
      <c r="BI54" s="30" t="s">
        <v>37</v>
      </c>
      <c r="BJ54" s="30" t="s">
        <v>45</v>
      </c>
      <c r="BK54" s="30" t="s">
        <v>45</v>
      </c>
      <c r="BL54" s="30" t="s">
        <v>45</v>
      </c>
      <c r="BM54" s="30" t="s">
        <v>45</v>
      </c>
      <c r="BN54" s="30" t="s">
        <v>45</v>
      </c>
      <c r="BO54" s="30" t="s">
        <v>45</v>
      </c>
      <c r="BP54" s="30" t="s">
        <v>45</v>
      </c>
      <c r="BQ54" s="30" t="s">
        <v>45</v>
      </c>
      <c r="BR54" s="31">
        <v>0.35799999999999998</v>
      </c>
      <c r="BS54" s="30">
        <v>2E-3</v>
      </c>
      <c r="BT54" s="24">
        <f>((BU54-BS54)/2)+BS54</f>
        <v>1.4E-3</v>
      </c>
      <c r="BU54" s="30">
        <v>8.0000000000000004E-4</v>
      </c>
      <c r="BV54" s="30">
        <v>0.48099999999999998</v>
      </c>
      <c r="BW54" s="30" t="s">
        <v>37</v>
      </c>
      <c r="BX54" s="30" t="s">
        <v>37</v>
      </c>
      <c r="BY54" s="30" t="s">
        <v>45</v>
      </c>
      <c r="BZ54" s="30" t="s">
        <v>45</v>
      </c>
      <c r="CA54" s="30" t="s">
        <v>45</v>
      </c>
      <c r="CB54" s="30" t="s">
        <v>45</v>
      </c>
      <c r="CC54" s="30" t="s">
        <v>45</v>
      </c>
      <c r="CD54" s="30" t="s">
        <v>45</v>
      </c>
      <c r="CE54" s="30" t="s">
        <v>45</v>
      </c>
      <c r="CF54" s="30" t="s">
        <v>45</v>
      </c>
      <c r="CG54" s="26">
        <f t="shared" ref="CG54:CG63" si="149">SUM(B54,AJ54)</f>
        <v>0.11</v>
      </c>
      <c r="CH54" s="27">
        <f t="shared" ref="CH54:CH63" si="150">SUM(C54,AK54)</f>
        <v>0.1</v>
      </c>
      <c r="CI54" s="27">
        <f t="shared" ref="CI54:CI63" si="151">SUM(D54,AL54)</f>
        <v>0.1</v>
      </c>
      <c r="CJ54" s="27">
        <f t="shared" ref="CJ54:CJ63" si="152">SUM(E54,AM54)</f>
        <v>0.2</v>
      </c>
      <c r="CK54" s="27">
        <f t="shared" ref="CK54:CK63" si="153">SUM(F54,AN54)</f>
        <v>0.2</v>
      </c>
      <c r="CL54" s="27">
        <f t="shared" ref="CL54:CL63" si="154">SUM(G54,AO54)</f>
        <v>0.2</v>
      </c>
      <c r="CM54" s="27">
        <f t="shared" ref="CM54:CM63" si="155">SUM(H54,AP54)</f>
        <v>0.2</v>
      </c>
      <c r="CN54" s="27">
        <f t="shared" ref="CN54:CN63" si="156">SUM(I54,AQ54)</f>
        <v>0.2</v>
      </c>
      <c r="CO54" s="27">
        <f t="shared" ref="CO54:CO63" si="157">SUM(J54,AR54)</f>
        <v>0.2</v>
      </c>
      <c r="CP54" s="27">
        <f t="shared" ref="CP54:CP63" si="158">SUM(K54,AS54)</f>
        <v>0.2</v>
      </c>
      <c r="CQ54" s="27">
        <f t="shared" ref="CQ54:CQ63" si="159">SUM(L54,AT54)</f>
        <v>0.2</v>
      </c>
      <c r="CR54" s="27">
        <f t="shared" ref="CR54:CR63" si="160">SUM(M54,AU54)</f>
        <v>0.215</v>
      </c>
      <c r="CS54" s="27">
        <f t="shared" ref="CS54:CS63" si="161">SUM(N54,AV54)</f>
        <v>4.2000000000000003E-2</v>
      </c>
      <c r="CT54" s="27">
        <f t="shared" ref="CT54:CT63" si="162">SUM(O54,AW54)</f>
        <v>2E-3</v>
      </c>
      <c r="CU54" s="27">
        <f t="shared" ref="CU54:CU63" si="163">SUM(P54,AX54)</f>
        <v>4.0000000000000001E-3</v>
      </c>
      <c r="CV54" s="27">
        <f t="shared" ref="CV54:CV63" si="164">SUM(Q54,AY54)</f>
        <v>4.0000000000000001E-3</v>
      </c>
      <c r="CW54" s="27">
        <f t="shared" ref="CW54:CW63" si="165">SUM(R54,AZ54)</f>
        <v>0.4</v>
      </c>
      <c r="CX54" s="27">
        <f t="shared" ref="CX54:CX63" si="166">SUM(S54,BA54)</f>
        <v>0.39900000000000002</v>
      </c>
      <c r="CY54" s="27">
        <f t="shared" ref="CY54:CY63" si="167">SUM(T54,BB54)</f>
        <v>0.35499999999999998</v>
      </c>
      <c r="CZ54" s="27">
        <f t="shared" ref="CZ54:CZ63" si="168">SUM(U54,BC54,BR54)</f>
        <v>0.70450000000000002</v>
      </c>
      <c r="DA54" s="27">
        <f t="shared" ref="DA54:DA63" si="169">SUM(V54,BD54,BS54)</f>
        <v>0.34</v>
      </c>
      <c r="DB54" s="27">
        <f t="shared" ref="DB54:DB63" si="170">SUM(W54,BE54,BT54)</f>
        <v>0.34140000000000004</v>
      </c>
      <c r="DC54" s="27">
        <f t="shared" ref="DC54:DC63" si="171">SUM(X54,BF54,BU54)</f>
        <v>0.34330000000000005</v>
      </c>
      <c r="DD54" s="27">
        <f t="shared" ref="DD54:DD63" si="172">SUM(Y54,BG54,BV54)</f>
        <v>0.48199999999999998</v>
      </c>
      <c r="DE54" s="27">
        <f t="shared" ref="DE54:DE63" si="173">SUM(Z54,BH54,BW54)</f>
        <v>0.28800000000000003</v>
      </c>
      <c r="DF54" s="27">
        <f t="shared" ref="DF54:DF63" si="174">SUM(AA54,BI54,BX54)</f>
        <v>0.28699999999999998</v>
      </c>
      <c r="DG54" s="27">
        <f t="shared" ref="DG54:DG63" si="175">SUM(AB54,BJ54,BY54)</f>
        <v>0.27600000000000002</v>
      </c>
      <c r="DH54" s="27">
        <f t="shared" ref="DH54:DH63" si="176">SUM(AC54,BK54,BZ54)</f>
        <v>0.27</v>
      </c>
      <c r="DI54" s="27">
        <f t="shared" ref="DI54:DI63" si="177">SUM(AD54,BL54,CA54)</f>
        <v>0.31</v>
      </c>
      <c r="DJ54" s="27">
        <f t="shared" ref="DJ54:DJ63" si="178">SUM(AE54,BM54,CB54)</f>
        <v>0.33900000000000002</v>
      </c>
      <c r="DK54" s="27">
        <f t="shared" ref="DK54:DK63" si="179">SUM(AF54,BN54,CC54)</f>
        <v>0.26800000000000002</v>
      </c>
      <c r="DL54" s="27">
        <f t="shared" ref="DL54:DL63" si="180">SUM(AG54,BO54,CD54)</f>
        <v>0.29499999999999998</v>
      </c>
      <c r="DM54" s="27">
        <f t="shared" ref="DM54:DN63" si="181">SUM(AH54,BP54,CE54)</f>
        <v>1.1382030000000001</v>
      </c>
      <c r="DN54" s="27">
        <f t="shared" si="181"/>
        <v>0.21449099999999999</v>
      </c>
      <c r="EO54" s="22"/>
      <c r="EP54" s="22"/>
      <c r="EQ54" s="22"/>
      <c r="ER54" s="22"/>
      <c r="ES54" s="22"/>
    </row>
    <row r="55" spans="1:149">
      <c r="A55" s="23" t="s">
        <v>83</v>
      </c>
      <c r="B55" s="30" t="s">
        <v>37</v>
      </c>
      <c r="C55" s="30" t="s">
        <v>37</v>
      </c>
      <c r="D55" s="30">
        <v>0.375</v>
      </c>
      <c r="E55" s="30" t="s">
        <v>37</v>
      </c>
      <c r="F55" s="30" t="s">
        <v>37</v>
      </c>
      <c r="G55" s="30" t="s">
        <v>37</v>
      </c>
      <c r="H55" s="30" t="s">
        <v>37</v>
      </c>
      <c r="I55" s="30" t="s">
        <v>37</v>
      </c>
      <c r="J55" s="30" t="s">
        <v>37</v>
      </c>
      <c r="K55" s="30" t="s">
        <v>37</v>
      </c>
      <c r="L55" s="30" t="s">
        <v>37</v>
      </c>
      <c r="M55" s="30" t="s">
        <v>37</v>
      </c>
      <c r="N55" s="30" t="s">
        <v>37</v>
      </c>
      <c r="O55" s="30" t="s">
        <v>37</v>
      </c>
      <c r="P55" s="30" t="s">
        <v>37</v>
      </c>
      <c r="Q55" s="30" t="s">
        <v>37</v>
      </c>
      <c r="R55" s="30" t="s">
        <v>37</v>
      </c>
      <c r="S55" s="30" t="s">
        <v>37</v>
      </c>
      <c r="T55" s="30" t="s">
        <v>37</v>
      </c>
      <c r="U55" s="30" t="s">
        <v>37</v>
      </c>
      <c r="V55" s="30" t="s">
        <v>37</v>
      </c>
      <c r="W55" s="30" t="s">
        <v>37</v>
      </c>
      <c r="X55" s="30" t="s">
        <v>37</v>
      </c>
      <c r="Y55" s="30" t="s">
        <v>37</v>
      </c>
      <c r="Z55" s="30" t="s">
        <v>37</v>
      </c>
      <c r="AA55" s="30" t="s">
        <v>37</v>
      </c>
      <c r="AB55" s="30" t="s">
        <v>45</v>
      </c>
      <c r="AC55" s="30" t="s">
        <v>45</v>
      </c>
      <c r="AD55" s="30" t="s">
        <v>45</v>
      </c>
      <c r="AE55" s="30" t="s">
        <v>45</v>
      </c>
      <c r="AF55" s="30" t="s">
        <v>45</v>
      </c>
      <c r="AG55" s="30" t="s">
        <v>45</v>
      </c>
      <c r="AH55" s="30" t="s">
        <v>45</v>
      </c>
      <c r="AI55" s="30" t="s">
        <v>45</v>
      </c>
      <c r="AJ55" s="31" t="s">
        <v>37</v>
      </c>
      <c r="AK55" s="30" t="s">
        <v>37</v>
      </c>
      <c r="AL55" s="30">
        <v>0.125</v>
      </c>
      <c r="AM55" s="30" t="s">
        <v>45</v>
      </c>
      <c r="AN55" s="30" t="s">
        <v>45</v>
      </c>
      <c r="AO55" s="30" t="s">
        <v>45</v>
      </c>
      <c r="AP55" s="30" t="s">
        <v>45</v>
      </c>
      <c r="AQ55" s="30" t="s">
        <v>45</v>
      </c>
      <c r="AR55" s="30" t="s">
        <v>45</v>
      </c>
      <c r="AS55" s="30" t="s">
        <v>45</v>
      </c>
      <c r="AT55" s="30" t="s">
        <v>45</v>
      </c>
      <c r="AU55" s="30">
        <v>0.90100000000000002</v>
      </c>
      <c r="AV55" s="30">
        <v>0.64100000000000001</v>
      </c>
      <c r="AW55" s="30">
        <v>0.4</v>
      </c>
      <c r="AX55" s="30" t="s">
        <v>45</v>
      </c>
      <c r="AY55" s="30" t="s">
        <v>45</v>
      </c>
      <c r="AZ55" s="30" t="s">
        <v>45</v>
      </c>
      <c r="BA55" s="30" t="s">
        <v>45</v>
      </c>
      <c r="BB55" s="30" t="s">
        <v>45</v>
      </c>
      <c r="BC55" s="30">
        <v>0.38800000000000001</v>
      </c>
      <c r="BD55" s="30" t="s">
        <v>37</v>
      </c>
      <c r="BE55" s="30" t="s">
        <v>37</v>
      </c>
      <c r="BF55" s="30" t="s">
        <v>37</v>
      </c>
      <c r="BG55" s="30" t="s">
        <v>37</v>
      </c>
      <c r="BH55" s="30" t="s">
        <v>37</v>
      </c>
      <c r="BI55" s="30" t="s">
        <v>37</v>
      </c>
      <c r="BJ55" s="30" t="s">
        <v>45</v>
      </c>
      <c r="BK55" s="30" t="s">
        <v>45</v>
      </c>
      <c r="BL55" s="30" t="s">
        <v>45</v>
      </c>
      <c r="BM55" s="30" t="s">
        <v>45</v>
      </c>
      <c r="BN55" s="30" t="s">
        <v>45</v>
      </c>
      <c r="BO55" s="30" t="s">
        <v>45</v>
      </c>
      <c r="BP55" s="30" t="s">
        <v>45</v>
      </c>
      <c r="BQ55" s="30" t="s">
        <v>45</v>
      </c>
      <c r="BR55" s="31" t="s">
        <v>37</v>
      </c>
      <c r="BS55" s="30" t="s">
        <v>37</v>
      </c>
      <c r="BT55" s="30" t="s">
        <v>37</v>
      </c>
      <c r="BU55" s="30" t="s">
        <v>37</v>
      </c>
      <c r="BV55" s="30" t="s">
        <v>37</v>
      </c>
      <c r="BW55" s="30" t="s">
        <v>37</v>
      </c>
      <c r="BX55" s="30" t="s">
        <v>37</v>
      </c>
      <c r="BY55" s="30" t="s">
        <v>45</v>
      </c>
      <c r="BZ55" s="30" t="s">
        <v>45</v>
      </c>
      <c r="CA55" s="30" t="s">
        <v>45</v>
      </c>
      <c r="CB55" s="30" t="s">
        <v>45</v>
      </c>
      <c r="CC55" s="30" t="s">
        <v>45</v>
      </c>
      <c r="CD55" s="30" t="s">
        <v>45</v>
      </c>
      <c r="CE55" s="30" t="s">
        <v>45</v>
      </c>
      <c r="CF55" s="30" t="s">
        <v>45</v>
      </c>
      <c r="CG55" s="26">
        <f t="shared" si="149"/>
        <v>0</v>
      </c>
      <c r="CH55" s="27">
        <f t="shared" si="150"/>
        <v>0</v>
      </c>
      <c r="CI55" s="27">
        <f t="shared" si="151"/>
        <v>0.5</v>
      </c>
      <c r="CJ55" s="27">
        <f t="shared" si="152"/>
        <v>0</v>
      </c>
      <c r="CK55" s="27">
        <f t="shared" si="153"/>
        <v>0</v>
      </c>
      <c r="CL55" s="27">
        <f t="shared" si="154"/>
        <v>0</v>
      </c>
      <c r="CM55" s="27">
        <f t="shared" si="155"/>
        <v>0</v>
      </c>
      <c r="CN55" s="27">
        <f t="shared" si="156"/>
        <v>0</v>
      </c>
      <c r="CO55" s="27">
        <f t="shared" si="157"/>
        <v>0</v>
      </c>
      <c r="CP55" s="27">
        <f t="shared" si="158"/>
        <v>0</v>
      </c>
      <c r="CQ55" s="27">
        <f t="shared" si="159"/>
        <v>0</v>
      </c>
      <c r="CR55" s="27">
        <f t="shared" si="160"/>
        <v>0.90100000000000002</v>
      </c>
      <c r="CS55" s="27">
        <f t="shared" si="161"/>
        <v>0.64100000000000001</v>
      </c>
      <c r="CT55" s="27">
        <f t="shared" si="162"/>
        <v>0.4</v>
      </c>
      <c r="CU55" s="27">
        <f t="shared" si="163"/>
        <v>0</v>
      </c>
      <c r="CV55" s="27">
        <f t="shared" si="164"/>
        <v>0</v>
      </c>
      <c r="CW55" s="27">
        <f t="shared" si="165"/>
        <v>0</v>
      </c>
      <c r="CX55" s="27">
        <f t="shared" si="166"/>
        <v>0</v>
      </c>
      <c r="CY55" s="27">
        <f t="shared" si="167"/>
        <v>0</v>
      </c>
      <c r="CZ55" s="27">
        <f t="shared" si="168"/>
        <v>0.38800000000000001</v>
      </c>
      <c r="DA55" s="27">
        <f t="shared" si="169"/>
        <v>0</v>
      </c>
      <c r="DB55" s="27">
        <f t="shared" si="170"/>
        <v>0</v>
      </c>
      <c r="DC55" s="27">
        <f t="shared" si="171"/>
        <v>0</v>
      </c>
      <c r="DD55" s="27">
        <f t="shared" si="172"/>
        <v>0</v>
      </c>
      <c r="DE55" s="27">
        <f t="shared" si="173"/>
        <v>0</v>
      </c>
      <c r="DF55" s="27">
        <f t="shared" si="174"/>
        <v>0</v>
      </c>
      <c r="DG55" s="27">
        <f t="shared" si="175"/>
        <v>0</v>
      </c>
      <c r="DH55" s="27">
        <f t="shared" si="176"/>
        <v>0</v>
      </c>
      <c r="DI55" s="27">
        <f t="shared" si="177"/>
        <v>0</v>
      </c>
      <c r="DJ55" s="27">
        <f t="shared" si="178"/>
        <v>0</v>
      </c>
      <c r="DK55" s="27">
        <f t="shared" si="179"/>
        <v>0</v>
      </c>
      <c r="DL55" s="27">
        <f t="shared" si="180"/>
        <v>0</v>
      </c>
      <c r="DM55" s="27">
        <f t="shared" si="181"/>
        <v>0</v>
      </c>
      <c r="DN55" s="27">
        <f t="shared" si="181"/>
        <v>0</v>
      </c>
      <c r="EO55" s="22"/>
      <c r="EP55" s="22"/>
      <c r="EQ55" s="22"/>
      <c r="ER55" s="22"/>
      <c r="ES55" s="22"/>
    </row>
    <row r="56" spans="1:149" s="45" customFormat="1">
      <c r="A56" s="23" t="s">
        <v>84</v>
      </c>
      <c r="B56" s="30">
        <v>0.8</v>
      </c>
      <c r="C56" s="30">
        <v>0.84499999999999997</v>
      </c>
      <c r="D56" s="30">
        <v>1.931</v>
      </c>
      <c r="E56" s="30">
        <v>1.96</v>
      </c>
      <c r="F56" s="30">
        <v>1.9</v>
      </c>
      <c r="G56" s="30">
        <v>1.85</v>
      </c>
      <c r="H56" s="30">
        <v>1.569</v>
      </c>
      <c r="I56" s="30">
        <v>4.8000000000000001E-2</v>
      </c>
      <c r="J56" s="30" t="s">
        <v>45</v>
      </c>
      <c r="K56" s="30">
        <v>0.25</v>
      </c>
      <c r="L56" s="30">
        <v>0.25</v>
      </c>
      <c r="M56" s="30">
        <v>9.5000000000000001E-2</v>
      </c>
      <c r="N56" s="30">
        <v>8.1000000000000003E-2</v>
      </c>
      <c r="O56" s="30">
        <v>6.4000000000000001E-2</v>
      </c>
      <c r="P56" s="30">
        <v>6.0999999999999999E-2</v>
      </c>
      <c r="Q56" s="30">
        <v>4.5999999999999999E-2</v>
      </c>
      <c r="R56" s="30">
        <v>1.2450000000000001</v>
      </c>
      <c r="S56" s="30">
        <v>2.8340000000000001</v>
      </c>
      <c r="T56" s="30">
        <v>3.8889999999999998</v>
      </c>
      <c r="U56" s="30">
        <v>3.1E-2</v>
      </c>
      <c r="V56" s="30">
        <v>2.1000000000000001E-2</v>
      </c>
      <c r="W56" s="30">
        <v>2.3E-2</v>
      </c>
      <c r="X56" s="30">
        <v>1.1993999999999999E-2</v>
      </c>
      <c r="Y56" s="24">
        <f>((Z56-X56)/2)+X56</f>
        <v>1.6996999999999998E-2</v>
      </c>
      <c r="Z56" s="30">
        <v>2.1999999999999999E-2</v>
      </c>
      <c r="AA56" s="30">
        <v>5.76</v>
      </c>
      <c r="AB56" s="30">
        <v>5.1950000000000003</v>
      </c>
      <c r="AC56" s="30">
        <v>5.4249999999999998</v>
      </c>
      <c r="AD56" s="30">
        <v>7.1349999999999998</v>
      </c>
      <c r="AE56" s="30">
        <v>7.2960000000000003</v>
      </c>
      <c r="AF56" s="30">
        <v>4.0620000000000003</v>
      </c>
      <c r="AG56" s="30">
        <v>3.3490000000000002</v>
      </c>
      <c r="AH56" s="30">
        <v>2.945754</v>
      </c>
      <c r="AI56" s="30">
        <v>2.7267790000000001</v>
      </c>
      <c r="AJ56" s="31" t="s">
        <v>37</v>
      </c>
      <c r="AK56" s="30" t="s">
        <v>37</v>
      </c>
      <c r="AL56" s="30" t="s">
        <v>37</v>
      </c>
      <c r="AM56" s="30" t="s">
        <v>37</v>
      </c>
      <c r="AN56" s="30">
        <v>0.3</v>
      </c>
      <c r="AO56" s="30">
        <v>0.3</v>
      </c>
      <c r="AP56" s="30" t="s">
        <v>37</v>
      </c>
      <c r="AQ56" s="30" t="s">
        <v>37</v>
      </c>
      <c r="AR56" s="30" t="s">
        <v>37</v>
      </c>
      <c r="AS56" s="30" t="s">
        <v>37</v>
      </c>
      <c r="AT56" s="30" t="s">
        <v>37</v>
      </c>
      <c r="AU56" s="30" t="s">
        <v>37</v>
      </c>
      <c r="AV56" s="30" t="s">
        <v>37</v>
      </c>
      <c r="AW56" s="30" t="s">
        <v>37</v>
      </c>
      <c r="AX56" s="30" t="s">
        <v>37</v>
      </c>
      <c r="AY56" s="30" t="s">
        <v>37</v>
      </c>
      <c r="AZ56" s="30" t="s">
        <v>37</v>
      </c>
      <c r="BA56" s="30" t="s">
        <v>37</v>
      </c>
      <c r="BB56" s="30" t="s">
        <v>37</v>
      </c>
      <c r="BC56" s="30" t="s">
        <v>37</v>
      </c>
      <c r="BD56" s="30" t="s">
        <v>37</v>
      </c>
      <c r="BE56" s="30" t="s">
        <v>37</v>
      </c>
      <c r="BF56" s="30" t="s">
        <v>37</v>
      </c>
      <c r="BG56" s="30" t="s">
        <v>37</v>
      </c>
      <c r="BH56" s="30" t="s">
        <v>37</v>
      </c>
      <c r="BI56" s="30" t="s">
        <v>37</v>
      </c>
      <c r="BJ56" s="30" t="s">
        <v>45</v>
      </c>
      <c r="BK56" s="30" t="s">
        <v>45</v>
      </c>
      <c r="BL56" s="30" t="s">
        <v>45</v>
      </c>
      <c r="BM56" s="30" t="s">
        <v>45</v>
      </c>
      <c r="BN56" s="30" t="s">
        <v>45</v>
      </c>
      <c r="BO56" s="30" t="s">
        <v>45</v>
      </c>
      <c r="BP56" s="30" t="s">
        <v>45</v>
      </c>
      <c r="BQ56" s="30" t="s">
        <v>45</v>
      </c>
      <c r="BR56" s="31">
        <v>0.97799999999999998</v>
      </c>
      <c r="BS56" s="30" t="s">
        <v>37</v>
      </c>
      <c r="BT56" s="30" t="s">
        <v>37</v>
      </c>
      <c r="BU56" s="30" t="s">
        <v>37</v>
      </c>
      <c r="BV56" s="30" t="s">
        <v>37</v>
      </c>
      <c r="BW56" s="30" t="s">
        <v>37</v>
      </c>
      <c r="BX56" s="30" t="s">
        <v>37</v>
      </c>
      <c r="BY56" s="30" t="s">
        <v>45</v>
      </c>
      <c r="BZ56" s="30" t="s">
        <v>45</v>
      </c>
      <c r="CA56" s="30" t="s">
        <v>45</v>
      </c>
      <c r="CB56" s="30" t="s">
        <v>45</v>
      </c>
      <c r="CC56" s="30" t="s">
        <v>45</v>
      </c>
      <c r="CD56" s="30" t="s">
        <v>45</v>
      </c>
      <c r="CE56" s="30" t="s">
        <v>45</v>
      </c>
      <c r="CF56" s="30" t="s">
        <v>45</v>
      </c>
      <c r="CG56" s="26">
        <f t="shared" si="149"/>
        <v>0.8</v>
      </c>
      <c r="CH56" s="27">
        <f t="shared" si="150"/>
        <v>0.84499999999999997</v>
      </c>
      <c r="CI56" s="27">
        <f t="shared" si="151"/>
        <v>1.931</v>
      </c>
      <c r="CJ56" s="27">
        <f t="shared" si="152"/>
        <v>1.96</v>
      </c>
      <c r="CK56" s="27">
        <f t="shared" si="153"/>
        <v>2.1999999999999997</v>
      </c>
      <c r="CL56" s="27">
        <f t="shared" si="154"/>
        <v>2.15</v>
      </c>
      <c r="CM56" s="27">
        <f t="shared" si="155"/>
        <v>1.569</v>
      </c>
      <c r="CN56" s="27">
        <f t="shared" si="156"/>
        <v>4.8000000000000001E-2</v>
      </c>
      <c r="CO56" s="27">
        <f t="shared" si="157"/>
        <v>0</v>
      </c>
      <c r="CP56" s="27">
        <f t="shared" si="158"/>
        <v>0.25</v>
      </c>
      <c r="CQ56" s="27">
        <f t="shared" si="159"/>
        <v>0.25</v>
      </c>
      <c r="CR56" s="27">
        <f t="shared" si="160"/>
        <v>9.5000000000000001E-2</v>
      </c>
      <c r="CS56" s="27">
        <f t="shared" si="161"/>
        <v>8.1000000000000003E-2</v>
      </c>
      <c r="CT56" s="27">
        <f t="shared" si="162"/>
        <v>6.4000000000000001E-2</v>
      </c>
      <c r="CU56" s="27">
        <f t="shared" si="163"/>
        <v>6.0999999999999999E-2</v>
      </c>
      <c r="CV56" s="27">
        <f t="shared" si="164"/>
        <v>4.5999999999999999E-2</v>
      </c>
      <c r="CW56" s="27">
        <f t="shared" si="165"/>
        <v>1.2450000000000001</v>
      </c>
      <c r="CX56" s="27">
        <f t="shared" si="166"/>
        <v>2.8340000000000001</v>
      </c>
      <c r="CY56" s="27">
        <f t="shared" si="167"/>
        <v>3.8889999999999998</v>
      </c>
      <c r="CZ56" s="27">
        <f t="shared" si="168"/>
        <v>1.0089999999999999</v>
      </c>
      <c r="DA56" s="27">
        <f t="shared" si="169"/>
        <v>2.1000000000000001E-2</v>
      </c>
      <c r="DB56" s="27">
        <f t="shared" si="170"/>
        <v>2.3E-2</v>
      </c>
      <c r="DC56" s="27">
        <f t="shared" si="171"/>
        <v>1.1993999999999999E-2</v>
      </c>
      <c r="DD56" s="27">
        <f t="shared" si="172"/>
        <v>1.6996999999999998E-2</v>
      </c>
      <c r="DE56" s="27">
        <f t="shared" si="173"/>
        <v>2.1999999999999999E-2</v>
      </c>
      <c r="DF56" s="27">
        <f t="shared" si="174"/>
        <v>5.76</v>
      </c>
      <c r="DG56" s="27">
        <f t="shared" si="175"/>
        <v>5.1950000000000003</v>
      </c>
      <c r="DH56" s="27">
        <f t="shared" si="176"/>
        <v>5.4249999999999998</v>
      </c>
      <c r="DI56" s="27">
        <f t="shared" si="177"/>
        <v>7.1349999999999998</v>
      </c>
      <c r="DJ56" s="27">
        <f t="shared" si="178"/>
        <v>7.2960000000000003</v>
      </c>
      <c r="DK56" s="27">
        <f t="shared" si="179"/>
        <v>4.0620000000000003</v>
      </c>
      <c r="DL56" s="27">
        <f t="shared" si="180"/>
        <v>3.3490000000000002</v>
      </c>
      <c r="DM56" s="27">
        <f t="shared" si="181"/>
        <v>2.945754</v>
      </c>
      <c r="DN56" s="27">
        <f t="shared" si="181"/>
        <v>2.7267790000000001</v>
      </c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O56" s="46"/>
      <c r="EP56" s="46"/>
      <c r="EQ56" s="46"/>
      <c r="ER56" s="46"/>
      <c r="ES56" s="46"/>
    </row>
    <row r="57" spans="1:149">
      <c r="A57" s="23" t="s">
        <v>85</v>
      </c>
      <c r="B57" s="30">
        <v>3.0000000000000001E-3</v>
      </c>
      <c r="C57" s="30">
        <v>3.0000000000000001E-3</v>
      </c>
      <c r="D57" s="30">
        <v>3.0000000000000001E-3</v>
      </c>
      <c r="E57" s="30">
        <v>0.125</v>
      </c>
      <c r="F57" s="30">
        <v>0.13400000000000001</v>
      </c>
      <c r="G57" s="30">
        <v>0.13600000000000001</v>
      </c>
      <c r="H57" s="30">
        <v>0.01</v>
      </c>
      <c r="I57" s="30">
        <v>0.01</v>
      </c>
      <c r="J57" s="30">
        <v>0.01</v>
      </c>
      <c r="K57" s="30">
        <v>0.01</v>
      </c>
      <c r="L57" s="30">
        <v>0.01</v>
      </c>
      <c r="M57" s="30">
        <v>6.8000000000000005E-2</v>
      </c>
      <c r="N57" s="30">
        <v>8.0000000000000002E-3</v>
      </c>
      <c r="O57" s="30">
        <v>0.01</v>
      </c>
      <c r="P57" s="30">
        <v>8.9999999999999993E-3</v>
      </c>
      <c r="Q57" s="30">
        <v>8.9999999999999993E-3</v>
      </c>
      <c r="R57" s="30">
        <v>8.9999999999999993E-3</v>
      </c>
      <c r="S57" s="30">
        <v>8.9999999999999993E-3</v>
      </c>
      <c r="T57" s="30">
        <v>24.439</v>
      </c>
      <c r="U57" s="24">
        <f>((V57-T57)/2)+T57</f>
        <v>12.221500000000001</v>
      </c>
      <c r="V57" s="30">
        <v>4.0000000000000001E-3</v>
      </c>
      <c r="W57" s="30">
        <v>5.0000000000000001E-3</v>
      </c>
      <c r="X57" s="30">
        <v>7.4999999999999997E-3</v>
      </c>
      <c r="Y57" s="30">
        <v>8.9999999999999993E-3</v>
      </c>
      <c r="Z57" s="30">
        <v>4.0000000000000001E-3</v>
      </c>
      <c r="AA57" s="30">
        <v>3.0000000000000001E-3</v>
      </c>
      <c r="AB57" s="30">
        <v>3.0000000000000001E-3</v>
      </c>
      <c r="AC57" s="30" t="s">
        <v>45</v>
      </c>
      <c r="AD57" s="30" t="s">
        <v>45</v>
      </c>
      <c r="AE57" s="30" t="s">
        <v>45</v>
      </c>
      <c r="AF57" s="30" t="s">
        <v>45</v>
      </c>
      <c r="AG57" s="30" t="s">
        <v>45</v>
      </c>
      <c r="AH57" s="30" t="s">
        <v>45</v>
      </c>
      <c r="AI57" s="30" t="s">
        <v>45</v>
      </c>
      <c r="AJ57" s="31">
        <v>0.42899999999999999</v>
      </c>
      <c r="AK57" s="30">
        <v>0.439</v>
      </c>
      <c r="AL57" s="30">
        <v>0.62</v>
      </c>
      <c r="AM57" s="30" t="s">
        <v>37</v>
      </c>
      <c r="AN57" s="30" t="s">
        <v>37</v>
      </c>
      <c r="AO57" s="30" t="s">
        <v>37</v>
      </c>
      <c r="AP57" s="30" t="s">
        <v>37</v>
      </c>
      <c r="AQ57" s="30" t="s">
        <v>37</v>
      </c>
      <c r="AR57" s="30" t="s">
        <v>37</v>
      </c>
      <c r="AS57" s="30" t="s">
        <v>37</v>
      </c>
      <c r="AT57" s="30" t="s">
        <v>37</v>
      </c>
      <c r="AU57" s="30" t="s">
        <v>37</v>
      </c>
      <c r="AV57" s="30" t="s">
        <v>37</v>
      </c>
      <c r="AW57" s="30" t="s">
        <v>37</v>
      </c>
      <c r="AX57" s="30" t="s">
        <v>37</v>
      </c>
      <c r="AY57" s="30" t="s">
        <v>37</v>
      </c>
      <c r="AZ57" s="30" t="s">
        <v>37</v>
      </c>
      <c r="BA57" s="30" t="s">
        <v>37</v>
      </c>
      <c r="BB57" s="30" t="s">
        <v>37</v>
      </c>
      <c r="BC57" s="30" t="s">
        <v>37</v>
      </c>
      <c r="BD57" s="30">
        <v>2E-3</v>
      </c>
      <c r="BE57" s="30" t="s">
        <v>37</v>
      </c>
      <c r="BF57" s="30" t="s">
        <v>37</v>
      </c>
      <c r="BG57" s="30" t="s">
        <v>37</v>
      </c>
      <c r="BH57" s="30" t="s">
        <v>37</v>
      </c>
      <c r="BI57" s="30" t="s">
        <v>37</v>
      </c>
      <c r="BJ57" s="30" t="s">
        <v>45</v>
      </c>
      <c r="BK57" s="30" t="s">
        <v>45</v>
      </c>
      <c r="BL57" s="30" t="s">
        <v>45</v>
      </c>
      <c r="BM57" s="30" t="s">
        <v>45</v>
      </c>
      <c r="BN57" s="30" t="s">
        <v>45</v>
      </c>
      <c r="BO57" s="30" t="s">
        <v>45</v>
      </c>
      <c r="BP57" s="30" t="s">
        <v>45</v>
      </c>
      <c r="BQ57" s="30" t="s">
        <v>45</v>
      </c>
      <c r="BR57" s="31">
        <v>8.9999999999999993E-3</v>
      </c>
      <c r="BS57" s="30" t="s">
        <v>37</v>
      </c>
      <c r="BT57" s="30" t="s">
        <v>37</v>
      </c>
      <c r="BU57" s="30" t="s">
        <v>37</v>
      </c>
      <c r="BV57" s="30" t="s">
        <v>37</v>
      </c>
      <c r="BW57" s="30" t="s">
        <v>37</v>
      </c>
      <c r="BX57" s="30" t="s">
        <v>37</v>
      </c>
      <c r="BY57" s="30" t="s">
        <v>45</v>
      </c>
      <c r="BZ57" s="30" t="s">
        <v>45</v>
      </c>
      <c r="CA57" s="30" t="s">
        <v>45</v>
      </c>
      <c r="CB57" s="30" t="s">
        <v>45</v>
      </c>
      <c r="CC57" s="30" t="s">
        <v>45</v>
      </c>
      <c r="CD57" s="30">
        <v>0.01</v>
      </c>
      <c r="CE57" s="30">
        <v>0.01</v>
      </c>
      <c r="CF57" s="30">
        <v>0.01</v>
      </c>
      <c r="CG57" s="26">
        <f t="shared" si="149"/>
        <v>0.432</v>
      </c>
      <c r="CH57" s="27">
        <f t="shared" si="150"/>
        <v>0.442</v>
      </c>
      <c r="CI57" s="27">
        <f t="shared" si="151"/>
        <v>0.623</v>
      </c>
      <c r="CJ57" s="27">
        <f t="shared" si="152"/>
        <v>0.125</v>
      </c>
      <c r="CK57" s="27">
        <f t="shared" si="153"/>
        <v>0.13400000000000001</v>
      </c>
      <c r="CL57" s="27">
        <f t="shared" si="154"/>
        <v>0.13600000000000001</v>
      </c>
      <c r="CM57" s="27">
        <f t="shared" si="155"/>
        <v>0.01</v>
      </c>
      <c r="CN57" s="27">
        <f t="shared" si="156"/>
        <v>0.01</v>
      </c>
      <c r="CO57" s="27">
        <f t="shared" si="157"/>
        <v>0.01</v>
      </c>
      <c r="CP57" s="27">
        <f t="shared" si="158"/>
        <v>0.01</v>
      </c>
      <c r="CQ57" s="27">
        <f t="shared" si="159"/>
        <v>0.01</v>
      </c>
      <c r="CR57" s="27">
        <f t="shared" si="160"/>
        <v>6.8000000000000005E-2</v>
      </c>
      <c r="CS57" s="27">
        <f t="shared" si="161"/>
        <v>8.0000000000000002E-3</v>
      </c>
      <c r="CT57" s="27">
        <f t="shared" si="162"/>
        <v>0.01</v>
      </c>
      <c r="CU57" s="27">
        <f t="shared" si="163"/>
        <v>8.9999999999999993E-3</v>
      </c>
      <c r="CV57" s="27">
        <f t="shared" si="164"/>
        <v>8.9999999999999993E-3</v>
      </c>
      <c r="CW57" s="27">
        <f t="shared" si="165"/>
        <v>8.9999999999999993E-3</v>
      </c>
      <c r="CX57" s="27">
        <f t="shared" si="166"/>
        <v>8.9999999999999993E-3</v>
      </c>
      <c r="CY57" s="27">
        <f t="shared" si="167"/>
        <v>24.439</v>
      </c>
      <c r="CZ57" s="27">
        <f t="shared" si="168"/>
        <v>12.230500000000001</v>
      </c>
      <c r="DA57" s="27">
        <f t="shared" si="169"/>
        <v>6.0000000000000001E-3</v>
      </c>
      <c r="DB57" s="27">
        <f t="shared" si="170"/>
        <v>5.0000000000000001E-3</v>
      </c>
      <c r="DC57" s="27">
        <f t="shared" si="171"/>
        <v>7.4999999999999997E-3</v>
      </c>
      <c r="DD57" s="27">
        <f t="shared" si="172"/>
        <v>8.9999999999999993E-3</v>
      </c>
      <c r="DE57" s="27">
        <f t="shared" si="173"/>
        <v>4.0000000000000001E-3</v>
      </c>
      <c r="DF57" s="27">
        <f t="shared" si="174"/>
        <v>3.0000000000000001E-3</v>
      </c>
      <c r="DG57" s="27">
        <f t="shared" si="175"/>
        <v>3.0000000000000001E-3</v>
      </c>
      <c r="DH57" s="27">
        <f t="shared" si="176"/>
        <v>0</v>
      </c>
      <c r="DI57" s="27">
        <f t="shared" si="177"/>
        <v>0</v>
      </c>
      <c r="DJ57" s="27">
        <f t="shared" si="178"/>
        <v>0</v>
      </c>
      <c r="DK57" s="27">
        <f t="shared" si="179"/>
        <v>0</v>
      </c>
      <c r="DL57" s="27">
        <f t="shared" si="180"/>
        <v>0.01</v>
      </c>
      <c r="DM57" s="27">
        <f t="shared" si="181"/>
        <v>0.01</v>
      </c>
      <c r="DN57" s="27">
        <f t="shared" si="181"/>
        <v>0.01</v>
      </c>
      <c r="EO57" s="22"/>
      <c r="EP57" s="22"/>
      <c r="EQ57" s="22"/>
      <c r="ER57" s="22"/>
      <c r="ES57" s="22"/>
    </row>
    <row r="58" spans="1:149">
      <c r="A58" s="23" t="s">
        <v>86</v>
      </c>
      <c r="B58" s="30">
        <v>0.56699999999999995</v>
      </c>
      <c r="C58" s="30">
        <v>5.5E-2</v>
      </c>
      <c r="D58" s="30">
        <v>2.117</v>
      </c>
      <c r="E58" s="30">
        <v>1.9670000000000001</v>
      </c>
      <c r="F58" s="30">
        <v>2.9630000000000001</v>
      </c>
      <c r="G58" s="30">
        <v>4.5490000000000004</v>
      </c>
      <c r="H58" s="30">
        <v>5.7169999999999996</v>
      </c>
      <c r="I58" s="30">
        <v>5.7880000000000003</v>
      </c>
      <c r="J58" s="30">
        <v>7.3289999999999997</v>
      </c>
      <c r="K58" s="30">
        <v>8.4269999999999996</v>
      </c>
      <c r="L58" s="30">
        <v>7.9420000000000002</v>
      </c>
      <c r="M58" s="30">
        <v>10.141</v>
      </c>
      <c r="N58" s="30">
        <v>8.8149999999999995</v>
      </c>
      <c r="O58" s="30">
        <v>8.5749999999999993</v>
      </c>
      <c r="P58" s="30">
        <v>7.9870000000000001</v>
      </c>
      <c r="Q58" s="30">
        <v>15.984</v>
      </c>
      <c r="R58" s="30">
        <v>19.279</v>
      </c>
      <c r="S58" s="30">
        <v>23.065000000000001</v>
      </c>
      <c r="T58" s="30">
        <v>23.445</v>
      </c>
      <c r="U58" s="30">
        <v>25.370999999999999</v>
      </c>
      <c r="V58" s="30">
        <v>26.56</v>
      </c>
      <c r="W58" s="30">
        <v>29.568000000000001</v>
      </c>
      <c r="X58" s="30">
        <v>32.506635000000003</v>
      </c>
      <c r="Y58" s="30">
        <v>30.725999999999999</v>
      </c>
      <c r="Z58" s="30">
        <v>29.902000000000001</v>
      </c>
      <c r="AA58" s="30">
        <v>30.103000000000002</v>
      </c>
      <c r="AB58" s="30">
        <v>24.638999999999999</v>
      </c>
      <c r="AC58" s="30">
        <v>18.602</v>
      </c>
      <c r="AD58" s="30">
        <v>13.797000000000001</v>
      </c>
      <c r="AE58" s="30">
        <v>10.112</v>
      </c>
      <c r="AF58" s="30">
        <v>7.7640000000000002</v>
      </c>
      <c r="AG58" s="30">
        <v>7.2110000000000003</v>
      </c>
      <c r="AH58" s="30">
        <v>7.3100160000000001</v>
      </c>
      <c r="AI58" s="30">
        <v>7.4292800000000003</v>
      </c>
      <c r="AJ58" s="31">
        <v>0.4</v>
      </c>
      <c r="AK58" s="30">
        <v>0.4</v>
      </c>
      <c r="AL58" s="30">
        <v>0.4</v>
      </c>
      <c r="AM58" s="30">
        <v>0.6</v>
      </c>
      <c r="AN58" s="30">
        <v>0.6</v>
      </c>
      <c r="AO58" s="30">
        <v>0.6</v>
      </c>
      <c r="AP58" s="30">
        <v>0.6</v>
      </c>
      <c r="AQ58" s="30">
        <v>0.45800000000000002</v>
      </c>
      <c r="AR58" s="30">
        <v>0.29499999999999998</v>
      </c>
      <c r="AS58" s="30">
        <v>0.22500000000000001</v>
      </c>
      <c r="AT58" s="30" t="s">
        <v>45</v>
      </c>
      <c r="AU58" s="30" t="s">
        <v>45</v>
      </c>
      <c r="AV58" s="30" t="s">
        <v>45</v>
      </c>
      <c r="AW58" s="30" t="s">
        <v>45</v>
      </c>
      <c r="AX58" s="30" t="s">
        <v>45</v>
      </c>
      <c r="AY58" s="30" t="s">
        <v>45</v>
      </c>
      <c r="AZ58" s="30" t="s">
        <v>45</v>
      </c>
      <c r="BA58" s="30" t="s">
        <v>45</v>
      </c>
      <c r="BB58" s="30">
        <v>2.1840000000000002</v>
      </c>
      <c r="BC58" s="24">
        <f>((BD58-BB58)/2)+BB58</f>
        <v>1.4815</v>
      </c>
      <c r="BD58" s="30">
        <v>0.77900000000000003</v>
      </c>
      <c r="BE58" s="30" t="s">
        <v>37</v>
      </c>
      <c r="BF58" s="30" t="s">
        <v>37</v>
      </c>
      <c r="BG58" s="30" t="s">
        <v>37</v>
      </c>
      <c r="BH58" s="30" t="s">
        <v>37</v>
      </c>
      <c r="BI58" s="30" t="s">
        <v>37</v>
      </c>
      <c r="BJ58" s="30" t="s">
        <v>45</v>
      </c>
      <c r="BK58" s="30">
        <v>0.1</v>
      </c>
      <c r="BL58" s="30" t="s">
        <v>45</v>
      </c>
      <c r="BM58" s="30" t="s">
        <v>45</v>
      </c>
      <c r="BN58" s="30" t="s">
        <v>45</v>
      </c>
      <c r="BO58" s="30" t="s">
        <v>45</v>
      </c>
      <c r="BP58" s="30" t="s">
        <v>45</v>
      </c>
      <c r="BQ58" s="30" t="s">
        <v>45</v>
      </c>
      <c r="BR58" s="31">
        <v>2.3E-2</v>
      </c>
      <c r="BS58" s="30" t="s">
        <v>37</v>
      </c>
      <c r="BT58" s="30" t="s">
        <v>37</v>
      </c>
      <c r="BU58" s="30" t="s">
        <v>37</v>
      </c>
      <c r="BV58" s="30" t="s">
        <v>37</v>
      </c>
      <c r="BW58" s="30" t="s">
        <v>37</v>
      </c>
      <c r="BX58" s="30" t="s">
        <v>37</v>
      </c>
      <c r="BY58" s="30" t="s">
        <v>45</v>
      </c>
      <c r="BZ58" s="30" t="s">
        <v>45</v>
      </c>
      <c r="CA58" s="30" t="s">
        <v>45</v>
      </c>
      <c r="CB58" s="30" t="s">
        <v>45</v>
      </c>
      <c r="CC58" s="30" t="s">
        <v>45</v>
      </c>
      <c r="CD58" s="30" t="s">
        <v>45</v>
      </c>
      <c r="CE58" s="30" t="s">
        <v>45</v>
      </c>
      <c r="CF58" s="30" t="s">
        <v>45</v>
      </c>
      <c r="CG58" s="26">
        <f t="shared" si="149"/>
        <v>0.96699999999999997</v>
      </c>
      <c r="CH58" s="27">
        <f t="shared" si="150"/>
        <v>0.45500000000000002</v>
      </c>
      <c r="CI58" s="27">
        <f t="shared" si="151"/>
        <v>2.5169999999999999</v>
      </c>
      <c r="CJ58" s="27">
        <f t="shared" si="152"/>
        <v>2.5670000000000002</v>
      </c>
      <c r="CK58" s="27">
        <f t="shared" si="153"/>
        <v>3.5630000000000002</v>
      </c>
      <c r="CL58" s="27">
        <f t="shared" si="154"/>
        <v>5.149</v>
      </c>
      <c r="CM58" s="27">
        <f t="shared" si="155"/>
        <v>6.3169999999999993</v>
      </c>
      <c r="CN58" s="27">
        <f t="shared" si="156"/>
        <v>6.2460000000000004</v>
      </c>
      <c r="CO58" s="27">
        <f t="shared" si="157"/>
        <v>7.6239999999999997</v>
      </c>
      <c r="CP58" s="27">
        <f t="shared" si="158"/>
        <v>8.6519999999999992</v>
      </c>
      <c r="CQ58" s="27">
        <f t="shared" si="159"/>
        <v>7.9420000000000002</v>
      </c>
      <c r="CR58" s="27">
        <f t="shared" si="160"/>
        <v>10.141</v>
      </c>
      <c r="CS58" s="27">
        <f t="shared" si="161"/>
        <v>8.8149999999999995</v>
      </c>
      <c r="CT58" s="27">
        <f t="shared" si="162"/>
        <v>8.5749999999999993</v>
      </c>
      <c r="CU58" s="27">
        <f t="shared" si="163"/>
        <v>7.9870000000000001</v>
      </c>
      <c r="CV58" s="27">
        <f t="shared" si="164"/>
        <v>15.984</v>
      </c>
      <c r="CW58" s="27">
        <f t="shared" si="165"/>
        <v>19.279</v>
      </c>
      <c r="CX58" s="27">
        <f t="shared" si="166"/>
        <v>23.065000000000001</v>
      </c>
      <c r="CY58" s="27">
        <f t="shared" si="167"/>
        <v>25.629000000000001</v>
      </c>
      <c r="CZ58" s="27">
        <f t="shared" si="168"/>
        <v>26.875499999999999</v>
      </c>
      <c r="DA58" s="27">
        <f t="shared" si="169"/>
        <v>27.338999999999999</v>
      </c>
      <c r="DB58" s="27">
        <f t="shared" si="170"/>
        <v>29.568000000000001</v>
      </c>
      <c r="DC58" s="27">
        <f t="shared" si="171"/>
        <v>32.506635000000003</v>
      </c>
      <c r="DD58" s="27">
        <f t="shared" si="172"/>
        <v>30.725999999999999</v>
      </c>
      <c r="DE58" s="27">
        <f t="shared" si="173"/>
        <v>29.902000000000001</v>
      </c>
      <c r="DF58" s="27">
        <f t="shared" si="174"/>
        <v>30.103000000000002</v>
      </c>
      <c r="DG58" s="27">
        <f t="shared" si="175"/>
        <v>24.638999999999999</v>
      </c>
      <c r="DH58" s="27">
        <f t="shared" si="176"/>
        <v>18.702000000000002</v>
      </c>
      <c r="DI58" s="27">
        <f t="shared" si="177"/>
        <v>13.797000000000001</v>
      </c>
      <c r="DJ58" s="27">
        <f t="shared" si="178"/>
        <v>10.112</v>
      </c>
      <c r="DK58" s="27">
        <f t="shared" si="179"/>
        <v>7.7640000000000002</v>
      </c>
      <c r="DL58" s="27">
        <f t="shared" si="180"/>
        <v>7.2110000000000003</v>
      </c>
      <c r="DM58" s="27">
        <f t="shared" si="181"/>
        <v>7.3100160000000001</v>
      </c>
      <c r="DN58" s="27">
        <f t="shared" si="181"/>
        <v>7.4292800000000003</v>
      </c>
      <c r="EO58" s="22"/>
      <c r="EP58" s="22"/>
      <c r="EQ58" s="22"/>
      <c r="ER58" s="22"/>
      <c r="ES58" s="22"/>
    </row>
    <row r="59" spans="1:149">
      <c r="A59" s="23" t="s">
        <v>87</v>
      </c>
      <c r="B59" s="30">
        <v>18.318000000000001</v>
      </c>
      <c r="C59" s="30">
        <v>22.201000000000001</v>
      </c>
      <c r="D59" s="30">
        <v>23.254999999999999</v>
      </c>
      <c r="E59" s="30">
        <v>25.100999999999999</v>
      </c>
      <c r="F59" s="30">
        <v>26.698</v>
      </c>
      <c r="G59" s="30">
        <v>23.346</v>
      </c>
      <c r="H59" s="30">
        <v>24.739000000000001</v>
      </c>
      <c r="I59" s="30">
        <v>24.151</v>
      </c>
      <c r="J59" s="30">
        <v>9.1349999999999998</v>
      </c>
      <c r="K59" s="30">
        <v>8.1850000000000005</v>
      </c>
      <c r="L59" s="30">
        <v>5.3630000000000004</v>
      </c>
      <c r="M59" s="30">
        <v>7.1589999999999998</v>
      </c>
      <c r="N59" s="30">
        <v>4.3579999999999997</v>
      </c>
      <c r="O59" s="30">
        <v>3.9620000000000002</v>
      </c>
      <c r="P59" s="30">
        <v>6.2060000000000004</v>
      </c>
      <c r="Q59" s="30">
        <v>9.1809999999999992</v>
      </c>
      <c r="R59" s="30">
        <v>11.731999999999999</v>
      </c>
      <c r="S59" s="30">
        <v>14.304</v>
      </c>
      <c r="T59" s="30">
        <v>0.374</v>
      </c>
      <c r="U59" s="30">
        <v>18.606000000000002</v>
      </c>
      <c r="V59" s="30">
        <v>19.155999999999999</v>
      </c>
      <c r="W59" s="30">
        <v>19.736999999999998</v>
      </c>
      <c r="X59" s="30">
        <v>20.652207000000001</v>
      </c>
      <c r="Y59" s="30">
        <v>21.024000000000001</v>
      </c>
      <c r="Z59" s="30">
        <v>20.251999999999999</v>
      </c>
      <c r="AA59" s="30">
        <v>29.33</v>
      </c>
      <c r="AB59" s="30">
        <v>30.989000000000001</v>
      </c>
      <c r="AC59" s="30">
        <v>30.228000000000002</v>
      </c>
      <c r="AD59" s="30">
        <v>30.989000000000001</v>
      </c>
      <c r="AE59" s="30">
        <v>30.512</v>
      </c>
      <c r="AF59" s="30">
        <v>30.44</v>
      </c>
      <c r="AG59" s="30">
        <v>33.988</v>
      </c>
      <c r="AH59" s="30">
        <v>38.451231</v>
      </c>
      <c r="AI59" s="30">
        <v>41.655000000000001</v>
      </c>
      <c r="AJ59" s="31">
        <v>1.3540000000000001</v>
      </c>
      <c r="AK59" s="30">
        <v>2.3119999999999998</v>
      </c>
      <c r="AL59" s="30">
        <v>2.8149999999999999</v>
      </c>
      <c r="AM59" s="30">
        <v>4.5</v>
      </c>
      <c r="AN59" s="30">
        <v>6.3049999999999997</v>
      </c>
      <c r="AO59" s="30">
        <v>5.1589999999999998</v>
      </c>
      <c r="AP59" s="30">
        <v>5.968</v>
      </c>
      <c r="AQ59" s="30">
        <v>6.5880000000000001</v>
      </c>
      <c r="AR59" s="30">
        <v>4.2229999999999999</v>
      </c>
      <c r="AS59" s="30">
        <v>4.1559999999999997</v>
      </c>
      <c r="AT59" s="30">
        <v>3.2130000000000001</v>
      </c>
      <c r="AU59" s="30">
        <v>3.1869999999999998</v>
      </c>
      <c r="AV59" s="30">
        <v>3.1920000000000002</v>
      </c>
      <c r="AW59" s="30">
        <v>2.665</v>
      </c>
      <c r="AX59" s="30">
        <v>2.8039999999999998</v>
      </c>
      <c r="AY59" s="30">
        <v>2.4860000000000002</v>
      </c>
      <c r="AZ59" s="30">
        <v>2.0994000000000002</v>
      </c>
      <c r="BA59" s="30">
        <v>2.008</v>
      </c>
      <c r="BB59" s="24">
        <f>((BC59-BA59)/2)+BA59</f>
        <v>1.9555</v>
      </c>
      <c r="BC59" s="30">
        <v>1.903</v>
      </c>
      <c r="BD59" s="30">
        <v>1.8879999999999999</v>
      </c>
      <c r="BE59" s="30">
        <v>1.5089999999999999</v>
      </c>
      <c r="BF59" s="30">
        <v>1.321812</v>
      </c>
      <c r="BG59" s="30">
        <v>0.219</v>
      </c>
      <c r="BH59" s="30">
        <v>0.28499999999999998</v>
      </c>
      <c r="BI59" s="30">
        <v>0.95499999999999996</v>
      </c>
      <c r="BJ59" s="30">
        <v>0.876</v>
      </c>
      <c r="BK59" s="30">
        <v>1.014</v>
      </c>
      <c r="BL59" s="30">
        <v>1.163</v>
      </c>
      <c r="BM59" s="30">
        <v>1.2110000000000001</v>
      </c>
      <c r="BN59" s="30" t="s">
        <v>45</v>
      </c>
      <c r="BO59" s="30" t="s">
        <v>45</v>
      </c>
      <c r="BP59" s="30" t="s">
        <v>45</v>
      </c>
      <c r="BQ59" s="30" t="s">
        <v>45</v>
      </c>
      <c r="BR59" s="31" t="s">
        <v>37</v>
      </c>
      <c r="BS59" s="30" t="s">
        <v>37</v>
      </c>
      <c r="BT59" s="30" t="s">
        <v>37</v>
      </c>
      <c r="BU59" s="30" t="s">
        <v>37</v>
      </c>
      <c r="BV59" s="30" t="s">
        <v>37</v>
      </c>
      <c r="BW59" s="30" t="s">
        <v>37</v>
      </c>
      <c r="BX59" s="30" t="s">
        <v>37</v>
      </c>
      <c r="BY59" s="30" t="s">
        <v>45</v>
      </c>
      <c r="BZ59" s="30" t="s">
        <v>45</v>
      </c>
      <c r="CA59" s="30" t="s">
        <v>45</v>
      </c>
      <c r="CB59" s="30" t="s">
        <v>45</v>
      </c>
      <c r="CC59" s="30" t="s">
        <v>45</v>
      </c>
      <c r="CD59" s="30" t="s">
        <v>45</v>
      </c>
      <c r="CE59" s="30" t="s">
        <v>45</v>
      </c>
      <c r="CF59" s="30" t="s">
        <v>45</v>
      </c>
      <c r="CG59" s="26">
        <f t="shared" si="149"/>
        <v>19.672000000000001</v>
      </c>
      <c r="CH59" s="27">
        <f t="shared" si="150"/>
        <v>24.513000000000002</v>
      </c>
      <c r="CI59" s="27">
        <f t="shared" si="151"/>
        <v>26.07</v>
      </c>
      <c r="CJ59" s="27">
        <f t="shared" si="152"/>
        <v>29.600999999999999</v>
      </c>
      <c r="CK59" s="27">
        <f t="shared" si="153"/>
        <v>33.003</v>
      </c>
      <c r="CL59" s="27">
        <f t="shared" si="154"/>
        <v>28.504999999999999</v>
      </c>
      <c r="CM59" s="27">
        <f t="shared" si="155"/>
        <v>30.707000000000001</v>
      </c>
      <c r="CN59" s="27">
        <f t="shared" si="156"/>
        <v>30.739000000000001</v>
      </c>
      <c r="CO59" s="27">
        <f t="shared" si="157"/>
        <v>13.358000000000001</v>
      </c>
      <c r="CP59" s="27">
        <f t="shared" si="158"/>
        <v>12.341000000000001</v>
      </c>
      <c r="CQ59" s="27">
        <f t="shared" si="159"/>
        <v>8.5760000000000005</v>
      </c>
      <c r="CR59" s="27">
        <f t="shared" si="160"/>
        <v>10.346</v>
      </c>
      <c r="CS59" s="27">
        <f t="shared" si="161"/>
        <v>7.55</v>
      </c>
      <c r="CT59" s="27">
        <f t="shared" si="162"/>
        <v>6.6270000000000007</v>
      </c>
      <c r="CU59" s="27">
        <f t="shared" si="163"/>
        <v>9.01</v>
      </c>
      <c r="CV59" s="27">
        <f t="shared" si="164"/>
        <v>11.667</v>
      </c>
      <c r="CW59" s="27">
        <f t="shared" si="165"/>
        <v>13.831399999999999</v>
      </c>
      <c r="CX59" s="27">
        <f t="shared" si="166"/>
        <v>16.312000000000001</v>
      </c>
      <c r="CY59" s="27">
        <f t="shared" si="167"/>
        <v>2.3294999999999999</v>
      </c>
      <c r="CZ59" s="27">
        <f t="shared" si="168"/>
        <v>20.509</v>
      </c>
      <c r="DA59" s="27">
        <f t="shared" si="169"/>
        <v>21.043999999999997</v>
      </c>
      <c r="DB59" s="27">
        <f t="shared" si="170"/>
        <v>21.245999999999999</v>
      </c>
      <c r="DC59" s="27">
        <f t="shared" si="171"/>
        <v>21.974019000000002</v>
      </c>
      <c r="DD59" s="27">
        <f t="shared" si="172"/>
        <v>21.243000000000002</v>
      </c>
      <c r="DE59" s="27">
        <f t="shared" si="173"/>
        <v>20.536999999999999</v>
      </c>
      <c r="DF59" s="27">
        <f t="shared" si="174"/>
        <v>30.284999999999997</v>
      </c>
      <c r="DG59" s="27">
        <f t="shared" si="175"/>
        <v>31.865000000000002</v>
      </c>
      <c r="DH59" s="27">
        <f t="shared" si="176"/>
        <v>31.242000000000001</v>
      </c>
      <c r="DI59" s="27">
        <f t="shared" si="177"/>
        <v>32.152000000000001</v>
      </c>
      <c r="DJ59" s="27">
        <f t="shared" si="178"/>
        <v>31.722999999999999</v>
      </c>
      <c r="DK59" s="27">
        <f t="shared" si="179"/>
        <v>30.44</v>
      </c>
      <c r="DL59" s="27">
        <f t="shared" si="180"/>
        <v>33.988</v>
      </c>
      <c r="DM59" s="27">
        <f t="shared" si="181"/>
        <v>38.451231</v>
      </c>
      <c r="DN59" s="27">
        <f t="shared" si="181"/>
        <v>41.655000000000001</v>
      </c>
      <c r="EO59" s="22"/>
      <c r="EP59" s="22"/>
      <c r="EQ59" s="22"/>
      <c r="ER59" s="22"/>
      <c r="ES59" s="22"/>
    </row>
    <row r="60" spans="1:149">
      <c r="A60" s="23" t="s">
        <v>88</v>
      </c>
      <c r="B60" s="30">
        <v>0.5</v>
      </c>
      <c r="C60" s="30">
        <v>0.56599999999999995</v>
      </c>
      <c r="D60" s="30">
        <v>0.76600000000000001</v>
      </c>
      <c r="E60" s="30">
        <v>0.72</v>
      </c>
      <c r="F60" s="30">
        <v>0.63600000000000001</v>
      </c>
      <c r="G60" s="30">
        <v>0.625</v>
      </c>
      <c r="H60" s="30">
        <v>0.58499999999999996</v>
      </c>
      <c r="I60" s="30">
        <v>0.51900000000000002</v>
      </c>
      <c r="J60" s="30">
        <v>0.56799999999999995</v>
      </c>
      <c r="K60" s="30">
        <v>0.16200000000000001</v>
      </c>
      <c r="L60" s="30">
        <v>0.20399999999999999</v>
      </c>
      <c r="M60" s="30">
        <v>6.4000000000000001E-2</v>
      </c>
      <c r="N60" s="24">
        <f>((O60-M60)/2)+M60</f>
        <v>0.45049999999999996</v>
      </c>
      <c r="O60" s="30">
        <v>0.83699999999999997</v>
      </c>
      <c r="P60" s="30" t="s">
        <v>37</v>
      </c>
      <c r="Q60" s="30" t="s">
        <v>37</v>
      </c>
      <c r="R60" s="30" t="s">
        <v>37</v>
      </c>
      <c r="S60" s="30" t="s">
        <v>37</v>
      </c>
      <c r="T60" s="30" t="s">
        <v>37</v>
      </c>
      <c r="U60" s="30" t="s">
        <v>37</v>
      </c>
      <c r="V60" s="30" t="s">
        <v>37</v>
      </c>
      <c r="W60" s="30" t="s">
        <v>37</v>
      </c>
      <c r="X60" s="30" t="s">
        <v>37</v>
      </c>
      <c r="Y60" s="30" t="s">
        <v>37</v>
      </c>
      <c r="Z60" s="30" t="s">
        <v>37</v>
      </c>
      <c r="AA60" s="30" t="s">
        <v>37</v>
      </c>
      <c r="AB60" s="30" t="s">
        <v>45</v>
      </c>
      <c r="AC60" s="30" t="s">
        <v>45</v>
      </c>
      <c r="AD60" s="30" t="s">
        <v>45</v>
      </c>
      <c r="AE60" s="30" t="s">
        <v>45</v>
      </c>
      <c r="AF60" s="30">
        <v>1.5249999999999999</v>
      </c>
      <c r="AG60" s="30">
        <v>1.5249999999999999</v>
      </c>
      <c r="AH60" s="30">
        <v>1.5249999999999999</v>
      </c>
      <c r="AI60" s="30">
        <v>1.8129999999999999</v>
      </c>
      <c r="AJ60" s="31" t="s">
        <v>37</v>
      </c>
      <c r="AK60" s="30" t="s">
        <v>37</v>
      </c>
      <c r="AL60" s="30" t="s">
        <v>37</v>
      </c>
      <c r="AM60" s="30" t="s">
        <v>37</v>
      </c>
      <c r="AN60" s="30" t="s">
        <v>37</v>
      </c>
      <c r="AO60" s="30" t="s">
        <v>37</v>
      </c>
      <c r="AP60" s="30" t="s">
        <v>37</v>
      </c>
      <c r="AQ60" s="30" t="s">
        <v>37</v>
      </c>
      <c r="AR60" s="30" t="s">
        <v>37</v>
      </c>
      <c r="AS60" s="30" t="s">
        <v>37</v>
      </c>
      <c r="AT60" s="30" t="s">
        <v>37</v>
      </c>
      <c r="AU60" s="30">
        <v>0.51600000000000001</v>
      </c>
      <c r="AV60" s="30" t="s">
        <v>45</v>
      </c>
      <c r="AW60" s="30">
        <v>0.04</v>
      </c>
      <c r="AX60" s="30">
        <v>0.04</v>
      </c>
      <c r="AY60" s="30">
        <v>0.04</v>
      </c>
      <c r="AZ60" s="24">
        <f>(($BC$60-$AY$60)/4)+AY60</f>
        <v>6.225E-2</v>
      </c>
      <c r="BA60" s="24">
        <f>(($BC$60-$AY$60)/4)+AZ60</f>
        <v>8.4499999999999992E-2</v>
      </c>
      <c r="BB60" s="24">
        <f>(($BC$60-$AY$60)/4)+BA60</f>
        <v>0.10674999999999998</v>
      </c>
      <c r="BC60" s="30">
        <v>0.129</v>
      </c>
      <c r="BD60" s="30">
        <v>0.128</v>
      </c>
      <c r="BE60" s="30">
        <v>0.14199999999999999</v>
      </c>
      <c r="BF60" s="30">
        <v>0.120132</v>
      </c>
      <c r="BG60" s="30">
        <v>0.25800000000000001</v>
      </c>
      <c r="BH60" s="30">
        <v>0.5</v>
      </c>
      <c r="BI60" s="30">
        <v>0.61399999999999999</v>
      </c>
      <c r="BJ60" s="30">
        <v>0.54300000000000004</v>
      </c>
      <c r="BK60" s="30">
        <v>0.67700000000000005</v>
      </c>
      <c r="BL60" s="30">
        <v>0.36699999999999999</v>
      </c>
      <c r="BM60" s="30">
        <v>0.317</v>
      </c>
      <c r="BN60" s="30">
        <v>0.24399999999999999</v>
      </c>
      <c r="BO60" s="30">
        <v>8.8999999999999996E-2</v>
      </c>
      <c r="BP60" s="30">
        <v>0.190389</v>
      </c>
      <c r="BQ60" s="30">
        <v>0.548786</v>
      </c>
      <c r="BR60" s="31" t="s">
        <v>37</v>
      </c>
      <c r="BS60" s="30" t="s">
        <v>37</v>
      </c>
      <c r="BT60" s="30" t="s">
        <v>37</v>
      </c>
      <c r="BU60" s="30" t="s">
        <v>37</v>
      </c>
      <c r="BV60" s="30" t="s">
        <v>37</v>
      </c>
      <c r="BW60" s="30" t="s">
        <v>37</v>
      </c>
      <c r="BX60" s="30" t="s">
        <v>37</v>
      </c>
      <c r="BY60" s="30" t="s">
        <v>45</v>
      </c>
      <c r="BZ60" s="30" t="s">
        <v>45</v>
      </c>
      <c r="CA60" s="30">
        <v>3.5999999999999997E-2</v>
      </c>
      <c r="CB60" s="30">
        <v>4.8000000000000001E-2</v>
      </c>
      <c r="CC60" s="30">
        <v>4.9000000000000002E-2</v>
      </c>
      <c r="CD60" s="30">
        <v>4.5999999999999999E-2</v>
      </c>
      <c r="CE60" s="30">
        <v>4.4499999999999998E-2</v>
      </c>
      <c r="CF60" s="30">
        <v>4.4792999999999999E-2</v>
      </c>
      <c r="CG60" s="26">
        <f t="shared" si="149"/>
        <v>0.5</v>
      </c>
      <c r="CH60" s="27">
        <f t="shared" si="150"/>
        <v>0.56599999999999995</v>
      </c>
      <c r="CI60" s="27">
        <f t="shared" si="151"/>
        <v>0.76600000000000001</v>
      </c>
      <c r="CJ60" s="27">
        <f t="shared" si="152"/>
        <v>0.72</v>
      </c>
      <c r="CK60" s="27">
        <f t="shared" si="153"/>
        <v>0.63600000000000001</v>
      </c>
      <c r="CL60" s="27">
        <f t="shared" si="154"/>
        <v>0.625</v>
      </c>
      <c r="CM60" s="27">
        <f t="shared" si="155"/>
        <v>0.58499999999999996</v>
      </c>
      <c r="CN60" s="27">
        <f t="shared" si="156"/>
        <v>0.51900000000000002</v>
      </c>
      <c r="CO60" s="27">
        <f t="shared" si="157"/>
        <v>0.56799999999999995</v>
      </c>
      <c r="CP60" s="27">
        <f t="shared" si="158"/>
        <v>0.16200000000000001</v>
      </c>
      <c r="CQ60" s="27">
        <f t="shared" si="159"/>
        <v>0.20399999999999999</v>
      </c>
      <c r="CR60" s="27">
        <f t="shared" si="160"/>
        <v>0.58000000000000007</v>
      </c>
      <c r="CS60" s="27">
        <f t="shared" si="161"/>
        <v>0.45049999999999996</v>
      </c>
      <c r="CT60" s="27">
        <f t="shared" si="162"/>
        <v>0.877</v>
      </c>
      <c r="CU60" s="27">
        <f t="shared" si="163"/>
        <v>0.04</v>
      </c>
      <c r="CV60" s="27">
        <f t="shared" si="164"/>
        <v>0.04</v>
      </c>
      <c r="CW60" s="27">
        <f t="shared" si="165"/>
        <v>6.225E-2</v>
      </c>
      <c r="CX60" s="27">
        <f t="shared" si="166"/>
        <v>8.4499999999999992E-2</v>
      </c>
      <c r="CY60" s="27">
        <f t="shared" si="167"/>
        <v>0.10674999999999998</v>
      </c>
      <c r="CZ60" s="27">
        <f t="shared" si="168"/>
        <v>0.129</v>
      </c>
      <c r="DA60" s="27">
        <f t="shared" si="169"/>
        <v>0.128</v>
      </c>
      <c r="DB60" s="27">
        <f t="shared" si="170"/>
        <v>0.14199999999999999</v>
      </c>
      <c r="DC60" s="27">
        <f t="shared" si="171"/>
        <v>0.120132</v>
      </c>
      <c r="DD60" s="27">
        <f t="shared" si="172"/>
        <v>0.25800000000000001</v>
      </c>
      <c r="DE60" s="27">
        <f t="shared" si="173"/>
        <v>0.5</v>
      </c>
      <c r="DF60" s="27">
        <f t="shared" si="174"/>
        <v>0.61399999999999999</v>
      </c>
      <c r="DG60" s="27">
        <f t="shared" si="175"/>
        <v>0.54300000000000004</v>
      </c>
      <c r="DH60" s="27">
        <f t="shared" si="176"/>
        <v>0.67700000000000005</v>
      </c>
      <c r="DI60" s="27">
        <f t="shared" si="177"/>
        <v>0.40299999999999997</v>
      </c>
      <c r="DJ60" s="27">
        <f t="shared" si="178"/>
        <v>0.36499999999999999</v>
      </c>
      <c r="DK60" s="27">
        <f t="shared" si="179"/>
        <v>1.8179999999999998</v>
      </c>
      <c r="DL60" s="27">
        <f t="shared" si="180"/>
        <v>1.66</v>
      </c>
      <c r="DM60" s="27">
        <f t="shared" si="181"/>
        <v>1.7598889999999998</v>
      </c>
      <c r="DN60" s="27">
        <f t="shared" si="181"/>
        <v>2.4065789999999998</v>
      </c>
      <c r="EO60" s="22"/>
      <c r="EP60" s="22"/>
      <c r="EQ60" s="22"/>
      <c r="ER60" s="22"/>
      <c r="ES60" s="22"/>
    </row>
    <row r="61" spans="1:149">
      <c r="A61" s="23" t="s">
        <v>89</v>
      </c>
      <c r="B61" s="30" t="s">
        <v>37</v>
      </c>
      <c r="C61" s="30" t="s">
        <v>37</v>
      </c>
      <c r="D61" s="30" t="s">
        <v>37</v>
      </c>
      <c r="E61" s="30" t="s">
        <v>37</v>
      </c>
      <c r="F61" s="30">
        <v>0.52</v>
      </c>
      <c r="G61" s="30">
        <v>0.12</v>
      </c>
      <c r="H61" s="30">
        <v>0.12</v>
      </c>
      <c r="I61" s="30">
        <v>0.123</v>
      </c>
      <c r="J61" s="30">
        <v>5.2999999999999999E-2</v>
      </c>
      <c r="K61" s="30" t="s">
        <v>37</v>
      </c>
      <c r="L61" s="30" t="s">
        <v>37</v>
      </c>
      <c r="M61" s="30" t="s">
        <v>37</v>
      </c>
      <c r="N61" s="30" t="s">
        <v>37</v>
      </c>
      <c r="O61" s="30" t="s">
        <v>37</v>
      </c>
      <c r="P61" s="30" t="s">
        <v>37</v>
      </c>
      <c r="Q61" s="30" t="s">
        <v>37</v>
      </c>
      <c r="R61" s="30" t="s">
        <v>37</v>
      </c>
      <c r="S61" s="30" t="s">
        <v>37</v>
      </c>
      <c r="T61" s="30" t="s">
        <v>37</v>
      </c>
      <c r="U61" s="30" t="s">
        <v>37</v>
      </c>
      <c r="V61" s="30" t="s">
        <v>37</v>
      </c>
      <c r="W61" s="30" t="s">
        <v>37</v>
      </c>
      <c r="X61" s="30" t="s">
        <v>37</v>
      </c>
      <c r="Y61" s="30" t="s">
        <v>37</v>
      </c>
      <c r="Z61" s="30" t="s">
        <v>37</v>
      </c>
      <c r="AA61" s="30" t="s">
        <v>37</v>
      </c>
      <c r="AB61" s="30" t="s">
        <v>45</v>
      </c>
      <c r="AC61" s="30" t="s">
        <v>45</v>
      </c>
      <c r="AD61" s="30" t="s">
        <v>45</v>
      </c>
      <c r="AE61" s="30" t="s">
        <v>45</v>
      </c>
      <c r="AF61" s="30" t="s">
        <v>45</v>
      </c>
      <c r="AG61" s="30" t="s">
        <v>45</v>
      </c>
      <c r="AH61" s="30" t="s">
        <v>45</v>
      </c>
      <c r="AI61" s="30" t="s">
        <v>45</v>
      </c>
      <c r="AJ61" s="31" t="s">
        <v>37</v>
      </c>
      <c r="AK61" s="30" t="s">
        <v>37</v>
      </c>
      <c r="AL61" s="30" t="s">
        <v>37</v>
      </c>
      <c r="AM61" s="30" t="s">
        <v>37</v>
      </c>
      <c r="AN61" s="30" t="s">
        <v>37</v>
      </c>
      <c r="AO61" s="30" t="s">
        <v>37</v>
      </c>
      <c r="AP61" s="30" t="s">
        <v>37</v>
      </c>
      <c r="AQ61" s="30" t="s">
        <v>37</v>
      </c>
      <c r="AR61" s="30" t="s">
        <v>37</v>
      </c>
      <c r="AS61" s="30" t="s">
        <v>37</v>
      </c>
      <c r="AT61" s="30" t="s">
        <v>37</v>
      </c>
      <c r="AU61" s="30" t="s">
        <v>37</v>
      </c>
      <c r="AV61" s="30" t="s">
        <v>37</v>
      </c>
      <c r="AW61" s="30" t="s">
        <v>37</v>
      </c>
      <c r="AX61" s="30" t="s">
        <v>37</v>
      </c>
      <c r="AY61" s="30" t="s">
        <v>37</v>
      </c>
      <c r="AZ61" s="30" t="s">
        <v>37</v>
      </c>
      <c r="BA61" s="30" t="s">
        <v>37</v>
      </c>
      <c r="BB61" s="30" t="s">
        <v>37</v>
      </c>
      <c r="BC61" s="30" t="s">
        <v>37</v>
      </c>
      <c r="BD61" s="30" t="s">
        <v>37</v>
      </c>
      <c r="BE61" s="30" t="s">
        <v>37</v>
      </c>
      <c r="BF61" s="30" t="s">
        <v>37</v>
      </c>
      <c r="BG61" s="30" t="s">
        <v>37</v>
      </c>
      <c r="BH61" s="30" t="s">
        <v>37</v>
      </c>
      <c r="BI61" s="30" t="s">
        <v>37</v>
      </c>
      <c r="BJ61" s="30" t="s">
        <v>45</v>
      </c>
      <c r="BK61" s="30" t="s">
        <v>45</v>
      </c>
      <c r="BL61" s="30" t="s">
        <v>45</v>
      </c>
      <c r="BM61" s="30" t="s">
        <v>45</v>
      </c>
      <c r="BN61" s="30" t="s">
        <v>45</v>
      </c>
      <c r="BO61" s="30" t="s">
        <v>45</v>
      </c>
      <c r="BP61" s="30" t="s">
        <v>45</v>
      </c>
      <c r="BQ61" s="30" t="s">
        <v>45</v>
      </c>
      <c r="BR61" s="31">
        <v>0.47</v>
      </c>
      <c r="BS61" s="24">
        <f>((BT61-BR61)/2)+BR61</f>
        <v>0.29749999999999999</v>
      </c>
      <c r="BT61" s="30">
        <v>0.125</v>
      </c>
      <c r="BU61" s="30" t="s">
        <v>37</v>
      </c>
      <c r="BV61" s="30" t="s">
        <v>37</v>
      </c>
      <c r="BW61" s="30" t="s">
        <v>37</v>
      </c>
      <c r="BX61" s="30" t="s">
        <v>37</v>
      </c>
      <c r="BY61" s="30" t="s">
        <v>45</v>
      </c>
      <c r="BZ61" s="30" t="s">
        <v>45</v>
      </c>
      <c r="CA61" s="30" t="s">
        <v>45</v>
      </c>
      <c r="CB61" s="30" t="s">
        <v>45</v>
      </c>
      <c r="CC61" s="30" t="s">
        <v>45</v>
      </c>
      <c r="CD61" s="30" t="s">
        <v>45</v>
      </c>
      <c r="CE61" s="30" t="s">
        <v>45</v>
      </c>
      <c r="CF61" s="30" t="s">
        <v>45</v>
      </c>
      <c r="CG61" s="26">
        <f t="shared" si="149"/>
        <v>0</v>
      </c>
      <c r="CH61" s="27">
        <f t="shared" si="150"/>
        <v>0</v>
      </c>
      <c r="CI61" s="27">
        <f t="shared" si="151"/>
        <v>0</v>
      </c>
      <c r="CJ61" s="27">
        <f t="shared" si="152"/>
        <v>0</v>
      </c>
      <c r="CK61" s="27">
        <f t="shared" si="153"/>
        <v>0.52</v>
      </c>
      <c r="CL61" s="27">
        <f t="shared" si="154"/>
        <v>0.12</v>
      </c>
      <c r="CM61" s="27">
        <f t="shared" si="155"/>
        <v>0.12</v>
      </c>
      <c r="CN61" s="27">
        <f t="shared" si="156"/>
        <v>0.123</v>
      </c>
      <c r="CO61" s="27">
        <f t="shared" si="157"/>
        <v>5.2999999999999999E-2</v>
      </c>
      <c r="CP61" s="27">
        <f t="shared" si="158"/>
        <v>0</v>
      </c>
      <c r="CQ61" s="27">
        <f t="shared" si="159"/>
        <v>0</v>
      </c>
      <c r="CR61" s="27">
        <f t="shared" si="160"/>
        <v>0</v>
      </c>
      <c r="CS61" s="27">
        <f t="shared" si="161"/>
        <v>0</v>
      </c>
      <c r="CT61" s="27">
        <f t="shared" si="162"/>
        <v>0</v>
      </c>
      <c r="CU61" s="27">
        <f t="shared" si="163"/>
        <v>0</v>
      </c>
      <c r="CV61" s="27">
        <f t="shared" si="164"/>
        <v>0</v>
      </c>
      <c r="CW61" s="27">
        <f t="shared" si="165"/>
        <v>0</v>
      </c>
      <c r="CX61" s="27">
        <f t="shared" si="166"/>
        <v>0</v>
      </c>
      <c r="CY61" s="27">
        <f t="shared" si="167"/>
        <v>0</v>
      </c>
      <c r="CZ61" s="27">
        <f t="shared" si="168"/>
        <v>0.47</v>
      </c>
      <c r="DA61" s="27">
        <f t="shared" si="169"/>
        <v>0.29749999999999999</v>
      </c>
      <c r="DB61" s="27">
        <f t="shared" si="170"/>
        <v>0.125</v>
      </c>
      <c r="DC61" s="27">
        <f t="shared" si="171"/>
        <v>0</v>
      </c>
      <c r="DD61" s="27">
        <f t="shared" si="172"/>
        <v>0</v>
      </c>
      <c r="DE61" s="27">
        <f t="shared" si="173"/>
        <v>0</v>
      </c>
      <c r="DF61" s="27">
        <f t="shared" si="174"/>
        <v>0</v>
      </c>
      <c r="DG61" s="27">
        <f t="shared" si="175"/>
        <v>0</v>
      </c>
      <c r="DH61" s="27">
        <f t="shared" si="176"/>
        <v>0</v>
      </c>
      <c r="DI61" s="27">
        <f t="shared" si="177"/>
        <v>0</v>
      </c>
      <c r="DJ61" s="27">
        <f t="shared" si="178"/>
        <v>0</v>
      </c>
      <c r="DK61" s="27">
        <f t="shared" si="179"/>
        <v>0</v>
      </c>
      <c r="DL61" s="27">
        <f t="shared" si="180"/>
        <v>0</v>
      </c>
      <c r="DM61" s="27">
        <f t="shared" si="181"/>
        <v>0</v>
      </c>
      <c r="DN61" s="27">
        <f t="shared" si="181"/>
        <v>0</v>
      </c>
      <c r="EO61" s="22"/>
      <c r="EP61" s="22"/>
      <c r="EQ61" s="22"/>
      <c r="ER61" s="22"/>
      <c r="ES61" s="22"/>
    </row>
    <row r="62" spans="1:149">
      <c r="A62" s="32" t="s">
        <v>90</v>
      </c>
      <c r="B62" s="33" t="s">
        <v>37</v>
      </c>
      <c r="C62" s="33" t="s">
        <v>37</v>
      </c>
      <c r="D62" s="33" t="s">
        <v>37</v>
      </c>
      <c r="E62" s="33" t="s">
        <v>37</v>
      </c>
      <c r="F62" s="33" t="s">
        <v>37</v>
      </c>
      <c r="G62" s="33" t="s">
        <v>37</v>
      </c>
      <c r="H62" s="33" t="s">
        <v>37</v>
      </c>
      <c r="I62" s="33" t="s">
        <v>37</v>
      </c>
      <c r="J62" s="33" t="s">
        <v>37</v>
      </c>
      <c r="K62" s="33" t="s">
        <v>37</v>
      </c>
      <c r="L62" s="33" t="s">
        <v>37</v>
      </c>
      <c r="M62" s="33">
        <v>0.05</v>
      </c>
      <c r="N62" s="33">
        <v>8.9999999999999993E-3</v>
      </c>
      <c r="O62" s="33">
        <v>8.9999999999999993E-3</v>
      </c>
      <c r="P62" s="33">
        <v>8.0000000000000002E-3</v>
      </c>
      <c r="Q62" s="33">
        <v>7.6999999999999999E-2</v>
      </c>
      <c r="R62" s="33">
        <v>7.9000000000000001E-2</v>
      </c>
      <c r="S62" s="33">
        <v>8.6999999999999994E-2</v>
      </c>
      <c r="T62" s="33">
        <v>9.0999999999999998E-2</v>
      </c>
      <c r="U62" s="162">
        <f>((V62-T62)/2)+T62</f>
        <v>0.191</v>
      </c>
      <c r="V62" s="33">
        <v>0.29099999999999998</v>
      </c>
      <c r="W62" s="33">
        <v>9.2999999999999999E-2</v>
      </c>
      <c r="X62" s="33">
        <v>0.10100000000000001</v>
      </c>
      <c r="Y62" s="24">
        <f>(($AA$62-$X$62)/3)+X62</f>
        <v>9.6000000000000002E-2</v>
      </c>
      <c r="Z62" s="24">
        <f>(($AA$62-$X$62)/3)+Y62</f>
        <v>9.0999999999999998E-2</v>
      </c>
      <c r="AA62" s="33">
        <v>8.5999999999999993E-2</v>
      </c>
      <c r="AB62" s="33">
        <v>8.7999999999999995E-2</v>
      </c>
      <c r="AC62" s="33">
        <v>8.5000000000000006E-2</v>
      </c>
      <c r="AD62" s="33">
        <v>8.8999999999999996E-2</v>
      </c>
      <c r="AE62" s="33">
        <v>0.08</v>
      </c>
      <c r="AF62" s="33">
        <v>0.109</v>
      </c>
      <c r="AG62" s="33">
        <v>0.13200000000000001</v>
      </c>
      <c r="AH62" s="33">
        <v>0.114631</v>
      </c>
      <c r="AI62" s="33">
        <v>6.9800000000000001E-2</v>
      </c>
      <c r="AJ62" s="34" t="s">
        <v>37</v>
      </c>
      <c r="AK62" s="33" t="s">
        <v>37</v>
      </c>
      <c r="AL62" s="33" t="s">
        <v>37</v>
      </c>
      <c r="AM62" s="33" t="s">
        <v>37</v>
      </c>
      <c r="AN62" s="33" t="s">
        <v>37</v>
      </c>
      <c r="AO62" s="33" t="s">
        <v>37</v>
      </c>
      <c r="AP62" s="33" t="s">
        <v>37</v>
      </c>
      <c r="AQ62" s="33" t="s">
        <v>37</v>
      </c>
      <c r="AR62" s="33" t="s">
        <v>37</v>
      </c>
      <c r="AS62" s="33" t="s">
        <v>37</v>
      </c>
      <c r="AT62" s="33" t="s">
        <v>37</v>
      </c>
      <c r="AU62" s="33" t="s">
        <v>37</v>
      </c>
      <c r="AV62" s="33" t="s">
        <v>37</v>
      </c>
      <c r="AW62" s="33" t="s">
        <v>37</v>
      </c>
      <c r="AX62" s="33" t="s">
        <v>37</v>
      </c>
      <c r="AY62" s="33" t="s">
        <v>37</v>
      </c>
      <c r="AZ62" s="33" t="s">
        <v>37</v>
      </c>
      <c r="BA62" s="33" t="s">
        <v>37</v>
      </c>
      <c r="BB62" s="33" t="s">
        <v>37</v>
      </c>
      <c r="BC62" s="33" t="s">
        <v>37</v>
      </c>
      <c r="BD62" s="33" t="s">
        <v>37</v>
      </c>
      <c r="BE62" s="33" t="s">
        <v>37</v>
      </c>
      <c r="BF62" s="33" t="s">
        <v>37</v>
      </c>
      <c r="BG62" s="33" t="s">
        <v>37</v>
      </c>
      <c r="BH62" s="33" t="s">
        <v>37</v>
      </c>
      <c r="BI62" s="33" t="s">
        <v>37</v>
      </c>
      <c r="BJ62" s="33" t="s">
        <v>45</v>
      </c>
      <c r="BK62" s="33" t="s">
        <v>45</v>
      </c>
      <c r="BL62" s="33" t="s">
        <v>45</v>
      </c>
      <c r="BM62" s="33" t="s">
        <v>45</v>
      </c>
      <c r="BN62" s="33" t="s">
        <v>45</v>
      </c>
      <c r="BO62" s="33" t="s">
        <v>45</v>
      </c>
      <c r="BP62" s="33" t="s">
        <v>45</v>
      </c>
      <c r="BQ62" s="33" t="s">
        <v>45</v>
      </c>
      <c r="BR62" s="34">
        <v>0.182</v>
      </c>
      <c r="BS62" s="24">
        <f>(($BV$62-$BR$62)/4)+BR62</f>
        <v>0.1605</v>
      </c>
      <c r="BT62" s="24">
        <f>(($BV$62-$BR$62)/4)+BS62</f>
        <v>0.13900000000000001</v>
      </c>
      <c r="BU62" s="24">
        <f>(($BV$62-$BR$62)/4)+BT62</f>
        <v>0.11750000000000002</v>
      </c>
      <c r="BV62" s="33">
        <v>9.6000000000000002E-2</v>
      </c>
      <c r="BW62" s="33">
        <v>9.4E-2</v>
      </c>
      <c r="BX62" s="33" t="s">
        <v>37</v>
      </c>
      <c r="BY62" s="33" t="s">
        <v>45</v>
      </c>
      <c r="BZ62" s="33" t="s">
        <v>45</v>
      </c>
      <c r="CA62" s="33" t="s">
        <v>45</v>
      </c>
      <c r="CB62" s="33" t="s">
        <v>45</v>
      </c>
      <c r="CC62" s="33" t="s">
        <v>45</v>
      </c>
      <c r="CD62" s="264" t="s">
        <v>45</v>
      </c>
      <c r="CE62" s="33" t="s">
        <v>45</v>
      </c>
      <c r="CF62" s="33" t="s">
        <v>45</v>
      </c>
      <c r="CG62" s="35">
        <f t="shared" si="149"/>
        <v>0</v>
      </c>
      <c r="CH62" s="36">
        <f t="shared" si="150"/>
        <v>0</v>
      </c>
      <c r="CI62" s="36">
        <f t="shared" si="151"/>
        <v>0</v>
      </c>
      <c r="CJ62" s="36">
        <f t="shared" si="152"/>
        <v>0</v>
      </c>
      <c r="CK62" s="36">
        <f t="shared" si="153"/>
        <v>0</v>
      </c>
      <c r="CL62" s="36">
        <f t="shared" si="154"/>
        <v>0</v>
      </c>
      <c r="CM62" s="36">
        <f t="shared" si="155"/>
        <v>0</v>
      </c>
      <c r="CN62" s="36">
        <f t="shared" si="156"/>
        <v>0</v>
      </c>
      <c r="CO62" s="36">
        <f t="shared" si="157"/>
        <v>0</v>
      </c>
      <c r="CP62" s="36">
        <f t="shared" si="158"/>
        <v>0</v>
      </c>
      <c r="CQ62" s="36">
        <f t="shared" si="159"/>
        <v>0</v>
      </c>
      <c r="CR62" s="36">
        <f t="shared" si="160"/>
        <v>0.05</v>
      </c>
      <c r="CS62" s="36">
        <f t="shared" si="161"/>
        <v>8.9999999999999993E-3</v>
      </c>
      <c r="CT62" s="36">
        <f t="shared" si="162"/>
        <v>8.9999999999999993E-3</v>
      </c>
      <c r="CU62" s="36">
        <f t="shared" si="163"/>
        <v>8.0000000000000002E-3</v>
      </c>
      <c r="CV62" s="36">
        <f t="shared" si="164"/>
        <v>7.6999999999999999E-2</v>
      </c>
      <c r="CW62" s="36">
        <f t="shared" si="165"/>
        <v>7.9000000000000001E-2</v>
      </c>
      <c r="CX62" s="36">
        <f t="shared" si="166"/>
        <v>8.6999999999999994E-2</v>
      </c>
      <c r="CY62" s="36">
        <f t="shared" si="167"/>
        <v>9.0999999999999998E-2</v>
      </c>
      <c r="CZ62" s="36">
        <f t="shared" si="168"/>
        <v>0.373</v>
      </c>
      <c r="DA62" s="36">
        <f t="shared" si="169"/>
        <v>0.45150000000000001</v>
      </c>
      <c r="DB62" s="36">
        <f t="shared" si="170"/>
        <v>0.23200000000000001</v>
      </c>
      <c r="DC62" s="36">
        <f t="shared" si="171"/>
        <v>0.21850000000000003</v>
      </c>
      <c r="DD62" s="36">
        <f t="shared" si="172"/>
        <v>0.192</v>
      </c>
      <c r="DE62" s="36">
        <f t="shared" si="173"/>
        <v>0.185</v>
      </c>
      <c r="DF62" s="36">
        <f t="shared" si="174"/>
        <v>8.5999999999999993E-2</v>
      </c>
      <c r="DG62" s="36">
        <f t="shared" si="175"/>
        <v>8.7999999999999995E-2</v>
      </c>
      <c r="DH62" s="36">
        <f t="shared" si="176"/>
        <v>8.5000000000000006E-2</v>
      </c>
      <c r="DI62" s="36">
        <f t="shared" si="177"/>
        <v>8.8999999999999996E-2</v>
      </c>
      <c r="DJ62" s="36">
        <f t="shared" si="178"/>
        <v>0.08</v>
      </c>
      <c r="DK62" s="36">
        <f t="shared" si="179"/>
        <v>0.109</v>
      </c>
      <c r="DL62" s="36">
        <f t="shared" si="180"/>
        <v>0.13200000000000001</v>
      </c>
      <c r="DM62" s="36">
        <f t="shared" si="181"/>
        <v>0.114631</v>
      </c>
      <c r="DN62" s="36">
        <f t="shared" si="181"/>
        <v>6.9800000000000001E-2</v>
      </c>
      <c r="EO62" s="22"/>
      <c r="EP62" s="22"/>
      <c r="EQ62" s="22"/>
      <c r="ER62" s="22"/>
      <c r="ES62" s="22"/>
    </row>
    <row r="63" spans="1:149">
      <c r="A63" s="47" t="s">
        <v>91</v>
      </c>
      <c r="B63" s="48" t="s">
        <v>37</v>
      </c>
      <c r="C63" s="48" t="s">
        <v>37</v>
      </c>
      <c r="D63" s="48" t="s">
        <v>37</v>
      </c>
      <c r="E63" s="48" t="s">
        <v>37</v>
      </c>
      <c r="F63" s="48" t="s">
        <v>37</v>
      </c>
      <c r="G63" s="48" t="s">
        <v>37</v>
      </c>
      <c r="H63" s="48" t="s">
        <v>37</v>
      </c>
      <c r="I63" s="48" t="s">
        <v>37</v>
      </c>
      <c r="J63" s="48" t="s">
        <v>37</v>
      </c>
      <c r="K63" s="48" t="s">
        <v>37</v>
      </c>
      <c r="L63" s="48" t="s">
        <v>37</v>
      </c>
      <c r="M63" s="48" t="s">
        <v>37</v>
      </c>
      <c r="N63" s="48" t="s">
        <v>37</v>
      </c>
      <c r="O63" s="48" t="s">
        <v>37</v>
      </c>
      <c r="P63" s="48" t="s">
        <v>37</v>
      </c>
      <c r="Q63" s="48" t="s">
        <v>37</v>
      </c>
      <c r="R63" s="48" t="s">
        <v>37</v>
      </c>
      <c r="S63" s="48" t="s">
        <v>37</v>
      </c>
      <c r="T63" s="48" t="s">
        <v>37</v>
      </c>
      <c r="U63" s="48" t="s">
        <v>37</v>
      </c>
      <c r="V63" s="48">
        <v>27.571999999999999</v>
      </c>
      <c r="W63" s="48">
        <v>28.579000000000001</v>
      </c>
      <c r="X63" s="48">
        <v>30.536217000000001</v>
      </c>
      <c r="Y63" s="48">
        <v>29.266999999999999</v>
      </c>
      <c r="Z63" s="48">
        <v>30.553999999999998</v>
      </c>
      <c r="AA63" s="162">
        <f>((AB63-Z63)/2)+Z63</f>
        <v>31.509</v>
      </c>
      <c r="AB63" s="48">
        <v>32.463999999999999</v>
      </c>
      <c r="AC63" s="48">
        <v>32.630000000000003</v>
      </c>
      <c r="AD63" s="48">
        <v>33.673999999999999</v>
      </c>
      <c r="AE63" s="48">
        <v>32.959000000000003</v>
      </c>
      <c r="AF63" s="48">
        <v>30.597000000000001</v>
      </c>
      <c r="AG63" s="48">
        <v>30.13</v>
      </c>
      <c r="AH63" s="48">
        <v>31.010073999999999</v>
      </c>
      <c r="AI63" s="48">
        <v>29.943732000000001</v>
      </c>
      <c r="AJ63" s="49" t="s">
        <v>37</v>
      </c>
      <c r="AK63" s="48" t="s">
        <v>37</v>
      </c>
      <c r="AL63" s="48" t="s">
        <v>37</v>
      </c>
      <c r="AM63" s="48" t="s">
        <v>37</v>
      </c>
      <c r="AN63" s="48" t="s">
        <v>37</v>
      </c>
      <c r="AO63" s="48" t="s">
        <v>37</v>
      </c>
      <c r="AP63" s="48" t="s">
        <v>37</v>
      </c>
      <c r="AQ63" s="48" t="s">
        <v>37</v>
      </c>
      <c r="AR63" s="48" t="s">
        <v>37</v>
      </c>
      <c r="AS63" s="48" t="s">
        <v>37</v>
      </c>
      <c r="AT63" s="48" t="s">
        <v>37</v>
      </c>
      <c r="AU63" s="48" t="s">
        <v>37</v>
      </c>
      <c r="AV63" s="48" t="s">
        <v>37</v>
      </c>
      <c r="AW63" s="48" t="s">
        <v>37</v>
      </c>
      <c r="AX63" s="48" t="s">
        <v>37</v>
      </c>
      <c r="AY63" s="48" t="s">
        <v>37</v>
      </c>
      <c r="AZ63" s="48" t="s">
        <v>37</v>
      </c>
      <c r="BA63" s="48" t="s">
        <v>37</v>
      </c>
      <c r="BB63" s="48" t="s">
        <v>37</v>
      </c>
      <c r="BC63" s="48" t="s">
        <v>37</v>
      </c>
      <c r="BD63" s="48" t="s">
        <v>37</v>
      </c>
      <c r="BE63" s="48" t="s">
        <v>37</v>
      </c>
      <c r="BF63" s="48" t="s">
        <v>37</v>
      </c>
      <c r="BG63" s="48" t="s">
        <v>37</v>
      </c>
      <c r="BH63" s="48" t="s">
        <v>37</v>
      </c>
      <c r="BI63" s="48" t="s">
        <v>37</v>
      </c>
      <c r="BJ63" s="33" t="s">
        <v>45</v>
      </c>
      <c r="BK63" s="33" t="s">
        <v>45</v>
      </c>
      <c r="BL63" s="33" t="s">
        <v>45</v>
      </c>
      <c r="BM63" s="33" t="s">
        <v>45</v>
      </c>
      <c r="BN63" s="33" t="s">
        <v>45</v>
      </c>
      <c r="BO63" s="33" t="s">
        <v>45</v>
      </c>
      <c r="BP63" s="33" t="s">
        <v>45</v>
      </c>
      <c r="BQ63" s="33" t="s">
        <v>45</v>
      </c>
      <c r="BR63" s="49" t="s">
        <v>37</v>
      </c>
      <c r="BS63" s="48" t="s">
        <v>37</v>
      </c>
      <c r="BT63" s="48" t="s">
        <v>37</v>
      </c>
      <c r="BU63" s="48" t="s">
        <v>37</v>
      </c>
      <c r="BV63" s="48" t="s">
        <v>37</v>
      </c>
      <c r="BW63" s="48" t="s">
        <v>37</v>
      </c>
      <c r="BX63" s="48" t="s">
        <v>37</v>
      </c>
      <c r="BY63" s="48" t="s">
        <v>45</v>
      </c>
      <c r="BZ63" s="48" t="s">
        <v>45</v>
      </c>
      <c r="CA63" s="48" t="s">
        <v>45</v>
      </c>
      <c r="CB63" s="48" t="s">
        <v>45</v>
      </c>
      <c r="CC63" s="48" t="s">
        <v>45</v>
      </c>
      <c r="CD63" s="261" t="s">
        <v>45</v>
      </c>
      <c r="CE63" s="48" t="s">
        <v>45</v>
      </c>
      <c r="CF63" s="48" t="s">
        <v>45</v>
      </c>
      <c r="CG63" s="20">
        <f t="shared" si="149"/>
        <v>0</v>
      </c>
      <c r="CH63" s="21">
        <f t="shared" si="150"/>
        <v>0</v>
      </c>
      <c r="CI63" s="21">
        <f t="shared" si="151"/>
        <v>0</v>
      </c>
      <c r="CJ63" s="21">
        <f t="shared" si="152"/>
        <v>0</v>
      </c>
      <c r="CK63" s="21">
        <f t="shared" si="153"/>
        <v>0</v>
      </c>
      <c r="CL63" s="21">
        <f t="shared" si="154"/>
        <v>0</v>
      </c>
      <c r="CM63" s="21">
        <f t="shared" si="155"/>
        <v>0</v>
      </c>
      <c r="CN63" s="21">
        <f t="shared" si="156"/>
        <v>0</v>
      </c>
      <c r="CO63" s="21">
        <f t="shared" si="157"/>
        <v>0</v>
      </c>
      <c r="CP63" s="21">
        <f t="shared" si="158"/>
        <v>0</v>
      </c>
      <c r="CQ63" s="21">
        <f t="shared" si="159"/>
        <v>0</v>
      </c>
      <c r="CR63" s="21">
        <f t="shared" si="160"/>
        <v>0</v>
      </c>
      <c r="CS63" s="21">
        <f t="shared" si="161"/>
        <v>0</v>
      </c>
      <c r="CT63" s="21">
        <f t="shared" si="162"/>
        <v>0</v>
      </c>
      <c r="CU63" s="21">
        <f t="shared" si="163"/>
        <v>0</v>
      </c>
      <c r="CV63" s="21">
        <f t="shared" si="164"/>
        <v>0</v>
      </c>
      <c r="CW63" s="21">
        <f t="shared" si="165"/>
        <v>0</v>
      </c>
      <c r="CX63" s="21">
        <f t="shared" si="166"/>
        <v>0</v>
      </c>
      <c r="CY63" s="21">
        <f t="shared" si="167"/>
        <v>0</v>
      </c>
      <c r="CZ63" s="21">
        <f t="shared" si="168"/>
        <v>0</v>
      </c>
      <c r="DA63" s="21">
        <f t="shared" si="169"/>
        <v>27.571999999999999</v>
      </c>
      <c r="DB63" s="21">
        <f t="shared" si="170"/>
        <v>28.579000000000001</v>
      </c>
      <c r="DC63" s="21">
        <f t="shared" si="171"/>
        <v>30.536217000000001</v>
      </c>
      <c r="DD63" s="21">
        <f t="shared" si="172"/>
        <v>29.266999999999999</v>
      </c>
      <c r="DE63" s="21">
        <f t="shared" si="173"/>
        <v>30.553999999999998</v>
      </c>
      <c r="DF63" s="21">
        <f t="shared" si="174"/>
        <v>31.509</v>
      </c>
      <c r="DG63" s="21">
        <f t="shared" si="175"/>
        <v>32.463999999999999</v>
      </c>
      <c r="DH63" s="21">
        <f t="shared" si="176"/>
        <v>32.630000000000003</v>
      </c>
      <c r="DI63" s="21">
        <f t="shared" si="177"/>
        <v>33.673999999999999</v>
      </c>
      <c r="DJ63" s="21">
        <f t="shared" si="178"/>
        <v>32.959000000000003</v>
      </c>
      <c r="DK63" s="21">
        <f t="shared" si="179"/>
        <v>30.597000000000001</v>
      </c>
      <c r="DL63" s="21">
        <f t="shared" si="180"/>
        <v>30.13</v>
      </c>
      <c r="DM63" s="21">
        <f t="shared" si="181"/>
        <v>31.010073999999999</v>
      </c>
      <c r="DN63" s="21">
        <f t="shared" si="181"/>
        <v>29.943732000000001</v>
      </c>
      <c r="EO63" s="22"/>
      <c r="EP63" s="22"/>
      <c r="EQ63" s="22"/>
      <c r="ER63" s="22"/>
      <c r="ES63" s="22"/>
    </row>
    <row r="65" spans="2:149" ht="251.25" customHeight="1">
      <c r="B65" s="50" t="s">
        <v>92</v>
      </c>
      <c r="C65" s="50" t="s">
        <v>93</v>
      </c>
      <c r="D65" s="50" t="s">
        <v>94</v>
      </c>
      <c r="E65" s="50" t="s">
        <v>95</v>
      </c>
      <c r="F65" s="50" t="s">
        <v>96</v>
      </c>
      <c r="G65" s="50" t="s">
        <v>97</v>
      </c>
      <c r="H65" s="50" t="s">
        <v>98</v>
      </c>
      <c r="I65" s="50" t="s">
        <v>99</v>
      </c>
      <c r="J65" s="50" t="s">
        <v>100</v>
      </c>
      <c r="K65" s="50" t="s">
        <v>101</v>
      </c>
      <c r="L65" s="50" t="s">
        <v>102</v>
      </c>
      <c r="M65" s="50" t="s">
        <v>103</v>
      </c>
      <c r="N65" s="50" t="s">
        <v>104</v>
      </c>
      <c r="O65" s="50" t="s">
        <v>105</v>
      </c>
      <c r="P65" s="50" t="s">
        <v>106</v>
      </c>
      <c r="Q65" s="50" t="s">
        <v>107</v>
      </c>
      <c r="R65" s="50" t="s">
        <v>108</v>
      </c>
      <c r="S65" s="50" t="s">
        <v>109</v>
      </c>
      <c r="T65" s="50" t="s">
        <v>110</v>
      </c>
      <c r="U65" s="50" t="s">
        <v>111</v>
      </c>
      <c r="V65" s="50" t="s">
        <v>112</v>
      </c>
      <c r="W65" s="50" t="s">
        <v>113</v>
      </c>
      <c r="X65" s="50" t="s">
        <v>114</v>
      </c>
      <c r="Y65" s="50" t="s">
        <v>115</v>
      </c>
      <c r="Z65" s="50" t="s">
        <v>116</v>
      </c>
      <c r="AA65" s="50" t="s">
        <v>117</v>
      </c>
      <c r="AB65" s="50" t="s">
        <v>127</v>
      </c>
      <c r="AC65" s="50" t="s">
        <v>196</v>
      </c>
      <c r="AD65" s="50" t="s">
        <v>199</v>
      </c>
      <c r="AE65" s="50" t="s">
        <v>203</v>
      </c>
      <c r="AF65" s="50" t="s">
        <v>208</v>
      </c>
      <c r="AG65" s="50" t="s">
        <v>211</v>
      </c>
      <c r="AH65" s="50" t="s">
        <v>218</v>
      </c>
      <c r="AI65" s="50" t="s">
        <v>223</v>
      </c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EO65" s="5"/>
      <c r="EP65" s="5"/>
      <c r="EQ65" s="5"/>
      <c r="ER65" s="5"/>
      <c r="ES65" s="5"/>
    </row>
    <row r="66" spans="2:149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</row>
    <row r="67" spans="2:149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CC"/>
  </sheetPr>
  <dimension ref="A1:BM67"/>
  <sheetViews>
    <sheetView zoomScale="80" zoomScaleNormal="8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AI35" sqref="AI35"/>
    </sheetView>
  </sheetViews>
  <sheetFormatPr defaultColWidth="9.140625" defaultRowHeight="12.75"/>
  <cols>
    <col min="1" max="1" width="23.42578125" style="53" customWidth="1"/>
    <col min="2" max="5" width="10.140625" style="8" customWidth="1"/>
    <col min="6" max="15" width="10.140625" style="55" customWidth="1"/>
    <col min="16" max="24" width="10.140625" style="8" customWidth="1"/>
    <col min="25" max="30" width="10.140625" style="23" customWidth="1"/>
    <col min="31" max="31" width="11.42578125" style="23" bestFit="1" customWidth="1"/>
    <col min="32" max="34" width="11.42578125" style="23" customWidth="1"/>
    <col min="35" max="35" width="10.5703125" style="8" customWidth="1"/>
    <col min="36" max="36" width="11.42578125" style="23" customWidth="1"/>
    <col min="37" max="16384" width="9.140625" style="23"/>
  </cols>
  <sheetData>
    <row r="1" spans="1:36">
      <c r="B1" s="2"/>
      <c r="C1" s="2"/>
      <c r="D1" s="2"/>
      <c r="E1" s="2"/>
      <c r="F1" s="54"/>
      <c r="G1" s="54"/>
      <c r="H1" s="54"/>
      <c r="I1" s="54"/>
      <c r="J1" s="54"/>
      <c r="K1" s="54"/>
      <c r="L1" s="54" t="s">
        <v>128</v>
      </c>
      <c r="M1" s="54" t="s">
        <v>129</v>
      </c>
      <c r="N1" s="54" t="s">
        <v>130</v>
      </c>
      <c r="O1" s="54" t="s">
        <v>130</v>
      </c>
      <c r="P1" s="54" t="s">
        <v>130</v>
      </c>
      <c r="Q1" s="54" t="s">
        <v>130</v>
      </c>
      <c r="R1" s="54" t="s">
        <v>130</v>
      </c>
      <c r="S1" s="2"/>
      <c r="T1" s="2"/>
      <c r="U1" s="2" t="s">
        <v>131</v>
      </c>
      <c r="V1" s="2"/>
      <c r="W1" s="2"/>
      <c r="X1" s="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2"/>
    </row>
    <row r="2" spans="1:36">
      <c r="B2" s="7" t="s">
        <v>197</v>
      </c>
      <c r="F2" s="8"/>
      <c r="P2" s="55"/>
      <c r="R2" s="2"/>
      <c r="AE2" s="32"/>
      <c r="AG2" s="17"/>
      <c r="AH2" s="17"/>
    </row>
    <row r="3" spans="1:36"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56" t="s">
        <v>19</v>
      </c>
      <c r="Q3" s="57" t="s">
        <v>20</v>
      </c>
      <c r="R3" s="57" t="s">
        <v>21</v>
      </c>
      <c r="S3" s="57" t="s">
        <v>132</v>
      </c>
      <c r="T3" s="57" t="s">
        <v>133</v>
      </c>
      <c r="U3" s="57" t="s">
        <v>124</v>
      </c>
      <c r="V3" s="57" t="s">
        <v>125</v>
      </c>
      <c r="W3" s="57" t="s">
        <v>126</v>
      </c>
      <c r="X3" s="57" t="s">
        <v>27</v>
      </c>
      <c r="Y3" s="57" t="s">
        <v>28</v>
      </c>
      <c r="Z3" s="13" t="s">
        <v>29</v>
      </c>
      <c r="AA3" s="13" t="s">
        <v>30</v>
      </c>
      <c r="AB3" s="13" t="s">
        <v>31</v>
      </c>
      <c r="AC3" s="13" t="s">
        <v>193</v>
      </c>
      <c r="AD3" s="13" t="s">
        <v>198</v>
      </c>
      <c r="AE3" s="2" t="s">
        <v>202</v>
      </c>
      <c r="AF3" s="13" t="s">
        <v>207</v>
      </c>
      <c r="AG3" s="8" t="s">
        <v>210</v>
      </c>
      <c r="AH3" s="290" t="s">
        <v>217</v>
      </c>
      <c r="AI3" s="295" t="s">
        <v>221</v>
      </c>
      <c r="AJ3" s="8"/>
    </row>
    <row r="4" spans="1:36">
      <c r="A4" s="17" t="s">
        <v>33</v>
      </c>
      <c r="B4" s="18">
        <f>SUM(B5,B23,B38,B52,B63)</f>
        <v>44.383000000000003</v>
      </c>
      <c r="C4" s="18">
        <f t="shared" ref="C4:AB4" si="0">SUM(C5,C23,C38,C52,C63)</f>
        <v>61.709000000000003</v>
      </c>
      <c r="D4" s="18">
        <f t="shared" si="0"/>
        <v>74.181000000000012</v>
      </c>
      <c r="E4" s="18">
        <f t="shared" si="0"/>
        <v>152.88300000000001</v>
      </c>
      <c r="F4" s="18">
        <f t="shared" si="0"/>
        <v>169.74399999999997</v>
      </c>
      <c r="G4" s="18">
        <f t="shared" si="0"/>
        <v>203.11800000000002</v>
      </c>
      <c r="H4" s="18">
        <f t="shared" si="0"/>
        <v>233.66399999999999</v>
      </c>
      <c r="I4" s="18">
        <f t="shared" si="0"/>
        <v>219.66599999999997</v>
      </c>
      <c r="J4" s="18">
        <f t="shared" si="0"/>
        <v>338.89500000000004</v>
      </c>
      <c r="K4" s="18">
        <f t="shared" si="0"/>
        <v>371.90500000000003</v>
      </c>
      <c r="L4" s="18">
        <f t="shared" si="0"/>
        <v>423.29700000000003</v>
      </c>
      <c r="M4" s="18">
        <f t="shared" si="0"/>
        <v>344.08587200000005</v>
      </c>
      <c r="N4" s="18">
        <f t="shared" si="0"/>
        <v>1747.1841262999999</v>
      </c>
      <c r="O4" s="18">
        <f t="shared" si="0"/>
        <v>1868.8662809999994</v>
      </c>
      <c r="P4" s="18">
        <f t="shared" si="0"/>
        <v>2022.6193849999997</v>
      </c>
      <c r="Q4" s="18">
        <f t="shared" si="0"/>
        <v>1582.799</v>
      </c>
      <c r="R4" s="18">
        <f t="shared" si="0"/>
        <v>1731.4159999999999</v>
      </c>
      <c r="S4" s="18">
        <f t="shared" si="0"/>
        <v>1310.0456999999999</v>
      </c>
      <c r="T4" s="18">
        <f t="shared" si="0"/>
        <v>1202.9379999999999</v>
      </c>
      <c r="U4" s="18">
        <f t="shared" si="0"/>
        <v>1115.28</v>
      </c>
      <c r="V4" s="18">
        <f t="shared" si="0"/>
        <v>1182.0895463333334</v>
      </c>
      <c r="W4" s="18">
        <f t="shared" si="0"/>
        <v>1268.3327591666666</v>
      </c>
      <c r="X4" s="18">
        <f t="shared" si="0"/>
        <v>1452.3872650000001</v>
      </c>
      <c r="Y4" s="18">
        <f t="shared" si="0"/>
        <v>1704.61</v>
      </c>
      <c r="Z4" s="18">
        <f t="shared" si="0"/>
        <v>1974.825</v>
      </c>
      <c r="AA4" s="18">
        <f t="shared" si="0"/>
        <v>1837.0075000000002</v>
      </c>
      <c r="AB4" s="18">
        <f t="shared" si="0"/>
        <v>1905.1130000000003</v>
      </c>
      <c r="AC4" s="18">
        <f t="shared" ref="AC4:AH4" si="1">SUM(AC5,AC23,AC38,AC52,AC63)</f>
        <v>1813.0709999999999</v>
      </c>
      <c r="AD4" s="18">
        <f t="shared" si="1"/>
        <v>1737.1420000000001</v>
      </c>
      <c r="AE4" s="18">
        <f t="shared" si="1"/>
        <v>1945.8030000000001</v>
      </c>
      <c r="AF4" s="18">
        <f t="shared" si="1"/>
        <v>1756.4789999999998</v>
      </c>
      <c r="AG4" s="18">
        <f t="shared" si="1"/>
        <v>1886.808</v>
      </c>
      <c r="AH4" s="18">
        <f t="shared" si="1"/>
        <v>1762.915</v>
      </c>
      <c r="AI4" s="18">
        <f t="shared" ref="AI4" si="2">SUM(AI5,AI23,AI38,AI52,AI63)</f>
        <v>1857.7775179999999</v>
      </c>
      <c r="AJ4" s="24"/>
    </row>
    <row r="5" spans="1:36">
      <c r="A5" s="23" t="s">
        <v>34</v>
      </c>
      <c r="B5" s="24">
        <f>SUM(B7:B22)</f>
        <v>20.999000000000002</v>
      </c>
      <c r="C5" s="24">
        <f t="shared" ref="C5:AB5" si="3">SUM(C7:C22)</f>
        <v>32.558</v>
      </c>
      <c r="D5" s="24">
        <f t="shared" si="3"/>
        <v>35.443000000000005</v>
      </c>
      <c r="E5" s="24">
        <f t="shared" si="3"/>
        <v>95.287000000000006</v>
      </c>
      <c r="F5" s="24">
        <f t="shared" si="3"/>
        <v>117.11</v>
      </c>
      <c r="G5" s="24">
        <f t="shared" si="3"/>
        <v>130.52700000000002</v>
      </c>
      <c r="H5" s="24">
        <f t="shared" si="3"/>
        <v>149.047</v>
      </c>
      <c r="I5" s="24">
        <f t="shared" si="3"/>
        <v>158.96099999999998</v>
      </c>
      <c r="J5" s="24">
        <f t="shared" si="3"/>
        <v>203.14699999999999</v>
      </c>
      <c r="K5" s="24">
        <f t="shared" si="3"/>
        <v>199.68700000000001</v>
      </c>
      <c r="L5" s="24">
        <f t="shared" si="3"/>
        <v>162.68800000000002</v>
      </c>
      <c r="M5" s="24">
        <f t="shared" si="3"/>
        <v>149.22229000000002</v>
      </c>
      <c r="N5" s="24">
        <f t="shared" si="3"/>
        <v>423.36486629999996</v>
      </c>
      <c r="O5" s="24">
        <f t="shared" si="3"/>
        <v>477.45341899999994</v>
      </c>
      <c r="P5" s="24">
        <f t="shared" si="3"/>
        <v>453.71959200000015</v>
      </c>
      <c r="Q5" s="24">
        <f t="shared" si="3"/>
        <v>525.51100000000008</v>
      </c>
      <c r="R5" s="24">
        <f t="shared" si="3"/>
        <v>477.94699999999995</v>
      </c>
      <c r="S5" s="24">
        <f t="shared" si="3"/>
        <v>344.00299999999999</v>
      </c>
      <c r="T5" s="24">
        <f t="shared" si="3"/>
        <v>340.81900000000002</v>
      </c>
      <c r="U5" s="24">
        <f t="shared" si="3"/>
        <v>404.55499999999995</v>
      </c>
      <c r="V5" s="24">
        <f t="shared" si="3"/>
        <v>383.94100000000003</v>
      </c>
      <c r="W5" s="24">
        <f t="shared" si="3"/>
        <v>442.16500000000002</v>
      </c>
      <c r="X5" s="24">
        <f t="shared" si="3"/>
        <v>508.60613000000001</v>
      </c>
      <c r="Y5" s="24">
        <f t="shared" si="3"/>
        <v>563.351</v>
      </c>
      <c r="Z5" s="24">
        <f t="shared" si="3"/>
        <v>589.71100000000001</v>
      </c>
      <c r="AA5" s="24">
        <f t="shared" si="3"/>
        <v>603.32899999999995</v>
      </c>
      <c r="AB5" s="24">
        <f t="shared" si="3"/>
        <v>653.74000000000012</v>
      </c>
      <c r="AC5" s="24">
        <f t="shared" ref="AC5:AH5" si="4">SUM(AC7:AC22)</f>
        <v>736.41599999999994</v>
      </c>
      <c r="AD5" s="24">
        <f t="shared" si="4"/>
        <v>734.99800000000005</v>
      </c>
      <c r="AE5" s="24">
        <f t="shared" si="4"/>
        <v>1007.8010000000002</v>
      </c>
      <c r="AF5" s="24">
        <f t="shared" si="4"/>
        <v>796.07</v>
      </c>
      <c r="AG5" s="24">
        <f t="shared" si="4"/>
        <v>917.54</v>
      </c>
      <c r="AH5" s="24">
        <f t="shared" si="4"/>
        <v>740.80399999999997</v>
      </c>
      <c r="AI5" s="24">
        <f t="shared" ref="AI5" si="5">SUM(AI7:AI22)</f>
        <v>789.85273000000007</v>
      </c>
      <c r="AJ5" s="24"/>
    </row>
    <row r="6" spans="1:36">
      <c r="A6" s="7" t="s">
        <v>35</v>
      </c>
      <c r="F6" s="8"/>
      <c r="P6" s="55"/>
      <c r="AE6" s="235"/>
    </row>
    <row r="7" spans="1:36">
      <c r="A7" s="23" t="s">
        <v>36</v>
      </c>
      <c r="B7" s="30">
        <v>0.95199999999999996</v>
      </c>
      <c r="C7" s="30">
        <v>3.464</v>
      </c>
      <c r="D7" s="30"/>
      <c r="E7" s="30">
        <v>3.464</v>
      </c>
      <c r="F7" s="30">
        <v>3.444</v>
      </c>
      <c r="G7" s="30">
        <v>4.891</v>
      </c>
      <c r="H7" s="30">
        <v>4.891</v>
      </c>
      <c r="I7" s="30">
        <v>4.891</v>
      </c>
      <c r="J7" s="30">
        <v>4.891</v>
      </c>
      <c r="K7" s="30">
        <v>6.2889999999999997</v>
      </c>
      <c r="L7" s="30">
        <v>8.282</v>
      </c>
      <c r="M7" s="30">
        <v>0.24662700000000001</v>
      </c>
      <c r="N7" s="30">
        <v>3.3340000000000001</v>
      </c>
      <c r="O7" s="30">
        <v>2.013226</v>
      </c>
      <c r="P7" s="30">
        <v>6.343</v>
      </c>
      <c r="Q7" s="30">
        <f>1.317+5.007</f>
        <v>6.3239999999999998</v>
      </c>
      <c r="R7" s="30">
        <f>1.313+5.025</f>
        <v>6.3380000000000001</v>
      </c>
      <c r="S7" s="58">
        <v>5.8310000000000004</v>
      </c>
      <c r="T7" s="58">
        <v>5.6749999999999998</v>
      </c>
      <c r="U7" s="58">
        <v>0.183</v>
      </c>
      <c r="V7" s="58">
        <v>0.51900000000000002</v>
      </c>
      <c r="W7" s="58">
        <v>0.32</v>
      </c>
      <c r="X7" s="58">
        <v>0.25877699999999998</v>
      </c>
      <c r="Y7" s="59">
        <v>0.17699999999999999</v>
      </c>
      <c r="Z7" s="59">
        <v>0.186</v>
      </c>
      <c r="AA7" s="59">
        <v>0.55600000000000005</v>
      </c>
      <c r="AB7" s="59">
        <v>0.34</v>
      </c>
      <c r="AC7" s="59">
        <v>0.26300000000000001</v>
      </c>
      <c r="AD7" s="59">
        <v>0.23499999999999999</v>
      </c>
      <c r="AE7" s="41" t="s">
        <v>45</v>
      </c>
      <c r="AF7" s="41" t="s">
        <v>45</v>
      </c>
      <c r="AG7" s="41" t="s">
        <v>45</v>
      </c>
      <c r="AH7" s="41" t="s">
        <v>45</v>
      </c>
      <c r="AI7" s="30">
        <v>0.16602700000000001</v>
      </c>
      <c r="AJ7" s="41"/>
    </row>
    <row r="8" spans="1:36">
      <c r="A8" s="23" t="s">
        <v>38</v>
      </c>
      <c r="B8" s="30"/>
      <c r="C8" s="30"/>
      <c r="D8" s="30"/>
      <c r="E8" s="30"/>
      <c r="F8" s="30">
        <v>8.6999999999999994E-2</v>
      </c>
      <c r="G8" s="30">
        <v>0.14399999999999999</v>
      </c>
      <c r="H8" s="30">
        <v>0.17299999999999999</v>
      </c>
      <c r="I8" s="30">
        <v>0.18</v>
      </c>
      <c r="J8" s="30">
        <v>0.18</v>
      </c>
      <c r="K8" s="30">
        <v>0.17</v>
      </c>
      <c r="L8" s="30">
        <v>0.24099999999999999</v>
      </c>
      <c r="M8" s="30">
        <f>(164388+250000+152401+30000)/1000000</f>
        <v>0.59678900000000001</v>
      </c>
      <c r="N8" s="30">
        <v>1.05</v>
      </c>
      <c r="O8" s="30">
        <v>1.2135579999999999</v>
      </c>
      <c r="P8" s="30">
        <v>1.0229999999999999</v>
      </c>
      <c r="Q8" s="30">
        <f>1.1+0</f>
        <v>1.1000000000000001</v>
      </c>
      <c r="R8" s="30">
        <f>0.995</f>
        <v>0.995</v>
      </c>
      <c r="S8" s="60">
        <v>1.089</v>
      </c>
      <c r="T8" s="60">
        <v>0.89400000000000002</v>
      </c>
      <c r="U8" s="60">
        <v>0.63600000000000001</v>
      </c>
      <c r="V8" s="60">
        <v>0.78400000000000003</v>
      </c>
      <c r="W8" s="60">
        <v>1.2270000000000001</v>
      </c>
      <c r="X8" s="60">
        <v>2.7454610000000002</v>
      </c>
      <c r="Y8" s="59">
        <v>3.6749999999999998</v>
      </c>
      <c r="Z8" s="59">
        <v>3.4510000000000001</v>
      </c>
      <c r="AA8" s="59">
        <v>4.1029999999999998</v>
      </c>
      <c r="AB8" s="59">
        <v>6.0359999999999996</v>
      </c>
      <c r="AC8" s="59">
        <v>4.5010000000000003</v>
      </c>
      <c r="AD8" s="59">
        <v>2.786</v>
      </c>
      <c r="AE8" s="235">
        <v>2.9260000000000002</v>
      </c>
      <c r="AF8" s="59">
        <v>2.3759999999999999</v>
      </c>
      <c r="AG8" s="59">
        <v>1.522</v>
      </c>
      <c r="AH8" s="59">
        <v>2.113</v>
      </c>
      <c r="AI8" s="30">
        <v>2.4398019999999998</v>
      </c>
      <c r="AJ8" s="59"/>
    </row>
    <row r="9" spans="1:36">
      <c r="A9" s="23" t="s">
        <v>39</v>
      </c>
      <c r="B9" s="30"/>
      <c r="C9" s="30"/>
      <c r="D9" s="30"/>
      <c r="E9" s="30">
        <v>0.24</v>
      </c>
      <c r="F9" s="30">
        <v>0.1</v>
      </c>
      <c r="G9" s="30">
        <v>9.1999999999999998E-2</v>
      </c>
      <c r="H9" s="30">
        <v>0.183</v>
      </c>
      <c r="I9" s="30">
        <v>0.189</v>
      </c>
      <c r="J9" s="30">
        <v>0.16200000000000001</v>
      </c>
      <c r="K9" s="30">
        <v>1.4999999999999999E-2</v>
      </c>
      <c r="L9" s="30">
        <v>4.9619999999999997</v>
      </c>
      <c r="M9" s="30">
        <f>(50000+48000)/1000000</f>
        <v>9.8000000000000004E-2</v>
      </c>
      <c r="N9" s="30">
        <v>7.0350000000000001</v>
      </c>
      <c r="O9" s="30">
        <v>7.1580000000000004</v>
      </c>
      <c r="P9" s="30">
        <v>7.4509999999999996</v>
      </c>
      <c r="Q9" s="30">
        <f>0.228+8.871</f>
        <v>9.0990000000000002</v>
      </c>
      <c r="R9" s="30">
        <f>0.305+8.739</f>
        <v>9.0440000000000005</v>
      </c>
      <c r="S9" s="58">
        <v>10.673999999999999</v>
      </c>
      <c r="T9" s="58">
        <v>11.53</v>
      </c>
      <c r="U9" s="58">
        <v>0.47</v>
      </c>
      <c r="V9" s="58">
        <v>0.39200000000000002</v>
      </c>
      <c r="W9" s="58">
        <v>0.96099999999999997</v>
      </c>
      <c r="X9" s="58">
        <v>0.63158700000000001</v>
      </c>
      <c r="Y9" s="59">
        <v>0.70699999999999996</v>
      </c>
      <c r="Z9" s="59">
        <v>0.81499999999999995</v>
      </c>
      <c r="AA9" s="59">
        <v>0.875</v>
      </c>
      <c r="AB9" s="59">
        <v>0.84499999999999997</v>
      </c>
      <c r="AC9" s="59">
        <v>0.86399999999999999</v>
      </c>
      <c r="AD9" s="59">
        <v>0.92</v>
      </c>
      <c r="AE9" s="235">
        <v>0.95599999999999996</v>
      </c>
      <c r="AF9" s="59">
        <v>0.872</v>
      </c>
      <c r="AG9" s="59">
        <v>1.5229999999999999</v>
      </c>
      <c r="AH9" s="59">
        <v>0.81799999999999995</v>
      </c>
      <c r="AI9" s="30">
        <v>0.49376399999999998</v>
      </c>
      <c r="AJ9" s="59"/>
    </row>
    <row r="10" spans="1:36">
      <c r="A10" s="23" t="s">
        <v>40</v>
      </c>
      <c r="B10" s="30"/>
      <c r="C10" s="30">
        <v>0.2</v>
      </c>
      <c r="D10" s="30">
        <v>0.13600000000000001</v>
      </c>
      <c r="E10" s="30">
        <v>0.17399999999999999</v>
      </c>
      <c r="F10" s="30">
        <v>0.26</v>
      </c>
      <c r="G10" s="30">
        <v>0.34100000000000003</v>
      </c>
      <c r="H10" s="41"/>
      <c r="I10" s="41"/>
      <c r="J10" s="41"/>
      <c r="K10" s="41"/>
      <c r="L10" s="41"/>
      <c r="M10" s="30">
        <f>(1860000+2646795+599243+60000+677919)/1000000</f>
        <v>5.8439569999999996</v>
      </c>
      <c r="N10" s="30">
        <v>5.0339999999999998</v>
      </c>
      <c r="O10" s="30">
        <v>5.3940320000000002</v>
      </c>
      <c r="P10" s="30">
        <v>8.9480000000000004</v>
      </c>
      <c r="Q10" s="30">
        <f>6.872+3.5</f>
        <v>10.372</v>
      </c>
      <c r="R10" s="30">
        <f>7.249+3.395</f>
        <v>10.644</v>
      </c>
      <c r="S10" s="60">
        <v>12.694000000000001</v>
      </c>
      <c r="T10" s="60">
        <v>9.7579999999999991</v>
      </c>
      <c r="U10" s="60">
        <v>84.81</v>
      </c>
      <c r="V10" s="60">
        <v>71.947999999999993</v>
      </c>
      <c r="W10" s="60">
        <v>76.561999999999998</v>
      </c>
      <c r="X10" s="60">
        <v>94.055683999999999</v>
      </c>
      <c r="Y10" s="59">
        <v>101.06699999999999</v>
      </c>
      <c r="Z10" s="59">
        <v>105.232</v>
      </c>
      <c r="AA10" s="59">
        <v>100.447</v>
      </c>
      <c r="AB10" s="59">
        <v>91.915000000000006</v>
      </c>
      <c r="AC10" s="59">
        <v>88.396000000000001</v>
      </c>
      <c r="AD10" s="59">
        <v>77.418000000000006</v>
      </c>
      <c r="AE10" s="235">
        <v>76.498000000000005</v>
      </c>
      <c r="AF10" s="59">
        <v>90.927000000000007</v>
      </c>
      <c r="AG10" s="59">
        <v>112.44799999999999</v>
      </c>
      <c r="AH10" s="59">
        <v>113.13800000000001</v>
      </c>
      <c r="AI10" s="30">
        <v>112.987461</v>
      </c>
      <c r="AJ10" s="59"/>
    </row>
    <row r="11" spans="1:36">
      <c r="A11" s="23" t="s">
        <v>41</v>
      </c>
      <c r="B11" s="30">
        <v>0.54800000000000004</v>
      </c>
      <c r="C11" s="30">
        <v>0.52700000000000002</v>
      </c>
      <c r="D11" s="30">
        <v>0.73199999999999998</v>
      </c>
      <c r="E11" s="30">
        <v>1.754</v>
      </c>
      <c r="F11" s="30">
        <v>1.4850000000000001</v>
      </c>
      <c r="G11" s="30">
        <v>1.49</v>
      </c>
      <c r="H11" s="30">
        <v>1.458</v>
      </c>
      <c r="I11" s="30">
        <v>1.5680000000000001</v>
      </c>
      <c r="J11" s="30">
        <v>1.528</v>
      </c>
      <c r="K11" s="30">
        <v>1.613</v>
      </c>
      <c r="L11" s="30">
        <v>1.6</v>
      </c>
      <c r="M11" s="30">
        <f>(100000+240000+593600)/1000000</f>
        <v>0.93359999999999999</v>
      </c>
      <c r="N11" s="30">
        <f>180.402-168.5504087</f>
        <v>11.851591299999995</v>
      </c>
      <c r="O11" s="30">
        <f>71.15003-63.268999</f>
        <v>7.8810310000000001</v>
      </c>
      <c r="P11" s="30">
        <f>65.553-56.2</f>
        <v>9.3529999999999944</v>
      </c>
      <c r="Q11" s="30">
        <f>8.136+0</f>
        <v>8.1359999999999992</v>
      </c>
      <c r="R11" s="30">
        <f>7.479+0</f>
        <v>7.4790000000000001</v>
      </c>
      <c r="S11" s="30">
        <v>9.0109999999999992</v>
      </c>
      <c r="T11" s="61">
        <v>12.752000000000001</v>
      </c>
      <c r="U11" s="61">
        <v>11.988</v>
      </c>
      <c r="V11" s="61">
        <v>15.066000000000001</v>
      </c>
      <c r="W11" s="61">
        <v>13.935</v>
      </c>
      <c r="X11" s="61">
        <v>12.376851</v>
      </c>
      <c r="Y11" s="59">
        <v>12.27</v>
      </c>
      <c r="Z11" s="59">
        <v>14.189</v>
      </c>
      <c r="AA11" s="59">
        <v>14.252000000000001</v>
      </c>
      <c r="AB11" s="59">
        <v>13.709</v>
      </c>
      <c r="AC11" s="59">
        <v>3.6280000000000001</v>
      </c>
      <c r="AD11" s="59">
        <v>1.9350000000000001</v>
      </c>
      <c r="AE11" s="235">
        <v>2.5299999999999998</v>
      </c>
      <c r="AF11" s="59">
        <v>2.5609999999999999</v>
      </c>
      <c r="AG11" s="59">
        <v>38.473999999999997</v>
      </c>
      <c r="AH11" s="59">
        <v>27.385000000000002</v>
      </c>
      <c r="AI11" s="30">
        <v>35.296618000000002</v>
      </c>
      <c r="AJ11" s="59"/>
    </row>
    <row r="12" spans="1:36">
      <c r="A12" s="23" t="s">
        <v>42</v>
      </c>
      <c r="B12" s="30"/>
      <c r="C12" s="30"/>
      <c r="D12" s="30"/>
      <c r="E12" s="30">
        <v>0.65</v>
      </c>
      <c r="F12" s="30">
        <v>1</v>
      </c>
      <c r="G12" s="41"/>
      <c r="H12" s="41"/>
      <c r="I12" s="41"/>
      <c r="J12" s="30">
        <v>6.444</v>
      </c>
      <c r="K12" s="30">
        <v>7.2629999999999999</v>
      </c>
      <c r="L12" s="30">
        <v>8.9849999999999994</v>
      </c>
      <c r="M12" s="30">
        <f>(1618800+1000000+234780)/1000000</f>
        <v>2.85358</v>
      </c>
      <c r="N12" s="30">
        <f>261.275-152.9-70.6-7.9-27.2</f>
        <v>2.6749999999999794</v>
      </c>
      <c r="O12" s="30">
        <f>317.805075-(162.770603+87.536907+8.532907+55.183668)</f>
        <v>3.7809899999999743</v>
      </c>
      <c r="P12" s="30">
        <f>334.277-(171.187915+99.905444+14.451974+44.460837)</f>
        <v>4.2708299999999895</v>
      </c>
      <c r="Q12" s="30">
        <f>2.992+2.205</f>
        <v>5.1970000000000001</v>
      </c>
      <c r="R12" s="30">
        <f>3.577+2.46</f>
        <v>6.0369999999999999</v>
      </c>
      <c r="S12" s="60">
        <v>7.375</v>
      </c>
      <c r="T12" s="60">
        <v>7.819</v>
      </c>
      <c r="U12" s="60">
        <v>19.561</v>
      </c>
      <c r="V12" s="60">
        <v>5.1820000000000004</v>
      </c>
      <c r="W12" s="60">
        <v>4.9580000000000002</v>
      </c>
      <c r="X12" s="60">
        <v>4.6504060000000003</v>
      </c>
      <c r="Y12" s="59">
        <v>5.63</v>
      </c>
      <c r="Z12" s="59">
        <v>5.1239999999999997</v>
      </c>
      <c r="AA12" s="59">
        <v>4.9370000000000003</v>
      </c>
      <c r="AB12" s="59">
        <v>3.0649999999999999</v>
      </c>
      <c r="AC12" s="59">
        <v>2.3820000000000001</v>
      </c>
      <c r="AD12" s="59">
        <v>2.415</v>
      </c>
      <c r="AE12" s="235">
        <v>2.617</v>
      </c>
      <c r="AF12" s="59">
        <v>2.7650000000000001</v>
      </c>
      <c r="AG12" s="59">
        <v>2.6680000000000001</v>
      </c>
      <c r="AH12" s="59">
        <v>2.5329999999999999</v>
      </c>
      <c r="AI12" s="30">
        <v>2.5447199999999999</v>
      </c>
      <c r="AJ12" s="59"/>
    </row>
    <row r="13" spans="1:36">
      <c r="A13" s="23" t="s">
        <v>43</v>
      </c>
      <c r="B13" s="30"/>
      <c r="C13" s="30"/>
      <c r="D13" s="30"/>
      <c r="E13" s="30"/>
      <c r="F13" s="30"/>
      <c r="G13" s="30">
        <v>6.51</v>
      </c>
      <c r="H13" s="30">
        <v>7</v>
      </c>
      <c r="I13" s="41"/>
      <c r="J13" s="30">
        <v>9.8000000000000007</v>
      </c>
      <c r="K13" s="41"/>
      <c r="L13" s="41"/>
      <c r="M13" s="30">
        <f>282500/1000000</f>
        <v>0.28249999999999997</v>
      </c>
      <c r="N13" s="30">
        <f>212.103-(108.663332+40.838949+6.396768)</f>
        <v>56.203951000000018</v>
      </c>
      <c r="O13" s="30">
        <f>230.991519-(116.041411+49.912241+4.725037)</f>
        <v>60.312829999999991</v>
      </c>
      <c r="P13" s="30">
        <f>188.446-5.449746-53.500039-112.508163</f>
        <v>16.98805200000001</v>
      </c>
      <c r="Q13" s="30">
        <f>0.501+12.05</f>
        <v>12.551</v>
      </c>
      <c r="R13" s="30">
        <f>0.463+8.583</f>
        <v>9.0459999999999994</v>
      </c>
      <c r="S13" s="60">
        <v>9.1189999999999998</v>
      </c>
      <c r="T13" s="60">
        <v>7.1440000000000001</v>
      </c>
      <c r="U13" s="60">
        <v>0.13600000000000001</v>
      </c>
      <c r="V13" s="60">
        <v>8.4000000000000005E-2</v>
      </c>
      <c r="W13" s="60">
        <v>5.8999999999999997E-2</v>
      </c>
      <c r="X13" s="60">
        <v>5.9499999999999997E-2</v>
      </c>
      <c r="Y13" s="59">
        <v>0.06</v>
      </c>
      <c r="Z13" s="59">
        <v>0.06</v>
      </c>
      <c r="AA13" s="59">
        <v>1.885</v>
      </c>
      <c r="AB13" s="59">
        <v>1.379</v>
      </c>
      <c r="AC13" s="59">
        <v>0.1</v>
      </c>
      <c r="AD13" s="41" t="s">
        <v>45</v>
      </c>
      <c r="AE13" s="235">
        <v>0.04</v>
      </c>
      <c r="AF13" s="41" t="s">
        <v>45</v>
      </c>
      <c r="AG13" s="41" t="s">
        <v>45</v>
      </c>
      <c r="AH13" s="41" t="s">
        <v>45</v>
      </c>
      <c r="AI13" s="41" t="s">
        <v>45</v>
      </c>
      <c r="AJ13" s="41"/>
    </row>
    <row r="14" spans="1:36">
      <c r="A14" s="23" t="s">
        <v>44</v>
      </c>
      <c r="B14" s="30">
        <v>1.3260000000000001</v>
      </c>
      <c r="C14" s="30">
        <v>4.0750000000000002</v>
      </c>
      <c r="D14" s="30">
        <v>4.0750000000000002</v>
      </c>
      <c r="E14" s="30"/>
      <c r="F14" s="30">
        <v>3.6999999999999998E-2</v>
      </c>
      <c r="G14" s="30">
        <v>0.24099999999999999</v>
      </c>
      <c r="H14" s="30">
        <v>5.5E-2</v>
      </c>
      <c r="I14" s="30">
        <v>0.13500000000000001</v>
      </c>
      <c r="J14" s="30">
        <v>0.13500000000000001</v>
      </c>
      <c r="K14" s="30">
        <v>0.13500000000000001</v>
      </c>
      <c r="L14" s="30">
        <v>0.13500000000000001</v>
      </c>
      <c r="M14" s="30">
        <f>(750000+183860+155135+275472)/1000000</f>
        <v>1.3644670000000001</v>
      </c>
      <c r="N14" s="30">
        <v>1.6339999999999999</v>
      </c>
      <c r="O14" s="30">
        <v>1.889087</v>
      </c>
      <c r="P14" s="30">
        <v>2.0550000000000002</v>
      </c>
      <c r="Q14" s="30">
        <f>2.149+0</f>
        <v>2.149</v>
      </c>
      <c r="R14" s="30">
        <v>7.09</v>
      </c>
      <c r="S14" s="58">
        <v>15.212999999999999</v>
      </c>
      <c r="T14" s="58">
        <v>23.66</v>
      </c>
      <c r="U14" s="58">
        <v>24.629000000000001</v>
      </c>
      <c r="V14" s="58">
        <v>20.245999999999999</v>
      </c>
      <c r="W14" s="58">
        <v>15.425000000000001</v>
      </c>
      <c r="X14" s="58">
        <v>11.47988</v>
      </c>
      <c r="Y14" s="59">
        <v>9.7059999999999995</v>
      </c>
      <c r="Z14" s="59">
        <v>8.2680000000000007</v>
      </c>
      <c r="AA14" s="59">
        <v>9.6999999999999993</v>
      </c>
      <c r="AB14" s="59">
        <v>8.9280000000000008</v>
      </c>
      <c r="AC14" s="59">
        <v>7.601</v>
      </c>
      <c r="AD14" s="59">
        <v>7.6669999999999998</v>
      </c>
      <c r="AE14" s="235">
        <v>5.7949999999999999</v>
      </c>
      <c r="AF14" s="59">
        <v>5.1580000000000004</v>
      </c>
      <c r="AG14" s="59">
        <v>2.5310000000000001</v>
      </c>
      <c r="AH14" s="59">
        <v>2.7669999999999999</v>
      </c>
      <c r="AI14" s="30">
        <v>3.0173329999999998</v>
      </c>
      <c r="AJ14" s="59"/>
    </row>
    <row r="15" spans="1:36">
      <c r="A15" s="23" t="s">
        <v>46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>
        <v>1.1499999999999999</v>
      </c>
      <c r="M15" s="41"/>
      <c r="N15" s="30">
        <v>15.206</v>
      </c>
      <c r="O15" s="30">
        <v>20.706530999999998</v>
      </c>
      <c r="P15" s="30">
        <v>24.492999999999999</v>
      </c>
      <c r="Q15" s="30">
        <f>26.515+0.921</f>
        <v>27.436</v>
      </c>
      <c r="R15" s="30">
        <f>11.102+1.599</f>
        <v>12.701000000000001</v>
      </c>
      <c r="S15" s="60">
        <v>12.702</v>
      </c>
      <c r="T15" s="60">
        <v>12.382999999999999</v>
      </c>
      <c r="U15" s="60">
        <v>8.9770000000000003</v>
      </c>
      <c r="V15" s="60">
        <v>11.026999999999999</v>
      </c>
      <c r="W15" s="60">
        <v>9.1389999999999993</v>
      </c>
      <c r="X15" s="60">
        <v>8.9205319999999997</v>
      </c>
      <c r="Y15" s="59">
        <v>8.0719999999999992</v>
      </c>
      <c r="Z15" s="59">
        <v>8.2579999999999991</v>
      </c>
      <c r="AA15" s="59">
        <v>5.5780000000000003</v>
      </c>
      <c r="AB15" s="59">
        <v>6.3239999999999998</v>
      </c>
      <c r="AC15" s="59">
        <v>6.2229999999999999</v>
      </c>
      <c r="AD15" s="59">
        <v>7.7279999999999998</v>
      </c>
      <c r="AE15" s="235">
        <v>7.8570000000000002</v>
      </c>
      <c r="AF15" s="59">
        <v>9.2430000000000003</v>
      </c>
      <c r="AG15" s="59">
        <v>9.2029999999999994</v>
      </c>
      <c r="AH15" s="59">
        <v>7.6580000000000004</v>
      </c>
      <c r="AI15" s="30">
        <v>2.514894</v>
      </c>
      <c r="AJ15" s="59"/>
    </row>
    <row r="16" spans="1:36">
      <c r="A16" s="23" t="s">
        <v>47</v>
      </c>
      <c r="B16" s="30">
        <v>12.991</v>
      </c>
      <c r="C16" s="30">
        <v>15.702</v>
      </c>
      <c r="D16" s="30">
        <v>18.489000000000001</v>
      </c>
      <c r="E16" s="30">
        <v>18.405999999999999</v>
      </c>
      <c r="F16" s="30">
        <v>23.111999999999998</v>
      </c>
      <c r="G16" s="30">
        <v>22.837</v>
      </c>
      <c r="H16" s="30">
        <v>22.837</v>
      </c>
      <c r="I16" s="30">
        <v>30.145</v>
      </c>
      <c r="J16" s="30">
        <v>37.188000000000002</v>
      </c>
      <c r="K16" s="30">
        <v>41.863999999999997</v>
      </c>
      <c r="L16" s="30">
        <v>34.47</v>
      </c>
      <c r="M16" s="30">
        <v>47.445999999999998</v>
      </c>
      <c r="N16" s="30">
        <f>195.493-(88.487642+44.091844+6.846535)</f>
        <v>56.066979000000003</v>
      </c>
      <c r="O16" s="62">
        <f>184.746129-(85.578264+48.412755+7.771532)</f>
        <v>42.983577999999994</v>
      </c>
      <c r="P16" s="30">
        <f>178.941-(92.520281+56.336285+11.078722)</f>
        <v>19.005712000000017</v>
      </c>
      <c r="Q16" s="30">
        <f>10.251+11.222</f>
        <v>21.472999999999999</v>
      </c>
      <c r="R16" s="30">
        <f>10.772+11.122</f>
        <v>21.893999999999998</v>
      </c>
      <c r="S16" s="58">
        <v>22.731999999999999</v>
      </c>
      <c r="T16" s="58">
        <v>22.157</v>
      </c>
      <c r="U16" s="58">
        <v>53.521000000000001</v>
      </c>
      <c r="V16" s="58">
        <v>59.58</v>
      </c>
      <c r="W16" s="58">
        <v>61.106999999999999</v>
      </c>
      <c r="X16" s="58">
        <v>62.840763000000003</v>
      </c>
      <c r="Y16" s="59">
        <v>67.188999999999993</v>
      </c>
      <c r="Z16" s="59">
        <v>70.147999999999996</v>
      </c>
      <c r="AA16" s="59">
        <v>77.33</v>
      </c>
      <c r="AB16" s="59">
        <v>77.486000000000004</v>
      </c>
      <c r="AC16" s="59">
        <v>77.063000000000002</v>
      </c>
      <c r="AD16" s="59">
        <v>75.126999999999995</v>
      </c>
      <c r="AE16" s="235">
        <v>73.513999999999996</v>
      </c>
      <c r="AF16" s="59">
        <v>73.623000000000005</v>
      </c>
      <c r="AG16" s="59">
        <v>71.510999999999996</v>
      </c>
      <c r="AH16" s="59">
        <v>73.44</v>
      </c>
      <c r="AI16" s="30">
        <v>70.003433999999999</v>
      </c>
      <c r="AJ16" s="59"/>
    </row>
    <row r="17" spans="1:36">
      <c r="A17" s="23" t="s">
        <v>48</v>
      </c>
      <c r="B17" s="30">
        <v>5.1820000000000004</v>
      </c>
      <c r="C17" s="30">
        <v>4</v>
      </c>
      <c r="D17" s="30">
        <v>7.6079999999999997</v>
      </c>
      <c r="E17" s="30">
        <v>8.9979999999999993</v>
      </c>
      <c r="F17" s="30">
        <v>5.609</v>
      </c>
      <c r="G17" s="30">
        <v>6.6390000000000002</v>
      </c>
      <c r="H17" s="30">
        <v>17.07</v>
      </c>
      <c r="I17" s="30">
        <v>18.745999999999999</v>
      </c>
      <c r="J17" s="30">
        <v>20.558</v>
      </c>
      <c r="K17" s="30">
        <v>21.289000000000001</v>
      </c>
      <c r="L17" s="41"/>
      <c r="M17" s="30">
        <f>195894/1000000</f>
        <v>0.19589400000000001</v>
      </c>
      <c r="N17" s="30">
        <f>297.675-(168.909927+88.367686+9.500297)</f>
        <v>30.897089999999992</v>
      </c>
      <c r="O17" s="30">
        <f>330.702411-(184.159169+96.539035+13.571265)</f>
        <v>36.432942000000025</v>
      </c>
      <c r="P17" s="30">
        <f>364.898-(187.102152+115.25729+16.628715)</f>
        <v>45.909843000000023</v>
      </c>
      <c r="Q17" s="30">
        <f>47.672+0</f>
        <v>47.671999999999997</v>
      </c>
      <c r="R17" s="30">
        <f>51.83+0</f>
        <v>51.83</v>
      </c>
      <c r="S17" s="58">
        <v>53.305</v>
      </c>
      <c r="T17" s="58">
        <v>59.9</v>
      </c>
      <c r="U17" s="58">
        <v>65.105000000000004</v>
      </c>
      <c r="V17" s="58">
        <v>73.977000000000004</v>
      </c>
      <c r="W17" s="58">
        <v>84.683999999999997</v>
      </c>
      <c r="X17" s="58">
        <v>93.215566999999993</v>
      </c>
      <c r="Y17" s="59">
        <v>100.23699999999999</v>
      </c>
      <c r="Z17" s="59">
        <v>111.40300000000001</v>
      </c>
      <c r="AA17" s="59">
        <v>123.611</v>
      </c>
      <c r="AB17" s="59">
        <v>129.518</v>
      </c>
      <c r="AC17" s="59">
        <v>148.792</v>
      </c>
      <c r="AD17" s="59">
        <v>156.75200000000001</v>
      </c>
      <c r="AE17" s="235">
        <v>180.745</v>
      </c>
      <c r="AF17" s="59">
        <v>187.071</v>
      </c>
      <c r="AG17" s="59">
        <v>211.035</v>
      </c>
      <c r="AH17" s="59">
        <v>6.75</v>
      </c>
      <c r="AI17" s="30">
        <v>4.2856249999999996</v>
      </c>
      <c r="AJ17" s="59"/>
    </row>
    <row r="18" spans="1:36">
      <c r="A18" s="23" t="s">
        <v>49</v>
      </c>
      <c r="B18" s="30"/>
      <c r="C18" s="30"/>
      <c r="D18" s="30">
        <v>0.505</v>
      </c>
      <c r="E18" s="30">
        <v>1.381</v>
      </c>
      <c r="F18" s="30"/>
      <c r="G18" s="30">
        <v>2.2679999999999998</v>
      </c>
      <c r="H18" s="30">
        <v>1.581</v>
      </c>
      <c r="I18" s="30">
        <v>1.3680000000000001</v>
      </c>
      <c r="J18" s="30">
        <v>1.258</v>
      </c>
      <c r="K18" s="30">
        <v>1.21</v>
      </c>
      <c r="L18" s="41">
        <v>1.0660000000000001</v>
      </c>
      <c r="M18" s="30"/>
      <c r="N18" s="62"/>
      <c r="O18" s="62"/>
      <c r="P18" s="62"/>
      <c r="Q18" s="30">
        <f>0+53.928</f>
        <v>53.927999999999997</v>
      </c>
      <c r="R18" s="30">
        <f>0+5.724</f>
        <v>5.7240000000000002</v>
      </c>
      <c r="S18" s="58">
        <v>7.0759999999999996</v>
      </c>
      <c r="T18" s="58">
        <v>1.6</v>
      </c>
      <c r="U18" s="41"/>
      <c r="V18" s="41">
        <v>0.27800000000000002</v>
      </c>
      <c r="W18" s="41">
        <v>0.35699999999999998</v>
      </c>
      <c r="X18" s="41">
        <v>0.45027499999999998</v>
      </c>
      <c r="Y18" s="59">
        <v>0.48</v>
      </c>
      <c r="Z18" s="59">
        <v>0.54800000000000004</v>
      </c>
      <c r="AA18" s="59">
        <v>0.432</v>
      </c>
      <c r="AB18" s="59">
        <v>0.433</v>
      </c>
      <c r="AC18" s="59">
        <v>0.20799999999999999</v>
      </c>
      <c r="AD18" s="59">
        <v>4.4450000000000003</v>
      </c>
      <c r="AE18" s="235">
        <v>254.25900000000001</v>
      </c>
      <c r="AF18" s="59">
        <v>2.7949999999999999</v>
      </c>
      <c r="AG18" s="59">
        <v>3.0179999999999998</v>
      </c>
      <c r="AH18" s="59">
        <v>3.169</v>
      </c>
      <c r="AI18" s="30">
        <v>2.6020240000000001</v>
      </c>
      <c r="AJ18" s="59"/>
    </row>
    <row r="19" spans="1:36">
      <c r="A19" s="23" t="s">
        <v>50</v>
      </c>
      <c r="B19" s="30"/>
      <c r="C19" s="30"/>
      <c r="D19" s="30"/>
      <c r="E19" s="30"/>
      <c r="F19" s="30"/>
      <c r="G19" s="30"/>
      <c r="H19" s="30">
        <v>2.5270000000000001</v>
      </c>
      <c r="I19" s="30">
        <v>3.286</v>
      </c>
      <c r="J19" s="30">
        <v>5.875</v>
      </c>
      <c r="K19" s="30">
        <v>9.8810000000000002</v>
      </c>
      <c r="L19" s="30">
        <v>12.664</v>
      </c>
      <c r="M19" s="30">
        <f>(335626+350594)/1000000</f>
        <v>0.68622000000000005</v>
      </c>
      <c r="N19" s="30">
        <f>297.094-(281.668867+14.011878)</f>
        <v>1.4132549999999924</v>
      </c>
      <c r="O19" s="30">
        <f>373.613692-(309.898095+17.060327+45.641103)</f>
        <v>1.0141669999999863</v>
      </c>
      <c r="P19" s="30">
        <f>652.085-(281.944148+20.645624+348.427073)</f>
        <v>1.068155000000047</v>
      </c>
      <c r="Q19" s="30">
        <f>1.243+0</f>
        <v>1.2430000000000001</v>
      </c>
      <c r="R19" s="30">
        <f>1.271+0</f>
        <v>1.2709999999999999</v>
      </c>
      <c r="S19" s="60">
        <v>0.72199999999999998</v>
      </c>
      <c r="T19" s="60">
        <v>2.0129999999999999</v>
      </c>
      <c r="U19" s="60">
        <v>1.2809999999999999</v>
      </c>
      <c r="V19" s="60">
        <v>1.2969999999999999</v>
      </c>
      <c r="W19" s="60">
        <v>1.3580000000000001</v>
      </c>
      <c r="X19" s="58">
        <v>1.117966</v>
      </c>
      <c r="Y19" s="59">
        <v>1.278</v>
      </c>
      <c r="Z19" s="59">
        <v>1.5269999999999999</v>
      </c>
      <c r="AA19" s="59">
        <v>2.0699999999999998</v>
      </c>
      <c r="AB19" s="59">
        <v>1.9590000000000001</v>
      </c>
      <c r="AC19" s="59">
        <v>1.885</v>
      </c>
      <c r="AD19" s="59">
        <v>1.8859999999999999</v>
      </c>
      <c r="AE19" s="235">
        <v>1.579</v>
      </c>
      <c r="AF19" s="59">
        <v>1.29</v>
      </c>
      <c r="AG19" s="59">
        <v>1.1459999999999999</v>
      </c>
      <c r="AH19" s="59">
        <v>16.312999999999999</v>
      </c>
      <c r="AI19" s="30">
        <v>26.001759</v>
      </c>
      <c r="AJ19" s="59"/>
    </row>
    <row r="20" spans="1:36">
      <c r="A20" s="23" t="s">
        <v>51</v>
      </c>
      <c r="B20" s="30"/>
      <c r="C20" s="30">
        <v>0.6</v>
      </c>
      <c r="D20" s="30">
        <v>0.28199999999999997</v>
      </c>
      <c r="E20" s="30">
        <v>56.552</v>
      </c>
      <c r="F20" s="30">
        <v>77.012</v>
      </c>
      <c r="G20" s="30">
        <v>79.748000000000005</v>
      </c>
      <c r="H20" s="30">
        <v>84.667000000000002</v>
      </c>
      <c r="I20" s="30">
        <v>91.05</v>
      </c>
      <c r="J20" s="30">
        <v>106.211</v>
      </c>
      <c r="K20" s="63">
        <v>100.932</v>
      </c>
      <c r="L20" s="63">
        <v>42.204000000000001</v>
      </c>
      <c r="M20" s="63">
        <f>(2000000+37705065+904267+31723419+13344477+1000000+649500)/1000000</f>
        <v>87.326728000000003</v>
      </c>
      <c r="N20" s="30">
        <v>218.08199999999999</v>
      </c>
      <c r="O20" s="30">
        <v>272.77105699999998</v>
      </c>
      <c r="P20" s="30">
        <v>291.803</v>
      </c>
      <c r="Q20" s="30">
        <f>85.869+216.36</f>
        <v>302.22900000000004</v>
      </c>
      <c r="R20" s="30">
        <f>83.728+224.824</f>
        <v>308.55200000000002</v>
      </c>
      <c r="S20" s="58">
        <v>154.39400000000001</v>
      </c>
      <c r="T20" s="58">
        <v>139.42400000000001</v>
      </c>
      <c r="U20" s="58">
        <v>59.366</v>
      </c>
      <c r="V20" s="58">
        <v>64.034000000000006</v>
      </c>
      <c r="W20" s="58">
        <v>96.716999999999999</v>
      </c>
      <c r="X20" s="58">
        <v>123.75700000000001</v>
      </c>
      <c r="Y20" s="59">
        <v>150.96899999999999</v>
      </c>
      <c r="Z20" s="59">
        <v>161.22300000000001</v>
      </c>
      <c r="AA20" s="59">
        <v>148.505</v>
      </c>
      <c r="AB20" s="59">
        <v>169.12799999999999</v>
      </c>
      <c r="AC20" s="59">
        <v>178.346</v>
      </c>
      <c r="AD20" s="59">
        <v>165.95</v>
      </c>
      <c r="AE20" s="235">
        <v>166.096</v>
      </c>
      <c r="AF20" s="59">
        <v>164.96799999999999</v>
      </c>
      <c r="AG20" s="59">
        <v>198.06299999999999</v>
      </c>
      <c r="AH20" s="59">
        <v>209.54499999999999</v>
      </c>
      <c r="AI20" s="30">
        <v>234.04706200000001</v>
      </c>
      <c r="AJ20" s="59"/>
    </row>
    <row r="21" spans="1:36">
      <c r="A21" s="23" t="s">
        <v>52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>
        <v>45.948999999999998</v>
      </c>
      <c r="M21" s="30">
        <f>382500/1000000</f>
        <v>0.38250000000000001</v>
      </c>
      <c r="N21" s="30">
        <v>2.1000000000000001E-2</v>
      </c>
      <c r="O21" s="64">
        <f>((Q21-N21)/3)+N21</f>
        <v>0.24799999999999997</v>
      </c>
      <c r="P21" s="64">
        <f>((Q21-N21)/3)+O21</f>
        <v>0.47499999999999998</v>
      </c>
      <c r="Q21" s="30">
        <f>0+0.702</f>
        <v>0.70199999999999996</v>
      </c>
      <c r="R21" s="30">
        <f>0+0.657</f>
        <v>0.65700000000000003</v>
      </c>
      <c r="S21" s="60">
        <v>1.3540000000000001</v>
      </c>
      <c r="T21" s="60">
        <v>1.55</v>
      </c>
      <c r="U21" s="60">
        <v>39.606999999999999</v>
      </c>
      <c r="V21" s="60">
        <v>47.206000000000003</v>
      </c>
      <c r="W21" s="60">
        <v>63.143000000000001</v>
      </c>
      <c r="X21" s="58">
        <v>75.986880999999997</v>
      </c>
      <c r="Y21" s="59">
        <v>83.236000000000004</v>
      </c>
      <c r="Z21" s="59">
        <v>78.540999999999997</v>
      </c>
      <c r="AA21" s="59">
        <v>88.677000000000007</v>
      </c>
      <c r="AB21" s="59">
        <v>115.682</v>
      </c>
      <c r="AC21" s="59">
        <v>187.36099999999999</v>
      </c>
      <c r="AD21" s="59">
        <v>202.339</v>
      </c>
      <c r="AE21" s="235">
        <v>191.74700000000001</v>
      </c>
      <c r="AF21" s="59">
        <v>216.215</v>
      </c>
      <c r="AG21" s="59">
        <v>224.31800000000001</v>
      </c>
      <c r="AH21" s="59">
        <v>235.17099999999999</v>
      </c>
      <c r="AI21" s="30">
        <v>246.77998199999999</v>
      </c>
      <c r="AJ21" s="59"/>
    </row>
    <row r="22" spans="1:36">
      <c r="A22" s="32" t="s">
        <v>53</v>
      </c>
      <c r="B22" s="33"/>
      <c r="C22" s="33">
        <v>3.99</v>
      </c>
      <c r="D22" s="33">
        <v>3.6160000000000001</v>
      </c>
      <c r="E22" s="33">
        <v>3.6680000000000001</v>
      </c>
      <c r="F22" s="33">
        <v>4.9640000000000004</v>
      </c>
      <c r="G22" s="33">
        <v>5.3259999999999996</v>
      </c>
      <c r="H22" s="33">
        <v>6.6050000000000004</v>
      </c>
      <c r="I22" s="33">
        <v>7.4029999999999996</v>
      </c>
      <c r="J22" s="33">
        <v>8.9169999999999998</v>
      </c>
      <c r="K22" s="33">
        <v>9.0259999999999998</v>
      </c>
      <c r="L22" s="33">
        <v>0.98</v>
      </c>
      <c r="M22" s="33">
        <f>(730634+101294+133500)/1000000</f>
        <v>0.96542799999999995</v>
      </c>
      <c r="N22" s="33">
        <v>12.861000000000001</v>
      </c>
      <c r="O22" s="33">
        <v>13.654389999999999</v>
      </c>
      <c r="P22" s="33">
        <v>14.532999999999999</v>
      </c>
      <c r="Q22" s="33">
        <f>11.901+3.999</f>
        <v>15.9</v>
      </c>
      <c r="R22" s="33">
        <f>12.273+6.372</f>
        <v>18.645</v>
      </c>
      <c r="S22" s="33">
        <v>20.712</v>
      </c>
      <c r="T22" s="65">
        <v>22.56</v>
      </c>
      <c r="U22" s="65">
        <v>34.284999999999997</v>
      </c>
      <c r="V22" s="65">
        <v>12.321</v>
      </c>
      <c r="W22" s="65">
        <v>12.212999999999999</v>
      </c>
      <c r="X22" s="65">
        <v>16.059000000000001</v>
      </c>
      <c r="Y22" s="66">
        <v>18.597999999999999</v>
      </c>
      <c r="Z22" s="66">
        <v>20.738</v>
      </c>
      <c r="AA22" s="66">
        <v>20.370999999999999</v>
      </c>
      <c r="AB22" s="66">
        <v>26.992999999999999</v>
      </c>
      <c r="AC22" s="66">
        <v>28.803000000000001</v>
      </c>
      <c r="AD22" s="66">
        <v>27.395</v>
      </c>
      <c r="AE22" s="236">
        <v>40.642000000000003</v>
      </c>
      <c r="AF22" s="66">
        <v>36.206000000000003</v>
      </c>
      <c r="AG22" s="66">
        <v>40.08</v>
      </c>
      <c r="AH22" s="66">
        <v>40.003999999999998</v>
      </c>
      <c r="AI22" s="33">
        <v>46.672224999999997</v>
      </c>
      <c r="AJ22" s="59"/>
    </row>
    <row r="23" spans="1:36">
      <c r="A23" s="7" t="s">
        <v>54</v>
      </c>
      <c r="B23" s="37">
        <f>SUM(B25:B37)</f>
        <v>2.5760000000000001</v>
      </c>
      <c r="C23" s="37">
        <f t="shared" ref="C23:AC23" si="6">SUM(C25:C37)</f>
        <v>1.8679999999999999</v>
      </c>
      <c r="D23" s="37">
        <f t="shared" si="6"/>
        <v>1.6160000000000001</v>
      </c>
      <c r="E23" s="37">
        <f t="shared" si="6"/>
        <v>9.7810000000000006</v>
      </c>
      <c r="F23" s="37">
        <f t="shared" si="6"/>
        <v>6.0049999999999999</v>
      </c>
      <c r="G23" s="37">
        <f t="shared" si="6"/>
        <v>9.8420000000000005</v>
      </c>
      <c r="H23" s="37">
        <f t="shared" si="6"/>
        <v>14.2</v>
      </c>
      <c r="I23" s="37">
        <f t="shared" si="6"/>
        <v>13.821</v>
      </c>
      <c r="J23" s="37">
        <f t="shared" si="6"/>
        <v>66.439000000000007</v>
      </c>
      <c r="K23" s="37">
        <f t="shared" si="6"/>
        <v>103.167</v>
      </c>
      <c r="L23" s="37">
        <f t="shared" si="6"/>
        <v>196.24399999999997</v>
      </c>
      <c r="M23" s="37">
        <f t="shared" si="6"/>
        <v>90.279213000000013</v>
      </c>
      <c r="N23" s="37">
        <f t="shared" si="6"/>
        <v>995.89907700000003</v>
      </c>
      <c r="O23" s="37">
        <f t="shared" si="6"/>
        <v>954.41729599999974</v>
      </c>
      <c r="P23" s="37">
        <f t="shared" si="6"/>
        <v>1043.8203519999997</v>
      </c>
      <c r="Q23" s="37">
        <f t="shared" si="6"/>
        <v>574.66699999999992</v>
      </c>
      <c r="R23" s="37">
        <f t="shared" si="6"/>
        <v>599.23399999999992</v>
      </c>
      <c r="S23" s="37">
        <f t="shared" si="6"/>
        <v>365.66419999999999</v>
      </c>
      <c r="T23" s="37">
        <f t="shared" si="6"/>
        <v>247.83599999999998</v>
      </c>
      <c r="U23" s="37">
        <f t="shared" si="6"/>
        <v>204.018</v>
      </c>
      <c r="V23" s="37">
        <f t="shared" si="6"/>
        <v>220.62054633333332</v>
      </c>
      <c r="W23" s="37">
        <f t="shared" si="6"/>
        <v>234.90875916666667</v>
      </c>
      <c r="X23" s="37">
        <f t="shared" si="6"/>
        <v>279.38067999999998</v>
      </c>
      <c r="Y23" s="37">
        <f t="shared" si="6"/>
        <v>300.21900000000005</v>
      </c>
      <c r="Z23" s="37">
        <f t="shared" si="6"/>
        <v>309.49000000000007</v>
      </c>
      <c r="AA23" s="37">
        <f t="shared" si="6"/>
        <v>315.75749999999999</v>
      </c>
      <c r="AB23" s="37">
        <f t="shared" si="6"/>
        <v>320.82799999999997</v>
      </c>
      <c r="AC23" s="37">
        <f t="shared" si="6"/>
        <v>231.87800000000001</v>
      </c>
      <c r="AD23" s="37">
        <f t="shared" ref="AD23:AI23" si="7">SUM(AD25:AD37)</f>
        <v>239.61800000000002</v>
      </c>
      <c r="AE23" s="37">
        <f t="shared" si="7"/>
        <v>279.33699999999999</v>
      </c>
      <c r="AF23" s="37">
        <f t="shared" si="7"/>
        <v>281.48899999999998</v>
      </c>
      <c r="AG23" s="37">
        <f t="shared" si="7"/>
        <v>290.048</v>
      </c>
      <c r="AH23" s="37">
        <f t="shared" si="7"/>
        <v>307.96499999999997</v>
      </c>
      <c r="AI23" s="37">
        <f t="shared" si="7"/>
        <v>326.50666299999995</v>
      </c>
      <c r="AJ23" s="37"/>
    </row>
    <row r="24" spans="1:36">
      <c r="A24" s="7" t="s">
        <v>35</v>
      </c>
      <c r="F24" s="8"/>
      <c r="P24" s="55"/>
      <c r="AE24" s="235"/>
    </row>
    <row r="25" spans="1:36" ht="13.5" customHeight="1">
      <c r="A25" s="23" t="s">
        <v>55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>
        <f>(50887197+32500)/1000000</f>
        <v>50.919696999999999</v>
      </c>
      <c r="N25" s="30">
        <v>58.106999999999999</v>
      </c>
      <c r="O25" s="30">
        <v>63.871062999999999</v>
      </c>
      <c r="P25" s="30">
        <f>86.277-2.31</f>
        <v>83.966999999999999</v>
      </c>
      <c r="Q25" s="30">
        <f>69.548+0</f>
        <v>69.548000000000002</v>
      </c>
      <c r="R25" s="30">
        <f>59.034+0</f>
        <v>59.033999999999999</v>
      </c>
      <c r="S25" s="30">
        <v>50.27</v>
      </c>
      <c r="T25" s="60">
        <v>24.053999999999998</v>
      </c>
      <c r="U25" s="60">
        <v>56.777000000000001</v>
      </c>
      <c r="V25" s="60">
        <v>68.09</v>
      </c>
      <c r="W25" s="60">
        <v>70.756</v>
      </c>
      <c r="X25" s="60">
        <v>77.015844999999999</v>
      </c>
      <c r="Y25" s="59">
        <v>78.06</v>
      </c>
      <c r="Z25" s="59">
        <v>82.308000000000007</v>
      </c>
      <c r="AA25" s="59">
        <v>97.451999999999998</v>
      </c>
      <c r="AB25" s="59">
        <v>73.418999999999997</v>
      </c>
      <c r="AC25" s="59">
        <v>14.061999999999999</v>
      </c>
      <c r="AD25" s="59">
        <v>9.52</v>
      </c>
      <c r="AE25" s="235">
        <v>7.31</v>
      </c>
      <c r="AF25" s="59">
        <v>6.5279999999999996</v>
      </c>
      <c r="AG25" s="59">
        <v>5.4470000000000001</v>
      </c>
      <c r="AH25" s="59">
        <v>7.0940000000000003</v>
      </c>
      <c r="AI25" s="30">
        <v>8.2345769999999998</v>
      </c>
      <c r="AJ25" s="59"/>
    </row>
    <row r="26" spans="1:36">
      <c r="A26" s="23" t="s">
        <v>56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>
        <v>3.9E-2</v>
      </c>
      <c r="P26" s="30">
        <v>0.28399999999999997</v>
      </c>
      <c r="Q26" s="30">
        <f>0.269+0</f>
        <v>0.26900000000000002</v>
      </c>
      <c r="R26" s="30">
        <f>0.225+0</f>
        <v>0.22500000000000001</v>
      </c>
      <c r="S26" s="30">
        <v>0.443</v>
      </c>
      <c r="T26" s="60">
        <v>0.44</v>
      </c>
      <c r="U26" s="60">
        <v>0.17100000000000001</v>
      </c>
      <c r="V26" s="60">
        <v>0.187</v>
      </c>
      <c r="W26" s="67">
        <f>((X26-V26)/2)+V26</f>
        <v>0.15166650000000001</v>
      </c>
      <c r="X26" s="60">
        <v>0.11633300000000001</v>
      </c>
      <c r="Y26" s="59">
        <v>1.9850000000000001</v>
      </c>
      <c r="Z26" s="59">
        <v>4.0449999999999999</v>
      </c>
      <c r="AA26" s="59">
        <v>2.7</v>
      </c>
      <c r="AB26" s="59">
        <v>2.5179999999999998</v>
      </c>
      <c r="AC26" s="41" t="s">
        <v>45</v>
      </c>
      <c r="AD26" s="41">
        <v>0.159</v>
      </c>
      <c r="AE26" s="235">
        <v>0.27700000000000002</v>
      </c>
      <c r="AF26" s="41">
        <v>0.16500000000000001</v>
      </c>
      <c r="AG26" s="41">
        <v>0.16500000000000001</v>
      </c>
      <c r="AH26" s="41">
        <v>0.16400000000000001</v>
      </c>
      <c r="AI26" s="30">
        <v>0.168651</v>
      </c>
      <c r="AJ26" s="41"/>
    </row>
    <row r="27" spans="1:36">
      <c r="A27" s="23" t="s">
        <v>57</v>
      </c>
      <c r="B27" s="30"/>
      <c r="C27" s="30"/>
      <c r="D27" s="30"/>
      <c r="E27" s="30"/>
      <c r="F27" s="30"/>
      <c r="G27" s="30"/>
      <c r="H27" s="30"/>
      <c r="I27" s="30"/>
      <c r="J27" s="30">
        <v>52.162999999999997</v>
      </c>
      <c r="K27" s="30">
        <v>84.234999999999999</v>
      </c>
      <c r="L27" s="30">
        <v>151.39099999999999</v>
      </c>
      <c r="M27" s="30">
        <f>(1609000+607000+23000+1932000+1127000)/1000000</f>
        <v>5.298</v>
      </c>
      <c r="N27" s="30">
        <f>1779.196-(860.922724+449.208007+76.143144)</f>
        <v>392.92212500000005</v>
      </c>
      <c r="O27" s="30">
        <f>1700.937388-(869.580002+510.762492+86.270535)</f>
        <v>234.32435899999996</v>
      </c>
      <c r="P27" s="30">
        <f>2025.906-975.4-689.3-109.9</f>
        <v>251.3059999999999</v>
      </c>
      <c r="Q27" s="30">
        <f>7.669+228.567</f>
        <v>236.23600000000002</v>
      </c>
      <c r="R27" s="30">
        <f>12.461+249.47</f>
        <v>261.93099999999998</v>
      </c>
      <c r="S27" s="30">
        <v>13.673999999999999</v>
      </c>
      <c r="T27" s="58">
        <v>21.494</v>
      </c>
      <c r="U27" s="58">
        <v>24.041</v>
      </c>
      <c r="V27" s="58">
        <v>28.36</v>
      </c>
      <c r="W27" s="58">
        <v>34.228000000000002</v>
      </c>
      <c r="X27" s="58">
        <v>41.0807</v>
      </c>
      <c r="Y27" s="59">
        <v>36.655999999999999</v>
      </c>
      <c r="Z27" s="59">
        <v>39.695</v>
      </c>
      <c r="AA27" s="59">
        <v>18.556999999999999</v>
      </c>
      <c r="AB27" s="59">
        <v>35.005000000000003</v>
      </c>
      <c r="AC27" s="59">
        <v>0.48799999999999999</v>
      </c>
      <c r="AD27" s="59">
        <v>0.55000000000000004</v>
      </c>
      <c r="AE27" s="235">
        <v>23.931000000000001</v>
      </c>
      <c r="AF27" s="59">
        <v>21.382999999999999</v>
      </c>
      <c r="AG27" s="59">
        <v>13.52</v>
      </c>
      <c r="AH27" s="59">
        <v>15.851000000000001</v>
      </c>
      <c r="AI27" s="30">
        <v>9.7939410000000002</v>
      </c>
      <c r="AJ27" s="59"/>
    </row>
    <row r="28" spans="1:36">
      <c r="A28" s="23" t="s">
        <v>58</v>
      </c>
      <c r="B28" s="30"/>
      <c r="C28" s="30"/>
      <c r="D28" s="30"/>
      <c r="E28" s="30"/>
      <c r="F28" s="30"/>
      <c r="G28" s="30"/>
      <c r="H28" s="30"/>
      <c r="I28" s="30">
        <v>1.2809999999999999</v>
      </c>
      <c r="J28" s="30">
        <v>2.0139999999999998</v>
      </c>
      <c r="K28" s="30">
        <v>0.40699999999999997</v>
      </c>
      <c r="L28" s="30">
        <v>2.4319999999999999</v>
      </c>
      <c r="M28" s="30">
        <f>(10924083+220800)/1000000</f>
        <v>11.144883</v>
      </c>
      <c r="N28" s="30">
        <v>376.80599999999998</v>
      </c>
      <c r="O28" s="30">
        <v>446.279087</v>
      </c>
      <c r="P28" s="30">
        <v>469.411</v>
      </c>
      <c r="Q28" s="30">
        <f>13.968+0.407</f>
        <v>14.375</v>
      </c>
      <c r="R28" s="30">
        <f>13.968+0.407</f>
        <v>14.375</v>
      </c>
      <c r="S28" s="58">
        <v>14.374000000000001</v>
      </c>
      <c r="T28" s="58">
        <v>16.652999999999999</v>
      </c>
      <c r="U28" s="58">
        <v>17.545000000000002</v>
      </c>
      <c r="V28" s="58">
        <v>13.771000000000001</v>
      </c>
      <c r="W28" s="58">
        <v>13.247999999999999</v>
      </c>
      <c r="X28" s="58">
        <v>13.218636999999999</v>
      </c>
      <c r="Y28" s="59">
        <v>13.218999999999999</v>
      </c>
      <c r="Z28" s="59">
        <v>16.131</v>
      </c>
      <c r="AA28" s="59">
        <v>18.061</v>
      </c>
      <c r="AB28" s="59">
        <v>27.492999999999999</v>
      </c>
      <c r="AC28" s="59">
        <v>27.89</v>
      </c>
      <c r="AD28" s="59">
        <v>29.477</v>
      </c>
      <c r="AE28" s="235">
        <v>30.388000000000002</v>
      </c>
      <c r="AF28" s="59">
        <v>31.643000000000001</v>
      </c>
      <c r="AG28" s="59">
        <v>37.070999999999998</v>
      </c>
      <c r="AH28" s="59">
        <v>38.551000000000002</v>
      </c>
      <c r="AI28" s="30">
        <v>39.655607000000003</v>
      </c>
      <c r="AJ28" s="59"/>
    </row>
    <row r="29" spans="1:36">
      <c r="A29" s="23" t="s">
        <v>59</v>
      </c>
      <c r="B29" s="30"/>
      <c r="C29" s="30"/>
      <c r="D29" s="30"/>
      <c r="E29" s="30">
        <v>2</v>
      </c>
      <c r="F29" s="41"/>
      <c r="G29" s="41"/>
      <c r="H29" s="30">
        <v>5.1980000000000004</v>
      </c>
      <c r="I29" s="41"/>
      <c r="J29" s="41"/>
      <c r="K29" s="41"/>
      <c r="L29" s="41"/>
      <c r="M29" s="41"/>
      <c r="N29" s="30">
        <v>8.6270000000000007</v>
      </c>
      <c r="O29" s="30">
        <v>9.827</v>
      </c>
      <c r="P29" s="30">
        <v>9.7710000000000008</v>
      </c>
      <c r="Q29" s="30">
        <f>0+9.7</f>
        <v>9.6999999999999993</v>
      </c>
      <c r="R29" s="30">
        <f>0+9.7</f>
        <v>9.6999999999999993</v>
      </c>
      <c r="S29" s="30">
        <v>9.7002000000000006</v>
      </c>
      <c r="T29" s="60">
        <v>9.6999999999999993</v>
      </c>
      <c r="U29" s="60">
        <v>8.5</v>
      </c>
      <c r="V29" s="60">
        <v>8.5</v>
      </c>
      <c r="W29" s="60">
        <v>9.6999999999999993</v>
      </c>
      <c r="X29" s="60">
        <v>20.763642000000001</v>
      </c>
      <c r="Y29" s="59">
        <v>24.766999999999999</v>
      </c>
      <c r="Z29" s="59">
        <v>24.766999999999999</v>
      </c>
      <c r="AA29" s="24">
        <f>((AB29-Z29)/2)+Z29</f>
        <v>13.048500000000001</v>
      </c>
      <c r="AB29" s="30">
        <v>1.33</v>
      </c>
      <c r="AC29" s="30">
        <v>1.4379999999999999</v>
      </c>
      <c r="AD29" s="30">
        <v>0.59</v>
      </c>
      <c r="AE29" s="235">
        <v>0.56299999999999994</v>
      </c>
      <c r="AF29" s="30">
        <v>0.58199999999999996</v>
      </c>
      <c r="AG29" s="30">
        <v>0.73799999999999999</v>
      </c>
      <c r="AH29" s="30">
        <v>0.78300000000000003</v>
      </c>
      <c r="AI29" s="30">
        <v>0.49212899999999998</v>
      </c>
      <c r="AJ29" s="30"/>
    </row>
    <row r="30" spans="1:36">
      <c r="A30" s="23" t="s">
        <v>60</v>
      </c>
      <c r="B30" s="30"/>
      <c r="C30" s="30"/>
      <c r="D30" s="30"/>
      <c r="E30" s="30"/>
      <c r="F30" s="30"/>
      <c r="G30" s="30">
        <v>1.6E-2</v>
      </c>
      <c r="H30" s="41"/>
      <c r="I30" s="41"/>
      <c r="J30" s="41"/>
      <c r="K30" s="41"/>
      <c r="L30" s="41"/>
      <c r="M30" s="30">
        <f>(1100000+108100+72500)/1000000</f>
        <v>1.2806</v>
      </c>
      <c r="N30" s="30">
        <v>1.1719999999999999</v>
      </c>
      <c r="O30" s="30">
        <v>1.1138999999999999</v>
      </c>
      <c r="P30" s="30">
        <v>1.1140000000000001</v>
      </c>
      <c r="Q30" s="30">
        <f>1.102+0</f>
        <v>1.1020000000000001</v>
      </c>
      <c r="R30" s="30">
        <f>1.352+0</f>
        <v>1.3520000000000001</v>
      </c>
      <c r="S30" s="60">
        <v>1.5680000000000001</v>
      </c>
      <c r="T30" s="60">
        <v>1.42</v>
      </c>
      <c r="U30" s="60">
        <v>1.2809999999999999</v>
      </c>
      <c r="V30" s="60">
        <v>1.6659999999999999</v>
      </c>
      <c r="W30" s="60">
        <v>1.7450000000000001</v>
      </c>
      <c r="X30" s="60">
        <v>1.9772810000000001</v>
      </c>
      <c r="Y30" s="59">
        <v>1.9370000000000001</v>
      </c>
      <c r="Z30" s="59">
        <v>1.883</v>
      </c>
      <c r="AA30" s="59">
        <v>0.19400000000000001</v>
      </c>
      <c r="AB30" s="59">
        <v>1.5309999999999999</v>
      </c>
      <c r="AC30" s="59">
        <v>1.5089999999999999</v>
      </c>
      <c r="AD30" s="59">
        <v>1.34</v>
      </c>
      <c r="AE30" s="235">
        <v>1.3740000000000001</v>
      </c>
      <c r="AF30" s="59">
        <v>1.1859999999999999</v>
      </c>
      <c r="AG30" s="59">
        <v>1.1859999999999999</v>
      </c>
      <c r="AH30" s="59">
        <v>1.1859999999999999</v>
      </c>
      <c r="AI30" s="30">
        <v>1.1859999999999999</v>
      </c>
      <c r="AJ30" s="59"/>
    </row>
    <row r="31" spans="1:36">
      <c r="A31" s="23" t="s">
        <v>61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>
        <v>0.20599999999999999</v>
      </c>
      <c r="M31" s="30">
        <f>500000/1000000</f>
        <v>0.5</v>
      </c>
      <c r="N31" s="30">
        <f>101.249-(27.853153+56.603154+4.380932+12.412054)</f>
        <v>-2.9300000001342141E-4</v>
      </c>
      <c r="O31" s="30">
        <f>119.988488-(34.449573+64.654986+5.244531+14.195292)</f>
        <v>1.4441060000000192</v>
      </c>
      <c r="P31" s="30">
        <f>84.944-84.208987</f>
        <v>0.73501300000000924</v>
      </c>
      <c r="Q31" s="30">
        <f>0.856+1.527</f>
        <v>2.383</v>
      </c>
      <c r="R31" s="30">
        <f>0.961+1.634</f>
        <v>2.5949999999999998</v>
      </c>
      <c r="S31" s="30">
        <v>2.7240000000000002</v>
      </c>
      <c r="T31" s="60">
        <v>4.5140000000000002</v>
      </c>
      <c r="U31" s="60">
        <v>0.94799999999999995</v>
      </c>
      <c r="V31" s="60">
        <v>1.518</v>
      </c>
      <c r="W31" s="60">
        <v>1.6830000000000001</v>
      </c>
      <c r="X31" s="60">
        <v>1.0128619999999999</v>
      </c>
      <c r="Y31" s="59">
        <v>0.95799999999999996</v>
      </c>
      <c r="Z31" s="59">
        <v>0.78800000000000003</v>
      </c>
      <c r="AA31" s="59">
        <v>0.74299999999999999</v>
      </c>
      <c r="AB31" s="59">
        <v>0.86299999999999999</v>
      </c>
      <c r="AC31" s="59">
        <v>0.86299999999999999</v>
      </c>
      <c r="AD31" s="59">
        <v>0.86299999999999999</v>
      </c>
      <c r="AE31" s="235">
        <v>0.86299999999999999</v>
      </c>
      <c r="AF31" s="59">
        <v>0.86299999999999999</v>
      </c>
      <c r="AG31" s="59">
        <v>0.86299999999999999</v>
      </c>
      <c r="AH31" s="59">
        <v>0.86299999999999999</v>
      </c>
      <c r="AI31" s="30">
        <v>0.85105600000000003</v>
      </c>
      <c r="AJ31" s="59"/>
    </row>
    <row r="32" spans="1:36">
      <c r="A32" s="23" t="s">
        <v>62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>
        <v>58.895000000000003</v>
      </c>
      <c r="O32" s="30">
        <v>101.333268</v>
      </c>
      <c r="P32" s="30">
        <v>110.366</v>
      </c>
      <c r="Q32" s="30">
        <f>0+110.366</f>
        <v>110.366</v>
      </c>
      <c r="R32" s="30">
        <f>0+134.804</f>
        <v>134.804</v>
      </c>
      <c r="S32" s="58">
        <v>143.28700000000001</v>
      </c>
      <c r="T32" s="58">
        <v>0.35499999999999998</v>
      </c>
      <c r="U32" s="58">
        <v>0.80300000000000005</v>
      </c>
      <c r="V32" s="24">
        <f>(($X$32-$U$32)/3)+U32</f>
        <v>6.2225463333333328</v>
      </c>
      <c r="W32" s="24">
        <f>(($X$32-$U$32)/3)+V32</f>
        <v>11.642092666666667</v>
      </c>
      <c r="X32" s="41">
        <v>17.061639</v>
      </c>
      <c r="Y32" s="59">
        <v>14.321999999999999</v>
      </c>
      <c r="Z32" s="59">
        <v>15.27</v>
      </c>
      <c r="AA32" s="59">
        <v>19.597999999999999</v>
      </c>
      <c r="AB32" s="59">
        <v>17.364000000000001</v>
      </c>
      <c r="AC32" s="59">
        <v>16.823</v>
      </c>
      <c r="AD32" s="59">
        <v>16.725000000000001</v>
      </c>
      <c r="AE32" s="235">
        <v>18.887</v>
      </c>
      <c r="AF32" s="59">
        <v>19.253</v>
      </c>
      <c r="AG32" s="59">
        <v>20.184000000000001</v>
      </c>
      <c r="AH32" s="59">
        <v>17.911999999999999</v>
      </c>
      <c r="AI32" s="30">
        <v>18.496205</v>
      </c>
      <c r="AJ32" s="59"/>
    </row>
    <row r="33" spans="1:36">
      <c r="A33" s="23" t="s">
        <v>63</v>
      </c>
      <c r="B33" s="30"/>
      <c r="C33" s="30"/>
      <c r="D33" s="30"/>
      <c r="E33" s="30"/>
      <c r="F33" s="30"/>
      <c r="G33" s="30"/>
      <c r="H33" s="30"/>
      <c r="I33" s="30">
        <v>2.177</v>
      </c>
      <c r="J33" s="30">
        <v>1.986</v>
      </c>
      <c r="K33" s="30">
        <v>6.992</v>
      </c>
      <c r="L33" s="30">
        <v>7.3380000000000001</v>
      </c>
      <c r="M33" s="30">
        <f>(4554300+162000+485200+467800+200000+200000+238800)/1000000</f>
        <v>6.3080999999999996</v>
      </c>
      <c r="N33" s="30">
        <v>11.532999999999999</v>
      </c>
      <c r="O33" s="30">
        <v>10.032114999999999</v>
      </c>
      <c r="P33" s="30">
        <f>233.835/10</f>
        <v>23.383500000000002</v>
      </c>
      <c r="Q33" s="30">
        <f>9.025+25.485</f>
        <v>34.51</v>
      </c>
      <c r="R33" s="30">
        <f>6.905+12.847</f>
        <v>19.751999999999999</v>
      </c>
      <c r="S33" s="58">
        <v>16.981000000000002</v>
      </c>
      <c r="T33" s="58">
        <v>93.786000000000001</v>
      </c>
      <c r="U33" s="58">
        <v>2.4929999999999999</v>
      </c>
      <c r="V33" s="58">
        <v>2.452</v>
      </c>
      <c r="W33" s="58">
        <v>2.5230000000000001</v>
      </c>
      <c r="X33" s="58">
        <v>9.9795370000000005</v>
      </c>
      <c r="Y33" s="59">
        <v>17.97</v>
      </c>
      <c r="Z33" s="59">
        <v>10.33</v>
      </c>
      <c r="AA33" s="59">
        <v>11.317</v>
      </c>
      <c r="AB33" s="59">
        <v>11.814</v>
      </c>
      <c r="AC33" s="59">
        <v>9.7270000000000003</v>
      </c>
      <c r="AD33" s="59">
        <v>9.3949999999999996</v>
      </c>
      <c r="AE33" s="235">
        <v>9.8949999999999996</v>
      </c>
      <c r="AF33" s="59">
        <v>10.347</v>
      </c>
      <c r="AG33" s="59">
        <v>10.528</v>
      </c>
      <c r="AH33" s="59">
        <v>10.196999999999999</v>
      </c>
      <c r="AI33" s="30">
        <v>9.5950349999999993</v>
      </c>
      <c r="AJ33" s="59"/>
    </row>
    <row r="34" spans="1:36">
      <c r="A34" s="23" t="s">
        <v>64</v>
      </c>
      <c r="B34" s="30">
        <v>1.349</v>
      </c>
      <c r="C34" s="30">
        <v>1.42</v>
      </c>
      <c r="D34" s="30">
        <v>1.4630000000000001</v>
      </c>
      <c r="E34" s="30">
        <v>1.5049999999999999</v>
      </c>
      <c r="F34" s="41"/>
      <c r="G34" s="30">
        <v>1.5649999999999999</v>
      </c>
      <c r="H34" s="41"/>
      <c r="I34" s="41"/>
      <c r="J34" s="41"/>
      <c r="K34" s="41"/>
      <c r="L34" s="30">
        <v>11.092000000000001</v>
      </c>
      <c r="M34" s="30">
        <f>(50000+350000+400000)/1000000</f>
        <v>0.8</v>
      </c>
      <c r="N34" s="30">
        <f>94.508-80.210813</f>
        <v>14.297186999999994</v>
      </c>
      <c r="O34" s="30">
        <f>85.006799-69.9432</f>
        <v>15.063598999999996</v>
      </c>
      <c r="P34" s="30">
        <f>96.971-81.70568</f>
        <v>15.265320000000003</v>
      </c>
      <c r="Q34" s="30">
        <f>1.169+14.383</f>
        <v>15.552</v>
      </c>
      <c r="R34" s="30">
        <f>1.488+14.383</f>
        <v>15.870999999999999</v>
      </c>
      <c r="S34" s="30">
        <v>60.636000000000003</v>
      </c>
      <c r="T34" s="60">
        <v>20.599</v>
      </c>
      <c r="U34" s="60">
        <v>40.613</v>
      </c>
      <c r="V34" s="60">
        <v>35.048999999999999</v>
      </c>
      <c r="W34" s="60">
        <v>27.602</v>
      </c>
      <c r="X34" s="60">
        <v>32.532912000000003</v>
      </c>
      <c r="Y34" s="59">
        <v>35.406999999999996</v>
      </c>
      <c r="Z34" s="59">
        <v>38.347999999999999</v>
      </c>
      <c r="AA34" s="59">
        <v>47.521999999999998</v>
      </c>
      <c r="AB34" s="59">
        <v>56.540999999999997</v>
      </c>
      <c r="AC34" s="59">
        <v>68.063000000000002</v>
      </c>
      <c r="AD34" s="59">
        <v>78.911000000000001</v>
      </c>
      <c r="AE34" s="235">
        <v>87.474999999999994</v>
      </c>
      <c r="AF34" s="59">
        <v>91.081000000000003</v>
      </c>
      <c r="AG34" s="59">
        <v>78.454999999999998</v>
      </c>
      <c r="AH34" s="59">
        <v>84.361000000000004</v>
      </c>
      <c r="AI34" s="30">
        <v>82.589787999999999</v>
      </c>
      <c r="AJ34" s="59"/>
    </row>
    <row r="35" spans="1:36">
      <c r="A35" s="23" t="s">
        <v>65</v>
      </c>
      <c r="B35" s="30">
        <v>1.077</v>
      </c>
      <c r="C35" s="41"/>
      <c r="D35" s="41"/>
      <c r="E35" s="30">
        <v>6.13</v>
      </c>
      <c r="F35" s="30">
        <v>5.8559999999999999</v>
      </c>
      <c r="G35" s="30">
        <v>7.5780000000000003</v>
      </c>
      <c r="H35" s="30">
        <v>8.4909999999999997</v>
      </c>
      <c r="I35" s="30">
        <v>9.5009999999999994</v>
      </c>
      <c r="J35" s="30">
        <v>9.4</v>
      </c>
      <c r="K35" s="30">
        <v>10.534000000000001</v>
      </c>
      <c r="L35" s="30">
        <v>0.82099999999999995</v>
      </c>
      <c r="M35" s="41"/>
      <c r="N35" s="30">
        <f>221.09-(4.051511+139.765515+41.518916)</f>
        <v>35.754058000000015</v>
      </c>
      <c r="O35" s="30">
        <f>211.485177-(4.065337+139.492572+45.975806)</f>
        <v>21.951461999999992</v>
      </c>
      <c r="P35" s="30">
        <f>227.927-(143.937178+52.8093+5.831003)</f>
        <v>25.349518999999987</v>
      </c>
      <c r="Q35" s="30">
        <f>0.77+27.147</f>
        <v>27.916999999999998</v>
      </c>
      <c r="R35" s="30">
        <f>0.748+25.806</f>
        <v>26.554000000000002</v>
      </c>
      <c r="S35" s="30">
        <v>26.457000000000001</v>
      </c>
      <c r="T35" s="60">
        <v>29.792000000000002</v>
      </c>
      <c r="U35" s="60">
        <v>26.882000000000001</v>
      </c>
      <c r="V35" s="60">
        <v>30.748000000000001</v>
      </c>
      <c r="W35" s="60">
        <v>37.939</v>
      </c>
      <c r="X35" s="58">
        <v>39.627291999999997</v>
      </c>
      <c r="Y35" s="59">
        <v>45.737000000000002</v>
      </c>
      <c r="Z35" s="59">
        <v>44.14</v>
      </c>
      <c r="AA35" s="59">
        <v>52.459000000000003</v>
      </c>
      <c r="AB35" s="59">
        <v>58.311999999999998</v>
      </c>
      <c r="AC35" s="59">
        <v>63.436</v>
      </c>
      <c r="AD35" s="59">
        <v>74</v>
      </c>
      <c r="AE35" s="235">
        <v>80.539000000000001</v>
      </c>
      <c r="AF35" s="59">
        <v>83.555999999999997</v>
      </c>
      <c r="AG35" s="59">
        <v>106.646</v>
      </c>
      <c r="AH35" s="59">
        <v>115.69199999999999</v>
      </c>
      <c r="AI35" s="30">
        <v>140.23177999999999</v>
      </c>
      <c r="AJ35" s="59"/>
    </row>
    <row r="36" spans="1:36">
      <c r="A36" s="23" t="s">
        <v>66</v>
      </c>
      <c r="B36" s="30">
        <v>0.15</v>
      </c>
      <c r="C36" s="30">
        <v>0.44800000000000001</v>
      </c>
      <c r="D36" s="30">
        <v>0.153</v>
      </c>
      <c r="E36" s="30">
        <v>0.14599999999999999</v>
      </c>
      <c r="F36" s="30">
        <v>0.14899999999999999</v>
      </c>
      <c r="G36" s="30">
        <v>0.68300000000000005</v>
      </c>
      <c r="H36" s="30">
        <v>0.51100000000000001</v>
      </c>
      <c r="I36" s="30">
        <v>0.86199999999999999</v>
      </c>
      <c r="J36" s="30">
        <v>0.876</v>
      </c>
      <c r="K36" s="30">
        <v>0.999</v>
      </c>
      <c r="L36" s="30">
        <v>22.963999999999999</v>
      </c>
      <c r="M36" s="30">
        <f>(12457066+780000+215500+269500+305867)/1000000</f>
        <v>14.027933000000001</v>
      </c>
      <c r="N36" s="30">
        <v>37.786000000000001</v>
      </c>
      <c r="O36" s="30">
        <v>49.138337</v>
      </c>
      <c r="P36" s="30">
        <v>52.868000000000002</v>
      </c>
      <c r="Q36" s="30">
        <f>15.357+37.352</f>
        <v>52.708999999999996</v>
      </c>
      <c r="R36" s="30">
        <f>15.675+37.366</f>
        <v>53.040999999999997</v>
      </c>
      <c r="S36" s="58">
        <v>25.55</v>
      </c>
      <c r="T36" s="58">
        <v>25.029</v>
      </c>
      <c r="U36" s="58">
        <v>23.963999999999999</v>
      </c>
      <c r="V36" s="58">
        <v>24.056999999999999</v>
      </c>
      <c r="W36" s="58">
        <v>23.690999999999999</v>
      </c>
      <c r="X36" s="58">
        <v>24.994</v>
      </c>
      <c r="Y36" s="59">
        <v>29.201000000000001</v>
      </c>
      <c r="Z36" s="59">
        <v>31.785</v>
      </c>
      <c r="AA36" s="59">
        <v>34.106000000000002</v>
      </c>
      <c r="AB36" s="59">
        <v>34.637999999999998</v>
      </c>
      <c r="AC36" s="59">
        <v>27.579000000000001</v>
      </c>
      <c r="AD36" s="59">
        <v>18.088000000000001</v>
      </c>
      <c r="AE36" s="235">
        <v>17.835000000000001</v>
      </c>
      <c r="AF36" s="59">
        <v>14.901999999999999</v>
      </c>
      <c r="AG36" s="59">
        <v>15.244999999999999</v>
      </c>
      <c r="AH36" s="59">
        <v>15.311</v>
      </c>
      <c r="AI36" s="30">
        <v>15.211893999999999</v>
      </c>
      <c r="AJ36" s="59"/>
    </row>
    <row r="37" spans="1:36">
      <c r="A37" s="32" t="s">
        <v>67</v>
      </c>
      <c r="B37" s="33" t="s">
        <v>37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3" t="s">
        <v>37</v>
      </c>
      <c r="N37" s="33" t="s">
        <v>37</v>
      </c>
      <c r="O37" s="33" t="s">
        <v>37</v>
      </c>
      <c r="P37" s="33" t="s">
        <v>37</v>
      </c>
      <c r="Q37" s="33" t="s">
        <v>37</v>
      </c>
      <c r="R37" s="33" t="s">
        <v>37</v>
      </c>
      <c r="S37" s="33" t="s">
        <v>37</v>
      </c>
      <c r="T37" s="33" t="s">
        <v>37</v>
      </c>
      <c r="U37" s="33" t="s">
        <v>37</v>
      </c>
      <c r="V37" s="33" t="s">
        <v>37</v>
      </c>
      <c r="W37" s="33" t="s">
        <v>37</v>
      </c>
      <c r="X37" s="33" t="s">
        <v>37</v>
      </c>
      <c r="Y37" s="33" t="s">
        <v>37</v>
      </c>
      <c r="Z37" s="33" t="s">
        <v>37</v>
      </c>
      <c r="AA37" s="33" t="s">
        <v>37</v>
      </c>
      <c r="AB37" s="285" t="s">
        <v>45</v>
      </c>
      <c r="AC37" s="285" t="s">
        <v>45</v>
      </c>
      <c r="AD37" s="285" t="s">
        <v>45</v>
      </c>
      <c r="AE37" s="285" t="s">
        <v>45</v>
      </c>
      <c r="AF37" s="285" t="s">
        <v>45</v>
      </c>
      <c r="AG37" s="289" t="s">
        <v>45</v>
      </c>
      <c r="AH37" s="289" t="s">
        <v>45</v>
      </c>
      <c r="AI37" s="289" t="s">
        <v>45</v>
      </c>
      <c r="AJ37" s="30"/>
    </row>
    <row r="38" spans="1:36">
      <c r="A38" s="7" t="s">
        <v>68</v>
      </c>
      <c r="B38" s="37">
        <f>SUM(B40:B51)</f>
        <v>5.9630000000000001</v>
      </c>
      <c r="C38" s="37">
        <f t="shared" ref="C38:AG38" si="8">SUM(C40:C51)</f>
        <v>9.4320000000000004</v>
      </c>
      <c r="D38" s="37">
        <f t="shared" si="8"/>
        <v>11.192</v>
      </c>
      <c r="E38" s="37">
        <f t="shared" si="8"/>
        <v>16.955000000000002</v>
      </c>
      <c r="F38" s="37">
        <f t="shared" si="8"/>
        <v>14.168000000000001</v>
      </c>
      <c r="G38" s="37">
        <f t="shared" si="8"/>
        <v>31.459</v>
      </c>
      <c r="H38" s="37">
        <f t="shared" si="8"/>
        <v>35.091999999999999</v>
      </c>
      <c r="I38" s="37">
        <f t="shared" si="8"/>
        <v>11.367999999999999</v>
      </c>
      <c r="J38" s="37">
        <f t="shared" si="8"/>
        <v>36.261000000000003</v>
      </c>
      <c r="K38" s="37">
        <f t="shared" si="8"/>
        <v>39.897000000000006</v>
      </c>
      <c r="L38" s="37">
        <f t="shared" si="8"/>
        <v>20.885000000000002</v>
      </c>
      <c r="M38" s="37">
        <f t="shared" si="8"/>
        <v>39.238530000000004</v>
      </c>
      <c r="N38" s="37">
        <f t="shared" si="8"/>
        <v>180.85457400000007</v>
      </c>
      <c r="O38" s="37">
        <f t="shared" si="8"/>
        <v>180.77148200000016</v>
      </c>
      <c r="P38" s="37">
        <f t="shared" si="8"/>
        <v>221.42485299999998</v>
      </c>
      <c r="Q38" s="37">
        <f t="shared" si="8"/>
        <v>260.27699999999999</v>
      </c>
      <c r="R38" s="37">
        <f t="shared" si="8"/>
        <v>402.54399999999998</v>
      </c>
      <c r="S38" s="37">
        <f t="shared" si="8"/>
        <v>315.61900000000003</v>
      </c>
      <c r="T38" s="37">
        <f t="shared" si="8"/>
        <v>384.18</v>
      </c>
      <c r="U38" s="37">
        <f t="shared" si="8"/>
        <v>210.60400000000004</v>
      </c>
      <c r="V38" s="37">
        <f t="shared" si="8"/>
        <v>280.66499999999996</v>
      </c>
      <c r="W38" s="37">
        <f t="shared" si="8"/>
        <v>332.37000000000006</v>
      </c>
      <c r="X38" s="37">
        <f t="shared" si="8"/>
        <v>363.66201999999998</v>
      </c>
      <c r="Y38" s="37">
        <f t="shared" si="8"/>
        <v>387.46999999999991</v>
      </c>
      <c r="Z38" s="37">
        <f t="shared" si="8"/>
        <v>522.98900000000003</v>
      </c>
      <c r="AA38" s="37">
        <f t="shared" si="8"/>
        <v>343.64600000000007</v>
      </c>
      <c r="AB38" s="37">
        <f t="shared" si="8"/>
        <v>346.53900000000004</v>
      </c>
      <c r="AC38" s="37">
        <f t="shared" si="8"/>
        <v>288.79099999999994</v>
      </c>
      <c r="AD38" s="37">
        <f t="shared" si="8"/>
        <v>276.69</v>
      </c>
      <c r="AE38" s="37">
        <f t="shared" si="8"/>
        <v>241.48299999999998</v>
      </c>
      <c r="AF38" s="37">
        <f t="shared" si="8"/>
        <v>227.97399999999996</v>
      </c>
      <c r="AG38" s="37">
        <f t="shared" si="8"/>
        <v>251.04599999999999</v>
      </c>
      <c r="AH38" s="37">
        <f t="shared" ref="AH38:AI38" si="9">SUM(AH40:AH51)</f>
        <v>258.77800000000002</v>
      </c>
      <c r="AI38" s="37">
        <f t="shared" si="9"/>
        <v>273.51693599999999</v>
      </c>
      <c r="AJ38" s="37"/>
    </row>
    <row r="39" spans="1:36">
      <c r="A39" s="7" t="s">
        <v>35</v>
      </c>
      <c r="F39" s="8"/>
      <c r="P39" s="55"/>
      <c r="AE39" s="235"/>
    </row>
    <row r="40" spans="1:36">
      <c r="A40" s="23" t="s">
        <v>69</v>
      </c>
      <c r="B40" s="30">
        <v>3.9929999999999999</v>
      </c>
      <c r="C40" s="30">
        <v>7.5010000000000003</v>
      </c>
      <c r="D40" s="30">
        <v>9.4640000000000004</v>
      </c>
      <c r="E40" s="30">
        <v>4.3550000000000004</v>
      </c>
      <c r="F40" s="30">
        <v>4.21</v>
      </c>
      <c r="G40" s="30">
        <v>3.6579999999999999</v>
      </c>
      <c r="H40" s="30">
        <v>4.125</v>
      </c>
      <c r="I40" s="30">
        <v>4.1479999999999997</v>
      </c>
      <c r="J40" s="30">
        <v>4.1580000000000004</v>
      </c>
      <c r="K40" s="30">
        <v>3.4910000000000001</v>
      </c>
      <c r="L40" s="30">
        <v>0.27600000000000002</v>
      </c>
      <c r="M40" s="30">
        <f>(666891+945800+1500000+1000000)/1000000</f>
        <v>4.1126909999999999</v>
      </c>
      <c r="N40" s="30">
        <f>615.325-(253.399452+127.003107+28.163227+202.848134)</f>
        <v>3.9110800000000836</v>
      </c>
      <c r="O40" s="30">
        <f>682.579508-(279.123294+150.805585+29.748458+218.650588)</f>
        <v>4.251583000000096</v>
      </c>
      <c r="P40" s="30">
        <f>554.924-279.138421-163.095331-32.597335-71.550005</f>
        <v>8.5429079999999971</v>
      </c>
      <c r="Q40" s="30">
        <f>9.012+0</f>
        <v>9.0120000000000005</v>
      </c>
      <c r="R40" s="30">
        <f>9.097+0</f>
        <v>9.0969999999999995</v>
      </c>
      <c r="S40" s="58">
        <v>9.7949999999999999</v>
      </c>
      <c r="T40" s="58">
        <v>11.026999999999999</v>
      </c>
      <c r="U40" s="58">
        <v>5.0149999999999997</v>
      </c>
      <c r="V40" s="58">
        <v>9.3650000000000002</v>
      </c>
      <c r="W40" s="58">
        <v>6.8179999999999996</v>
      </c>
      <c r="X40" s="58">
        <v>7.1600679999999999</v>
      </c>
      <c r="Y40" s="59">
        <v>7.6479999999999997</v>
      </c>
      <c r="Z40" s="59">
        <v>10.222</v>
      </c>
      <c r="AA40" s="59">
        <v>10.019</v>
      </c>
      <c r="AB40" s="59">
        <v>8.3379999999999992</v>
      </c>
      <c r="AC40" s="59">
        <v>6.6509999999999998</v>
      </c>
      <c r="AD40" s="59">
        <v>6.5060000000000002</v>
      </c>
      <c r="AE40" s="235">
        <v>7.6589999999999998</v>
      </c>
      <c r="AF40" s="59">
        <v>3.964</v>
      </c>
      <c r="AG40" s="59">
        <v>4.0640000000000001</v>
      </c>
      <c r="AH40" s="59">
        <v>1.698</v>
      </c>
      <c r="AI40" s="30">
        <v>3.2825340000000001</v>
      </c>
      <c r="AJ40" s="59"/>
    </row>
    <row r="41" spans="1:36">
      <c r="A41" s="23" t="s">
        <v>70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>
        <f>(667999+325741+426000)/1000000</f>
        <v>1.41974</v>
      </c>
      <c r="N41" s="30">
        <v>28.762</v>
      </c>
      <c r="O41" s="30">
        <v>44.662689999999998</v>
      </c>
      <c r="P41" s="30">
        <v>54.874000000000002</v>
      </c>
      <c r="Q41" s="30">
        <f>1.416+60.668</f>
        <v>62.083999999999996</v>
      </c>
      <c r="R41" s="30">
        <f>1.454+63.377</f>
        <v>64.831000000000003</v>
      </c>
      <c r="S41" s="58">
        <v>11.101000000000001</v>
      </c>
      <c r="T41" s="58">
        <v>11.721</v>
      </c>
      <c r="U41" s="58">
        <v>16.887</v>
      </c>
      <c r="V41" s="58">
        <v>18.335000000000001</v>
      </c>
      <c r="W41" s="58">
        <v>18.538</v>
      </c>
      <c r="X41" s="58">
        <v>17.999400000000001</v>
      </c>
      <c r="Y41" s="59">
        <v>18.747</v>
      </c>
      <c r="Z41" s="59">
        <v>174.67699999999999</v>
      </c>
      <c r="AA41" s="59">
        <v>21.545999999999999</v>
      </c>
      <c r="AB41" s="59">
        <v>24.21</v>
      </c>
      <c r="AC41" s="59">
        <v>25.651</v>
      </c>
      <c r="AD41" s="59">
        <v>26.289000000000001</v>
      </c>
      <c r="AE41" s="235">
        <v>25.931000000000001</v>
      </c>
      <c r="AF41" s="59">
        <v>25.710999999999999</v>
      </c>
      <c r="AG41" s="59">
        <v>27.010999999999999</v>
      </c>
      <c r="AH41" s="59">
        <v>27.806000000000001</v>
      </c>
      <c r="AI41" s="30">
        <v>31.690733999999999</v>
      </c>
      <c r="AJ41" s="59"/>
    </row>
    <row r="42" spans="1:36">
      <c r="A42" s="23" t="s">
        <v>71</v>
      </c>
      <c r="B42" s="30"/>
      <c r="C42" s="30"/>
      <c r="D42" s="30"/>
      <c r="E42" s="30">
        <v>2.75</v>
      </c>
      <c r="F42" s="30">
        <v>2.75</v>
      </c>
      <c r="G42" s="30">
        <v>21.550999999999998</v>
      </c>
      <c r="H42" s="30">
        <v>25.635000000000002</v>
      </c>
      <c r="I42" s="30">
        <v>1.5169999999999999</v>
      </c>
      <c r="J42" s="30">
        <v>26.375</v>
      </c>
      <c r="K42" s="30">
        <v>29.25</v>
      </c>
      <c r="L42" s="30">
        <v>4.0990000000000002</v>
      </c>
      <c r="M42" s="30">
        <f>(2898840+379260+110100)/1000000</f>
        <v>3.3881999999999999</v>
      </c>
      <c r="N42" s="30">
        <f>167.002-(144.044366+11.596413)</f>
        <v>11.361221</v>
      </c>
      <c r="O42" s="30">
        <f>209.934838-(187.383+10.98)</f>
        <v>11.571838000000014</v>
      </c>
      <c r="P42" s="30">
        <f>225.417-203.506822-10.692295</f>
        <v>11.217883000000002</v>
      </c>
      <c r="Q42" s="30">
        <f>5.89+2.188</f>
        <v>8.0779999999999994</v>
      </c>
      <c r="R42" s="30">
        <f>5.44+4.854</f>
        <v>10.294</v>
      </c>
      <c r="S42" s="60">
        <v>10.757</v>
      </c>
      <c r="T42" s="60">
        <v>9.266</v>
      </c>
      <c r="U42" s="60">
        <v>2.9889999999999999</v>
      </c>
      <c r="V42" s="60">
        <v>2.9609999999999999</v>
      </c>
      <c r="W42" s="60">
        <v>5.3620000000000001</v>
      </c>
      <c r="X42" s="60">
        <v>5.4462729999999997</v>
      </c>
      <c r="Y42" s="59">
        <v>6.05</v>
      </c>
      <c r="Z42" s="59">
        <v>6.2130000000000001</v>
      </c>
      <c r="AA42" s="59">
        <v>2.7690000000000001</v>
      </c>
      <c r="AB42" s="59">
        <v>1.262</v>
      </c>
      <c r="AC42" s="59">
        <v>1.238</v>
      </c>
      <c r="AD42" s="59">
        <v>0.96899999999999997</v>
      </c>
      <c r="AE42" s="235">
        <v>0.95799999999999996</v>
      </c>
      <c r="AF42" s="59">
        <v>2.298</v>
      </c>
      <c r="AG42" s="59">
        <v>1.353</v>
      </c>
      <c r="AH42" s="59">
        <v>1.909</v>
      </c>
      <c r="AI42" s="30">
        <v>1.802184</v>
      </c>
      <c r="AJ42" s="59"/>
    </row>
    <row r="43" spans="1:36">
      <c r="A43" s="23" t="s">
        <v>72</v>
      </c>
      <c r="B43" s="30"/>
      <c r="C43" s="30"/>
      <c r="D43" s="30"/>
      <c r="E43" s="30"/>
      <c r="F43" s="30">
        <v>0.3</v>
      </c>
      <c r="G43" s="30">
        <v>0.32600000000000001</v>
      </c>
      <c r="H43" s="30">
        <v>0.38600000000000001</v>
      </c>
      <c r="I43" s="30">
        <v>0.05</v>
      </c>
      <c r="J43" s="30">
        <v>2.9000000000000001E-2</v>
      </c>
      <c r="K43" s="30">
        <v>3.9E-2</v>
      </c>
      <c r="L43" s="30">
        <v>3.9E-2</v>
      </c>
      <c r="M43" s="41"/>
      <c r="N43" s="30">
        <v>2.87</v>
      </c>
      <c r="O43" s="30">
        <v>2.867375</v>
      </c>
      <c r="P43" s="30">
        <v>1.9119999999999999</v>
      </c>
      <c r="Q43" s="30">
        <f>2.934+0</f>
        <v>2.9340000000000002</v>
      </c>
      <c r="R43" s="30">
        <f>2.811+0</f>
        <v>2.8109999999999999</v>
      </c>
      <c r="S43" s="60">
        <v>2.9740000000000002</v>
      </c>
      <c r="T43" s="60">
        <v>2.7749999999999999</v>
      </c>
      <c r="U43" s="60">
        <v>2.1339999999999999</v>
      </c>
      <c r="V43" s="60">
        <v>1.89</v>
      </c>
      <c r="W43" s="60">
        <v>2.0470000000000002</v>
      </c>
      <c r="X43" s="60">
        <v>3.5860240000000001</v>
      </c>
      <c r="Y43" s="59">
        <v>4.2329999999999997</v>
      </c>
      <c r="Z43" s="59">
        <v>4.7320000000000002</v>
      </c>
      <c r="AA43" s="59">
        <v>4.6479999999999997</v>
      </c>
      <c r="AB43" s="59">
        <v>4.7220000000000004</v>
      </c>
      <c r="AC43" s="59">
        <v>4.202</v>
      </c>
      <c r="AD43" s="59">
        <v>4.0940000000000003</v>
      </c>
      <c r="AE43" s="235">
        <v>3.9</v>
      </c>
      <c r="AF43" s="59">
        <v>3.9460000000000002</v>
      </c>
      <c r="AG43" s="59">
        <v>4.0670000000000002</v>
      </c>
      <c r="AH43" s="59">
        <v>3.847</v>
      </c>
      <c r="AI43" s="30">
        <v>3.225231</v>
      </c>
      <c r="AJ43" s="59"/>
    </row>
    <row r="44" spans="1:36">
      <c r="A44" s="23" t="s">
        <v>73</v>
      </c>
      <c r="B44" s="30"/>
      <c r="C44" s="30"/>
      <c r="D44" s="30"/>
      <c r="E44" s="30"/>
      <c r="F44" s="30">
        <v>1</v>
      </c>
      <c r="G44" s="30">
        <v>1.1819999999999999</v>
      </c>
      <c r="H44" s="30">
        <v>1.218</v>
      </c>
      <c r="I44" s="30">
        <v>1.718</v>
      </c>
      <c r="J44" s="30">
        <v>1.9</v>
      </c>
      <c r="K44" s="30">
        <v>4.8600000000000003</v>
      </c>
      <c r="L44" s="30">
        <v>9.6980000000000004</v>
      </c>
      <c r="M44" s="30">
        <f>(6418826+7972000+3097681+558745+720000)/1000000</f>
        <v>18.767251999999999</v>
      </c>
      <c r="N44" s="30">
        <f>293.727-265.76878</f>
        <v>27.958219999999983</v>
      </c>
      <c r="O44" s="30">
        <f>338.479822-314.540574</f>
        <v>23.939248000000021</v>
      </c>
      <c r="P44" s="30">
        <f>336.86-314.386028</f>
        <v>22.473972000000003</v>
      </c>
      <c r="Q44" s="30">
        <f>17.698+4.1</f>
        <v>21.798000000000002</v>
      </c>
      <c r="R44" s="30">
        <f>128.742+4.1</f>
        <v>132.84199999999998</v>
      </c>
      <c r="S44" s="30">
        <v>117.98099999999999</v>
      </c>
      <c r="T44" s="58">
        <v>154.55600000000001</v>
      </c>
      <c r="U44" s="58">
        <v>40.045000000000002</v>
      </c>
      <c r="V44" s="58">
        <v>44.191000000000003</v>
      </c>
      <c r="W44" s="58">
        <v>49.662999999999997</v>
      </c>
      <c r="X44" s="58">
        <v>82.619455000000002</v>
      </c>
      <c r="Y44" s="59">
        <v>105.22</v>
      </c>
      <c r="Z44" s="59">
        <v>46.883000000000003</v>
      </c>
      <c r="AA44" s="59">
        <v>38.090000000000003</v>
      </c>
      <c r="AB44" s="59">
        <v>31.52</v>
      </c>
      <c r="AC44" s="41" t="s">
        <v>45</v>
      </c>
      <c r="AD44" s="41" t="s">
        <v>45</v>
      </c>
      <c r="AE44" s="235">
        <v>0.104</v>
      </c>
      <c r="AF44" s="41">
        <v>9.0999999999999998E-2</v>
      </c>
      <c r="AG44" s="41">
        <v>8.7999999999999995E-2</v>
      </c>
      <c r="AH44" s="41">
        <v>7.3999999999999996E-2</v>
      </c>
      <c r="AI44" s="30">
        <v>6.1726999999999997E-2</v>
      </c>
      <c r="AJ44" s="41"/>
    </row>
    <row r="45" spans="1:36">
      <c r="A45" s="23" t="s">
        <v>74</v>
      </c>
      <c r="B45" s="30">
        <v>1.8</v>
      </c>
      <c r="C45" s="30">
        <v>1.804</v>
      </c>
      <c r="D45" s="30">
        <v>1.64</v>
      </c>
      <c r="E45" s="30">
        <v>2.64</v>
      </c>
      <c r="F45" s="30">
        <v>4.04</v>
      </c>
      <c r="G45" s="30">
        <v>2.64</v>
      </c>
      <c r="H45" s="30">
        <v>1.589</v>
      </c>
      <c r="I45" s="30">
        <v>1.72</v>
      </c>
      <c r="J45" s="30">
        <v>1.595</v>
      </c>
      <c r="K45" s="30">
        <v>0</v>
      </c>
      <c r="L45" s="30">
        <v>0</v>
      </c>
      <c r="M45" s="30">
        <f>8200000/1000000</f>
        <v>8.1999999999999993</v>
      </c>
      <c r="N45" s="30">
        <v>31.370999999999999</v>
      </c>
      <c r="O45" s="30">
        <v>33.777768999999999</v>
      </c>
      <c r="P45" s="30">
        <v>42.027999999999999</v>
      </c>
      <c r="Q45" s="30">
        <f>76.949+0</f>
        <v>76.948999999999998</v>
      </c>
      <c r="R45" s="30">
        <f>95.716+0</f>
        <v>95.715999999999994</v>
      </c>
      <c r="S45" s="60">
        <v>105.96599999999999</v>
      </c>
      <c r="T45" s="60">
        <v>118.762</v>
      </c>
      <c r="U45" s="60">
        <v>107.239</v>
      </c>
      <c r="V45" s="60">
        <v>127.352</v>
      </c>
      <c r="W45" s="60">
        <v>148.12100000000001</v>
      </c>
      <c r="X45" s="60">
        <v>139.89337499999999</v>
      </c>
      <c r="Y45" s="59">
        <v>150.07900000000001</v>
      </c>
      <c r="Z45" s="59">
        <v>154.351</v>
      </c>
      <c r="AA45" s="59">
        <v>137.435</v>
      </c>
      <c r="AB45" s="59">
        <v>132.44499999999999</v>
      </c>
      <c r="AC45" s="59">
        <v>98.84</v>
      </c>
      <c r="AD45" s="59">
        <v>99.796000000000006</v>
      </c>
      <c r="AE45" s="235">
        <v>83.183999999999997</v>
      </c>
      <c r="AF45" s="59">
        <v>74.19</v>
      </c>
      <c r="AG45" s="59">
        <v>69.685000000000002</v>
      </c>
      <c r="AH45" s="59">
        <v>81.08</v>
      </c>
      <c r="AI45" s="30">
        <v>80.322941999999998</v>
      </c>
      <c r="AJ45" s="59"/>
    </row>
    <row r="46" spans="1:36">
      <c r="A46" s="23" t="s">
        <v>75</v>
      </c>
      <c r="B46" s="30"/>
      <c r="C46" s="30"/>
      <c r="D46" s="30"/>
      <c r="E46" s="30">
        <v>0.21</v>
      </c>
      <c r="F46" s="30">
        <v>0.21</v>
      </c>
      <c r="G46" s="30">
        <v>0.26</v>
      </c>
      <c r="H46" s="30">
        <v>0.26</v>
      </c>
      <c r="I46" s="30">
        <v>0.26</v>
      </c>
      <c r="J46" s="30">
        <v>0.26</v>
      </c>
      <c r="K46" s="30">
        <v>0.249</v>
      </c>
      <c r="L46" s="30">
        <v>0.25</v>
      </c>
      <c r="M46" s="30">
        <f>295495/1000000</f>
        <v>0.29549500000000001</v>
      </c>
      <c r="N46" s="30">
        <f>304.028-258</f>
        <v>46.02800000000002</v>
      </c>
      <c r="O46" s="30">
        <f>312.312832-261</f>
        <v>51.312832000000014</v>
      </c>
      <c r="P46" s="30">
        <f>327.859-278.06101</f>
        <v>49.79798999999997</v>
      </c>
      <c r="Q46" s="30">
        <f>0+55.897</f>
        <v>55.896999999999998</v>
      </c>
      <c r="R46" s="30">
        <f>0+60.76</f>
        <v>60.76</v>
      </c>
      <c r="S46" s="60">
        <v>7.6859999999999999</v>
      </c>
      <c r="T46" s="60">
        <v>18.925000000000001</v>
      </c>
      <c r="U46" s="60">
        <v>0.59799999999999998</v>
      </c>
      <c r="V46" s="60">
        <v>12.89</v>
      </c>
      <c r="W46" s="60">
        <v>11.297000000000001</v>
      </c>
      <c r="X46" s="60">
        <v>28.182721000000001</v>
      </c>
      <c r="Y46" s="59">
        <v>11.352</v>
      </c>
      <c r="Z46" s="59">
        <v>10.965999999999999</v>
      </c>
      <c r="AA46" s="59">
        <v>11.304</v>
      </c>
      <c r="AB46" s="59">
        <v>15.24</v>
      </c>
      <c r="AC46" s="59">
        <v>12.606</v>
      </c>
      <c r="AD46" s="59">
        <v>13.058</v>
      </c>
      <c r="AE46" s="41" t="s">
        <v>45</v>
      </c>
      <c r="AF46" s="41" t="s">
        <v>45</v>
      </c>
      <c r="AG46" s="41" t="s">
        <v>45</v>
      </c>
      <c r="AH46" s="41" t="s">
        <v>45</v>
      </c>
      <c r="AI46" s="41" t="s">
        <v>45</v>
      </c>
      <c r="AJ46" s="41"/>
    </row>
    <row r="47" spans="1:36">
      <c r="A47" s="23" t="s">
        <v>76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>
        <v>17.204000000000001</v>
      </c>
      <c r="O47" s="30">
        <v>1.234224</v>
      </c>
      <c r="P47" s="30">
        <v>22.902000000000001</v>
      </c>
      <c r="Q47" s="30">
        <f>0+15.185</f>
        <v>15.185</v>
      </c>
      <c r="R47" s="30">
        <f>0+14.617</f>
        <v>14.617000000000001</v>
      </c>
      <c r="S47" s="30">
        <v>13.94</v>
      </c>
      <c r="T47" s="67">
        <f>((U47-S47)/2)+S47</f>
        <v>23.557000000000002</v>
      </c>
      <c r="U47" s="60">
        <v>33.173999999999999</v>
      </c>
      <c r="V47" s="60">
        <v>55.055</v>
      </c>
      <c r="W47" s="60">
        <v>81.623999999999995</v>
      </c>
      <c r="X47" s="60">
        <v>69.868706000000003</v>
      </c>
      <c r="Y47" s="59">
        <v>74.947000000000003</v>
      </c>
      <c r="Z47" s="59">
        <v>105.19499999999999</v>
      </c>
      <c r="AA47" s="59">
        <v>108.404</v>
      </c>
      <c r="AB47" s="59">
        <v>119.19799999999999</v>
      </c>
      <c r="AC47" s="59">
        <v>129.86600000000001</v>
      </c>
      <c r="AD47" s="59">
        <v>116.15900000000001</v>
      </c>
      <c r="AE47" s="235">
        <v>109.863</v>
      </c>
      <c r="AF47" s="59">
        <v>107.72</v>
      </c>
      <c r="AG47" s="59">
        <v>132.488</v>
      </c>
      <c r="AH47" s="59">
        <v>130.762</v>
      </c>
      <c r="AI47" s="30">
        <v>141.22033400000001</v>
      </c>
      <c r="AJ47" s="59"/>
    </row>
    <row r="48" spans="1:36">
      <c r="A48" s="23" t="s">
        <v>77</v>
      </c>
      <c r="B48" s="30">
        <v>0.17</v>
      </c>
      <c r="C48" s="30">
        <v>0.127</v>
      </c>
      <c r="D48" s="30">
        <v>8.7999999999999995E-2</v>
      </c>
      <c r="E48" s="41"/>
      <c r="F48" s="41"/>
      <c r="G48" s="41"/>
      <c r="H48" s="41"/>
      <c r="I48" s="41"/>
      <c r="J48" s="41"/>
      <c r="K48" s="41"/>
      <c r="L48" s="30">
        <v>0.85099999999999998</v>
      </c>
      <c r="M48" s="41"/>
      <c r="N48" s="41"/>
      <c r="O48" s="41"/>
      <c r="P48" s="41"/>
      <c r="Q48" s="41"/>
      <c r="R48" s="41"/>
      <c r="S48" s="30">
        <v>10.473000000000001</v>
      </c>
      <c r="T48" s="60">
        <v>16.963999999999999</v>
      </c>
      <c r="U48" s="60">
        <v>0.17499999999999999</v>
      </c>
      <c r="V48" s="60">
        <v>0.28100000000000003</v>
      </c>
      <c r="W48" s="60">
        <v>0.34100000000000003</v>
      </c>
      <c r="X48" s="60">
        <v>0.48399999999999999</v>
      </c>
      <c r="Y48" s="59">
        <v>0.45</v>
      </c>
      <c r="Z48" s="59">
        <v>0.67</v>
      </c>
      <c r="AA48" s="59">
        <v>0.755</v>
      </c>
      <c r="AB48" s="59">
        <v>1.2849999999999999</v>
      </c>
      <c r="AC48" s="59">
        <v>1.3560000000000001</v>
      </c>
      <c r="AD48" s="59">
        <v>1.706</v>
      </c>
      <c r="AE48" s="235">
        <v>1.6339999999999999</v>
      </c>
      <c r="AF48" s="59">
        <v>1.5049999999999999</v>
      </c>
      <c r="AG48" s="59">
        <v>1.593</v>
      </c>
      <c r="AH48" s="59">
        <v>1.5349999999999999</v>
      </c>
      <c r="AI48" s="30">
        <v>1.565083</v>
      </c>
      <c r="AJ48" s="59"/>
    </row>
    <row r="49" spans="1:36">
      <c r="A49" s="23" t="s">
        <v>78</v>
      </c>
      <c r="B49" s="30"/>
      <c r="C49" s="30"/>
      <c r="D49" s="30"/>
      <c r="E49" s="30">
        <v>5.5</v>
      </c>
      <c r="F49" s="41"/>
      <c r="G49" s="41"/>
      <c r="H49" s="41"/>
      <c r="I49" s="41"/>
      <c r="J49" s="41"/>
      <c r="K49" s="41"/>
      <c r="L49" s="30">
        <v>3.6</v>
      </c>
      <c r="M49" s="30">
        <f>(731994+277359+415000+700000)/1000000</f>
        <v>2.1243530000000002</v>
      </c>
      <c r="N49" s="30">
        <f>108.281-(22.192145+60.452657+22.192145)</f>
        <v>3.4440530000000109</v>
      </c>
      <c r="O49" s="30">
        <v>3.600778</v>
      </c>
      <c r="P49" s="30">
        <v>4.1310000000000002</v>
      </c>
      <c r="Q49" s="30">
        <f>0.663+3.718</f>
        <v>4.3810000000000002</v>
      </c>
      <c r="R49" s="30">
        <f>0.675+6.921</f>
        <v>7.5960000000000001</v>
      </c>
      <c r="S49" s="60">
        <v>20.946999999999999</v>
      </c>
      <c r="T49" s="60">
        <v>12.616</v>
      </c>
      <c r="U49" s="60">
        <v>1.3009999999999999</v>
      </c>
      <c r="V49" s="60">
        <v>0.85099999999999998</v>
      </c>
      <c r="W49" s="60">
        <v>0.95899999999999996</v>
      </c>
      <c r="X49" s="60">
        <v>0.60699800000000004</v>
      </c>
      <c r="Y49" s="59">
        <v>0.56200000000000006</v>
      </c>
      <c r="Z49" s="59">
        <v>0.91600000000000004</v>
      </c>
      <c r="AA49" s="59">
        <v>0.53500000000000003</v>
      </c>
      <c r="AB49" s="59">
        <v>0.72699999999999998</v>
      </c>
      <c r="AC49" s="59">
        <v>0.66900000000000004</v>
      </c>
      <c r="AD49" s="59">
        <v>0.63900000000000001</v>
      </c>
      <c r="AE49" s="235">
        <v>0.66600000000000004</v>
      </c>
      <c r="AF49" s="59">
        <v>0.80200000000000005</v>
      </c>
      <c r="AG49" s="59">
        <v>1.131</v>
      </c>
      <c r="AH49" s="59">
        <v>0.92300000000000004</v>
      </c>
      <c r="AI49" s="30">
        <v>0.89567300000000005</v>
      </c>
      <c r="AJ49" s="59"/>
    </row>
    <row r="50" spans="1:36">
      <c r="A50" s="23" t="s">
        <v>79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>
        <v>6.4000000000000001E-2</v>
      </c>
      <c r="M50" s="30">
        <f>(46786+30000+64747)/1000000</f>
        <v>0.14153299999999999</v>
      </c>
      <c r="N50" s="30">
        <v>0.16200000000000001</v>
      </c>
      <c r="O50" s="30">
        <v>9.1922000000000004E-2</v>
      </c>
      <c r="P50" s="30">
        <v>9.0999999999999998E-2</v>
      </c>
      <c r="Q50" s="30">
        <f>0.12+0</f>
        <v>0.12</v>
      </c>
      <c r="R50" s="30">
        <f>0.123+0</f>
        <v>0.123</v>
      </c>
      <c r="S50" s="30">
        <v>0.12</v>
      </c>
      <c r="T50" s="60">
        <v>0.105</v>
      </c>
      <c r="U50" s="30" t="s">
        <v>37</v>
      </c>
      <c r="V50" s="30" t="s">
        <v>37</v>
      </c>
      <c r="W50" s="30" t="s">
        <v>37</v>
      </c>
      <c r="X50" s="30" t="s">
        <v>37</v>
      </c>
      <c r="Y50" s="59">
        <v>0.47899999999999998</v>
      </c>
      <c r="Z50" s="59">
        <v>0.437</v>
      </c>
      <c r="AA50" s="59">
        <v>0.37</v>
      </c>
      <c r="AB50" s="59">
        <v>0.374</v>
      </c>
      <c r="AC50" s="59">
        <v>0.45</v>
      </c>
      <c r="AD50" s="59">
        <v>0.46500000000000002</v>
      </c>
      <c r="AE50" s="235">
        <v>0.54800000000000004</v>
      </c>
      <c r="AF50" s="59">
        <v>0.56499999999999995</v>
      </c>
      <c r="AG50" s="59">
        <v>0.54200000000000004</v>
      </c>
      <c r="AH50" s="59">
        <v>0.40600000000000003</v>
      </c>
      <c r="AI50" s="30">
        <v>0.57153600000000004</v>
      </c>
      <c r="AJ50" s="59"/>
    </row>
    <row r="51" spans="1:36">
      <c r="A51" s="32" t="s">
        <v>80</v>
      </c>
      <c r="B51" s="33"/>
      <c r="C51" s="33"/>
      <c r="D51" s="33"/>
      <c r="E51" s="33">
        <v>1.5</v>
      </c>
      <c r="F51" s="33">
        <v>1.6579999999999999</v>
      </c>
      <c r="G51" s="33">
        <v>1.8420000000000001</v>
      </c>
      <c r="H51" s="33">
        <v>1.879</v>
      </c>
      <c r="I51" s="33">
        <v>1.9550000000000001</v>
      </c>
      <c r="J51" s="33">
        <v>1.944</v>
      </c>
      <c r="K51" s="33">
        <v>2.008</v>
      </c>
      <c r="L51" s="33">
        <v>2.008</v>
      </c>
      <c r="M51" s="33">
        <f>(333000+200000+256266)/1000000</f>
        <v>0.78926600000000002</v>
      </c>
      <c r="N51" s="33">
        <v>7.7830000000000004</v>
      </c>
      <c r="O51" s="33">
        <v>3.4612229999999999</v>
      </c>
      <c r="P51" s="33">
        <v>3.4540999999999999</v>
      </c>
      <c r="Q51" s="33">
        <f>3.839+0</f>
        <v>3.839</v>
      </c>
      <c r="R51" s="33">
        <f>3.857+0</f>
        <v>3.8570000000000002</v>
      </c>
      <c r="S51" s="65">
        <v>3.879</v>
      </c>
      <c r="T51" s="65">
        <v>3.9060000000000001</v>
      </c>
      <c r="U51" s="65">
        <v>1.0469999999999999</v>
      </c>
      <c r="V51" s="65">
        <v>7.4939999999999998</v>
      </c>
      <c r="W51" s="65">
        <v>7.6</v>
      </c>
      <c r="X51" s="65">
        <v>7.8150000000000004</v>
      </c>
      <c r="Y51" s="66">
        <v>7.7030000000000003</v>
      </c>
      <c r="Z51" s="66">
        <v>7.7270000000000003</v>
      </c>
      <c r="AA51" s="66">
        <v>7.7709999999999999</v>
      </c>
      <c r="AB51" s="66">
        <v>7.218</v>
      </c>
      <c r="AC51" s="66">
        <v>7.2619999999999996</v>
      </c>
      <c r="AD51" s="66">
        <v>7.0090000000000003</v>
      </c>
      <c r="AE51" s="236">
        <v>7.0359999999999996</v>
      </c>
      <c r="AF51" s="66">
        <v>7.1820000000000004</v>
      </c>
      <c r="AG51" s="66">
        <v>9.0239999999999991</v>
      </c>
      <c r="AH51" s="66">
        <v>8.7379999999999995</v>
      </c>
      <c r="AI51" s="33">
        <v>8.8789580000000008</v>
      </c>
      <c r="AJ51" s="59"/>
    </row>
    <row r="52" spans="1:36">
      <c r="A52" s="7" t="s">
        <v>81</v>
      </c>
      <c r="B52" s="37">
        <f>SUM(B54:B62)</f>
        <v>14.845000000000001</v>
      </c>
      <c r="C52" s="37">
        <f t="shared" ref="C52:AG52" si="10">SUM(C54:C62)</f>
        <v>17.851000000000003</v>
      </c>
      <c r="D52" s="37">
        <f t="shared" si="10"/>
        <v>25.93</v>
      </c>
      <c r="E52" s="37">
        <f t="shared" si="10"/>
        <v>30.860000000000003</v>
      </c>
      <c r="F52" s="37">
        <f t="shared" si="10"/>
        <v>32.460999999999999</v>
      </c>
      <c r="G52" s="37">
        <f t="shared" si="10"/>
        <v>31.29</v>
      </c>
      <c r="H52" s="37">
        <f t="shared" si="10"/>
        <v>35.324999999999996</v>
      </c>
      <c r="I52" s="37">
        <f t="shared" si="10"/>
        <v>35.515999999999998</v>
      </c>
      <c r="J52" s="37">
        <f t="shared" si="10"/>
        <v>33.047999999999995</v>
      </c>
      <c r="K52" s="37">
        <f t="shared" si="10"/>
        <v>29.154000000000003</v>
      </c>
      <c r="L52" s="37">
        <f t="shared" si="10"/>
        <v>42.502000000000002</v>
      </c>
      <c r="M52" s="37">
        <f t="shared" si="10"/>
        <v>65.120839000000004</v>
      </c>
      <c r="N52" s="37">
        <f t="shared" si="10"/>
        <v>147.06560900000005</v>
      </c>
      <c r="O52" s="37">
        <f t="shared" si="10"/>
        <v>256.22408399999966</v>
      </c>
      <c r="P52" s="37">
        <f t="shared" si="10"/>
        <v>303.65458799999988</v>
      </c>
      <c r="Q52" s="37">
        <f t="shared" si="10"/>
        <v>222.34400000000002</v>
      </c>
      <c r="R52" s="37">
        <f t="shared" si="10"/>
        <v>251.32899999999998</v>
      </c>
      <c r="S52" s="37">
        <f t="shared" si="10"/>
        <v>275.78049999999996</v>
      </c>
      <c r="T52" s="37">
        <f t="shared" si="10"/>
        <v>215.73400000000001</v>
      </c>
      <c r="U52" s="37">
        <f t="shared" si="10"/>
        <v>296.10300000000001</v>
      </c>
      <c r="V52" s="37">
        <f t="shared" si="10"/>
        <v>296.863</v>
      </c>
      <c r="W52" s="37">
        <f t="shared" si="10"/>
        <v>258.88900000000001</v>
      </c>
      <c r="X52" s="37">
        <f t="shared" si="10"/>
        <v>300.73843499999998</v>
      </c>
      <c r="Y52" s="37">
        <f t="shared" si="10"/>
        <v>453.57</v>
      </c>
      <c r="Z52" s="37">
        <f t="shared" si="10"/>
        <v>552.63499999999999</v>
      </c>
      <c r="AA52" s="37">
        <f t="shared" si="10"/>
        <v>574.27499999999998</v>
      </c>
      <c r="AB52" s="37">
        <f t="shared" si="10"/>
        <v>584.00599999999997</v>
      </c>
      <c r="AC52" s="37">
        <f t="shared" si="10"/>
        <v>555.98599999999999</v>
      </c>
      <c r="AD52" s="37">
        <f t="shared" si="10"/>
        <v>485.83599999999996</v>
      </c>
      <c r="AE52" s="37">
        <f t="shared" si="10"/>
        <v>417.18200000000002</v>
      </c>
      <c r="AF52" s="37">
        <f t="shared" si="10"/>
        <v>450.94599999999997</v>
      </c>
      <c r="AG52" s="37">
        <f t="shared" si="10"/>
        <v>428.17399999999992</v>
      </c>
      <c r="AH52" s="37">
        <f t="shared" ref="AH52:AI52" si="11">SUM(AH54:AH62)</f>
        <v>455.36799999999994</v>
      </c>
      <c r="AI52" s="37">
        <f t="shared" si="11"/>
        <v>467.90118899999999</v>
      </c>
      <c r="AJ52" s="37"/>
    </row>
    <row r="53" spans="1:36">
      <c r="A53" s="7" t="s">
        <v>35</v>
      </c>
      <c r="F53" s="8"/>
      <c r="P53" s="55"/>
      <c r="AE53" s="235"/>
    </row>
    <row r="54" spans="1:36">
      <c r="A54" s="23" t="s">
        <v>82</v>
      </c>
      <c r="B54" s="30">
        <v>1.9</v>
      </c>
      <c r="C54" s="30">
        <v>2.7</v>
      </c>
      <c r="D54" s="30">
        <v>6.9</v>
      </c>
      <c r="E54" s="30">
        <v>6.9</v>
      </c>
      <c r="F54" s="30">
        <v>10.278</v>
      </c>
      <c r="G54" s="30">
        <v>9.3330000000000002</v>
      </c>
      <c r="H54" s="30">
        <v>11.677</v>
      </c>
      <c r="I54" s="30">
        <v>15.164</v>
      </c>
      <c r="J54" s="30">
        <v>15.175000000000001</v>
      </c>
      <c r="K54" s="30">
        <v>15.1</v>
      </c>
      <c r="L54" s="41"/>
      <c r="M54" s="30">
        <f>81909/1000000</f>
        <v>8.1908999999999996E-2</v>
      </c>
      <c r="N54" s="30">
        <v>0.30599999999999999</v>
      </c>
      <c r="O54" s="30">
        <v>26.550077999999999</v>
      </c>
      <c r="P54" s="30">
        <v>28.247</v>
      </c>
      <c r="Q54" s="30">
        <f>0.455+22.968</f>
        <v>23.422999999999998</v>
      </c>
      <c r="R54" s="30">
        <f>0.454+26.377</f>
        <v>26.831</v>
      </c>
      <c r="S54" s="60">
        <v>28.702999999999999</v>
      </c>
      <c r="T54" s="60">
        <v>29.347000000000001</v>
      </c>
      <c r="U54" s="60">
        <v>28.87</v>
      </c>
      <c r="V54" s="60">
        <v>29</v>
      </c>
      <c r="W54" s="60">
        <v>29</v>
      </c>
      <c r="X54" s="60">
        <v>53.824809999999999</v>
      </c>
      <c r="Y54" s="59">
        <v>58.843000000000004</v>
      </c>
      <c r="Z54" s="59">
        <v>62.113999999999997</v>
      </c>
      <c r="AA54" s="59">
        <v>63.859000000000002</v>
      </c>
      <c r="AB54" s="59">
        <v>72.593000000000004</v>
      </c>
      <c r="AC54" s="59">
        <v>80.153000000000006</v>
      </c>
      <c r="AD54" s="59">
        <v>88.012</v>
      </c>
      <c r="AE54" s="237">
        <v>92.801000000000002</v>
      </c>
      <c r="AF54" s="59">
        <v>106.90300000000001</v>
      </c>
      <c r="AG54" s="59">
        <v>105.44499999999999</v>
      </c>
      <c r="AH54" s="59">
        <v>104.142</v>
      </c>
      <c r="AI54" s="30">
        <v>110.33861400000001</v>
      </c>
      <c r="AJ54" s="59"/>
    </row>
    <row r="55" spans="1:36">
      <c r="A55" s="23" t="s">
        <v>83</v>
      </c>
      <c r="B55" s="30"/>
      <c r="C55" s="30"/>
      <c r="D55" s="30"/>
      <c r="E55" s="30">
        <v>0.97099999999999997</v>
      </c>
      <c r="F55" s="41"/>
      <c r="G55" s="41"/>
      <c r="H55" s="41"/>
      <c r="I55" s="41"/>
      <c r="J55" s="41"/>
      <c r="K55" s="41"/>
      <c r="L55" s="41"/>
      <c r="M55" s="41"/>
      <c r="N55" s="30">
        <f>129.79-128</f>
        <v>1.789999999999992</v>
      </c>
      <c r="O55" s="30">
        <f>120.768-120</f>
        <v>0.76800000000000068</v>
      </c>
      <c r="P55" s="30">
        <f>121.203-82.6-37.3</f>
        <v>1.3030000000000115</v>
      </c>
      <c r="Q55" s="30">
        <f>1.304+0</f>
        <v>1.304</v>
      </c>
      <c r="R55" s="30">
        <f>2.23+0.093</f>
        <v>2.323</v>
      </c>
      <c r="S55" s="30">
        <v>2.141</v>
      </c>
      <c r="T55" s="58">
        <v>2.661</v>
      </c>
      <c r="U55" s="58">
        <v>2.3650000000000002</v>
      </c>
      <c r="V55" s="58">
        <v>2.4449999999999998</v>
      </c>
      <c r="W55" s="58">
        <v>2.8159999999999998</v>
      </c>
      <c r="X55" s="58">
        <v>3.4178549999999999</v>
      </c>
      <c r="Y55" s="59">
        <v>3.3250000000000002</v>
      </c>
      <c r="Z55" s="59">
        <v>3.2450000000000001</v>
      </c>
      <c r="AA55" s="59">
        <v>3.0720000000000001</v>
      </c>
      <c r="AB55" s="59">
        <v>2.411</v>
      </c>
      <c r="AC55" s="59">
        <v>2.0379999999999998</v>
      </c>
      <c r="AD55" s="59">
        <v>1.6890000000000001</v>
      </c>
      <c r="AE55" s="237">
        <v>1.8720000000000001</v>
      </c>
      <c r="AF55" s="59">
        <v>2.0369999999999999</v>
      </c>
      <c r="AG55" s="59">
        <v>2.1829999999999998</v>
      </c>
      <c r="AH55" s="59">
        <v>2.3159999999999998</v>
      </c>
      <c r="AI55" s="30">
        <v>2.1220560000000002</v>
      </c>
      <c r="AJ55" s="59"/>
    </row>
    <row r="56" spans="1:36">
      <c r="A56" s="23" t="s">
        <v>84</v>
      </c>
      <c r="B56" s="30">
        <v>12.775</v>
      </c>
      <c r="C56" s="30">
        <v>14.973000000000001</v>
      </c>
      <c r="D56" s="30">
        <v>18.867999999999999</v>
      </c>
      <c r="E56" s="30">
        <v>21.417000000000002</v>
      </c>
      <c r="F56" s="41">
        <v>21.350999999999999</v>
      </c>
      <c r="G56" s="41">
        <v>21.350999999999999</v>
      </c>
      <c r="H56" s="41">
        <v>21.251000000000001</v>
      </c>
      <c r="I56" s="41">
        <v>18.635999999999999</v>
      </c>
      <c r="J56" s="41">
        <v>16.241</v>
      </c>
      <c r="K56" s="41">
        <v>12.875999999999999</v>
      </c>
      <c r="L56" s="41">
        <v>14.271000000000001</v>
      </c>
      <c r="M56" s="41">
        <f>10000000/1000000</f>
        <v>10</v>
      </c>
      <c r="N56" s="30">
        <v>20.341999999999999</v>
      </c>
      <c r="O56" s="30">
        <v>20.327158000000001</v>
      </c>
      <c r="P56" s="30">
        <v>11</v>
      </c>
      <c r="Q56" s="30">
        <f>10.058+0</f>
        <v>10.058</v>
      </c>
      <c r="R56" s="30">
        <f>17.851+0</f>
        <v>17.850999999999999</v>
      </c>
      <c r="S56" s="30">
        <v>14.064</v>
      </c>
      <c r="T56" s="58">
        <v>8.3019999999999996</v>
      </c>
      <c r="U56" s="58">
        <v>30.83</v>
      </c>
      <c r="V56" s="58">
        <v>22.343</v>
      </c>
      <c r="W56" s="58">
        <v>24.77</v>
      </c>
      <c r="X56" s="58">
        <v>29.560777999999999</v>
      </c>
      <c r="Y56" s="59">
        <v>33.527999999999999</v>
      </c>
      <c r="Z56" s="59">
        <v>37.598999999999997</v>
      </c>
      <c r="AA56" s="59">
        <v>36.350999999999999</v>
      </c>
      <c r="AB56" s="59">
        <v>40.198</v>
      </c>
      <c r="AC56" s="59">
        <v>40.357999999999997</v>
      </c>
      <c r="AD56" s="59">
        <v>41.761000000000003</v>
      </c>
      <c r="AE56" s="237">
        <v>44.512</v>
      </c>
      <c r="AF56" s="59">
        <v>45.345999999999997</v>
      </c>
      <c r="AG56" s="59">
        <v>45.491</v>
      </c>
      <c r="AH56" s="59">
        <v>8.7769999999999992</v>
      </c>
      <c r="AI56" s="30">
        <v>45.784430999999998</v>
      </c>
      <c r="AJ56" s="59"/>
    </row>
    <row r="57" spans="1:36">
      <c r="A57" s="23" t="s">
        <v>85</v>
      </c>
      <c r="B57" s="30"/>
      <c r="C57" s="30"/>
      <c r="D57" s="30"/>
      <c r="E57" s="30">
        <v>0.64100000000000001</v>
      </c>
      <c r="F57" s="30">
        <v>0.65100000000000002</v>
      </c>
      <c r="G57" s="41"/>
      <c r="H57" s="30">
        <v>0.8</v>
      </c>
      <c r="I57" s="30">
        <v>0.69399999999999995</v>
      </c>
      <c r="J57" s="30">
        <v>0.69399999999999995</v>
      </c>
      <c r="K57" s="30">
        <v>0.34699999999999998</v>
      </c>
      <c r="L57" s="30">
        <v>0.747</v>
      </c>
      <c r="M57" s="30">
        <f>(30000+30000+57500)/1000000</f>
        <v>0.11749999999999999</v>
      </c>
      <c r="N57" s="30">
        <v>0.76900000000000002</v>
      </c>
      <c r="O57" s="30">
        <v>0.68912499999999999</v>
      </c>
      <c r="P57" s="30">
        <v>0.52400000000000002</v>
      </c>
      <c r="Q57" s="30">
        <f>0.024+0.51</f>
        <v>0.53400000000000003</v>
      </c>
      <c r="R57" s="30">
        <f>0.013+0.495</f>
        <v>0.50800000000000001</v>
      </c>
      <c r="S57" s="60">
        <v>0.44729999999999998</v>
      </c>
      <c r="T57" s="60">
        <v>89.983999999999995</v>
      </c>
      <c r="U57" s="60">
        <v>0.39100000000000001</v>
      </c>
      <c r="V57" s="60">
        <v>0.33200000000000002</v>
      </c>
      <c r="W57" s="60">
        <v>0.40699999999999997</v>
      </c>
      <c r="X57" s="60">
        <v>0.45036500000000002</v>
      </c>
      <c r="Y57" s="59">
        <v>0.33900000000000002</v>
      </c>
      <c r="Z57" s="59">
        <v>0.35799999999999998</v>
      </c>
      <c r="AA57" s="59">
        <v>0.437</v>
      </c>
      <c r="AB57" s="59">
        <v>0.38200000000000001</v>
      </c>
      <c r="AC57" s="59">
        <v>0.34599999999999997</v>
      </c>
      <c r="AD57" s="41" t="s">
        <v>45</v>
      </c>
      <c r="AE57" s="41" t="s">
        <v>45</v>
      </c>
      <c r="AF57" s="41" t="s">
        <v>45</v>
      </c>
      <c r="AG57" s="41" t="s">
        <v>45</v>
      </c>
      <c r="AH57" s="41" t="s">
        <v>45</v>
      </c>
      <c r="AI57" s="41" t="s">
        <v>45</v>
      </c>
      <c r="AJ57" s="41"/>
    </row>
    <row r="58" spans="1:36">
      <c r="A58" s="23" t="s">
        <v>86</v>
      </c>
      <c r="B58" s="30"/>
      <c r="C58" s="30"/>
      <c r="D58" s="30"/>
      <c r="E58" s="30">
        <v>0.75</v>
      </c>
      <c r="F58" s="41"/>
      <c r="G58" s="41"/>
      <c r="H58" s="41"/>
      <c r="I58" s="41"/>
      <c r="J58" s="30">
        <v>0.11899999999999999</v>
      </c>
      <c r="K58" s="30">
        <v>9.9000000000000005E-2</v>
      </c>
      <c r="L58" s="30">
        <v>0.112</v>
      </c>
      <c r="M58" s="30">
        <f>403892/1000000</f>
        <v>0.40389199999999997</v>
      </c>
      <c r="N58" s="30">
        <f>262.638-(131.525289+65.530164+35.094138)</f>
        <v>30.48840899999999</v>
      </c>
      <c r="O58" s="30">
        <f>242.555938-(123.915+66.292+35.852)</f>
        <v>16.496938</v>
      </c>
      <c r="P58" s="30">
        <f>261.81-120.839921-72.288465-32.848319</f>
        <v>35.833295</v>
      </c>
      <c r="Q58" s="30">
        <f>44.515+1.528</f>
        <v>46.042999999999999</v>
      </c>
      <c r="R58" s="30">
        <f>55.065+1.492</f>
        <v>56.556999999999995</v>
      </c>
      <c r="S58" s="60">
        <v>74.397999999999996</v>
      </c>
      <c r="T58" s="60">
        <v>17.920000000000002</v>
      </c>
      <c r="U58" s="60">
        <v>106.57299999999999</v>
      </c>
      <c r="V58" s="60">
        <v>122.26300000000001</v>
      </c>
      <c r="W58" s="60">
        <v>123.13800000000001</v>
      </c>
      <c r="X58" s="60">
        <v>143.43647300000001</v>
      </c>
      <c r="Y58" s="59">
        <v>238.398</v>
      </c>
      <c r="Z58" s="59">
        <v>317.60000000000002</v>
      </c>
      <c r="AA58" s="59">
        <v>343.63799999999998</v>
      </c>
      <c r="AB58" s="59">
        <v>346.161</v>
      </c>
      <c r="AC58" s="59">
        <v>339.983</v>
      </c>
      <c r="AD58" s="59">
        <v>259.47300000000001</v>
      </c>
      <c r="AE58" s="237">
        <v>185.56899999999999</v>
      </c>
      <c r="AF58" s="59">
        <v>193.02099999999999</v>
      </c>
      <c r="AG58" s="59">
        <v>167.11099999999999</v>
      </c>
      <c r="AH58" s="59">
        <v>222.43899999999999</v>
      </c>
      <c r="AI58" s="30">
        <v>169.55583799999999</v>
      </c>
      <c r="AJ58" s="59"/>
    </row>
    <row r="59" spans="1:36">
      <c r="A59" s="23" t="s">
        <v>87</v>
      </c>
      <c r="B59" s="30"/>
      <c r="C59" s="30"/>
      <c r="D59" s="30"/>
      <c r="E59" s="30"/>
      <c r="F59" s="30"/>
      <c r="G59" s="30">
        <v>0.38500000000000001</v>
      </c>
      <c r="H59" s="30">
        <v>0.38500000000000001</v>
      </c>
      <c r="I59" s="30">
        <v>0.38500000000000001</v>
      </c>
      <c r="J59" s="30">
        <v>0.38500000000000001</v>
      </c>
      <c r="K59" s="30">
        <v>0.38500000000000001</v>
      </c>
      <c r="L59" s="30">
        <v>27.023</v>
      </c>
      <c r="M59" s="30">
        <f>(1600000+435000+872000+1168000)/1000000</f>
        <v>4.0750000000000002</v>
      </c>
      <c r="N59" s="30">
        <f>1481.221-(837.007+423.234+144.637+1)</f>
        <v>75.343000000000075</v>
      </c>
      <c r="O59" s="30">
        <f>1742.261571-(821.028+462.538+160.962+213.692)</f>
        <v>84.041570999999976</v>
      </c>
      <c r="P59" s="30">
        <f>1842.04-(819.327+512.163+175.814+250.724)</f>
        <v>84.011999999999944</v>
      </c>
      <c r="Q59" s="30">
        <f>7.358+84.504</f>
        <v>91.862000000000009</v>
      </c>
      <c r="R59" s="30">
        <f>7.136+88.991</f>
        <v>96.126999999999995</v>
      </c>
      <c r="S59" s="58">
        <v>96.334000000000003</v>
      </c>
      <c r="T59" s="58">
        <v>0.155</v>
      </c>
      <c r="U59" s="58">
        <v>93.6</v>
      </c>
      <c r="V59" s="58">
        <v>79.155000000000001</v>
      </c>
      <c r="W59" s="58">
        <v>41.223999999999997</v>
      </c>
      <c r="X59" s="58">
        <v>37.308</v>
      </c>
      <c r="Y59" s="59">
        <v>82.614000000000004</v>
      </c>
      <c r="Z59" s="59">
        <v>96.159000000000006</v>
      </c>
      <c r="AA59" s="59">
        <v>98.552999999999997</v>
      </c>
      <c r="AB59" s="59">
        <v>93.561000000000007</v>
      </c>
      <c r="AC59" s="59">
        <v>63.366</v>
      </c>
      <c r="AD59" s="59">
        <v>64.903999999999996</v>
      </c>
      <c r="AE59" s="237">
        <v>65.692999999999998</v>
      </c>
      <c r="AF59" s="59">
        <v>79.852000000000004</v>
      </c>
      <c r="AG59" s="59">
        <v>83.123000000000005</v>
      </c>
      <c r="AH59" s="59">
        <v>92.338999999999999</v>
      </c>
      <c r="AI59" s="30">
        <v>114.026</v>
      </c>
      <c r="AJ59" s="59"/>
    </row>
    <row r="60" spans="1:36">
      <c r="A60" s="23" t="s">
        <v>88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>
        <f>(35077000+6341000+1200000+300000+5010000+63000+636000+819000)/1000000</f>
        <v>49.445999999999998</v>
      </c>
      <c r="N60" s="30">
        <f>2134.516-(990.677292+580.62393+157.93088+388.39818)</f>
        <v>16.885717999999997</v>
      </c>
      <c r="O60" s="62">
        <f>2315.530707-(975.65589+583.264411+173.559311+477.630528)</f>
        <v>105.42056699999966</v>
      </c>
      <c r="P60" s="62">
        <f>1781.912-(906.679053+567.384906+166.966171)</f>
        <v>140.88186999999994</v>
      </c>
      <c r="Q60" s="30">
        <f>47.36+0</f>
        <v>47.36</v>
      </c>
      <c r="R60" s="30">
        <f>49.402+0</f>
        <v>49.402000000000001</v>
      </c>
      <c r="S60" s="67">
        <f>((T60-R60)/2)+R60</f>
        <v>57.588000000000001</v>
      </c>
      <c r="T60" s="60">
        <v>65.774000000000001</v>
      </c>
      <c r="U60" s="60">
        <v>33.326999999999998</v>
      </c>
      <c r="V60" s="60">
        <v>41.203000000000003</v>
      </c>
      <c r="W60" s="60">
        <v>37.176000000000002</v>
      </c>
      <c r="X60" s="60">
        <v>32.386153999999998</v>
      </c>
      <c r="Y60" s="59">
        <v>36.180999999999997</v>
      </c>
      <c r="Z60" s="59">
        <v>35.106999999999999</v>
      </c>
      <c r="AA60" s="59">
        <v>27.949000000000002</v>
      </c>
      <c r="AB60" s="59">
        <v>28.405000000000001</v>
      </c>
      <c r="AC60" s="59">
        <v>29.401</v>
      </c>
      <c r="AD60" s="59">
        <v>29.673999999999999</v>
      </c>
      <c r="AE60" s="237">
        <v>26.341000000000001</v>
      </c>
      <c r="AF60" s="59">
        <v>23.295999999999999</v>
      </c>
      <c r="AG60" s="59">
        <v>24.457999999999998</v>
      </c>
      <c r="AH60" s="59">
        <v>24.972000000000001</v>
      </c>
      <c r="AI60" s="30">
        <v>25.692833</v>
      </c>
      <c r="AJ60" s="59"/>
    </row>
    <row r="61" spans="1:36">
      <c r="A61" s="23" t="s">
        <v>89</v>
      </c>
      <c r="B61" s="30"/>
      <c r="C61" s="30"/>
      <c r="D61" s="30"/>
      <c r="E61" s="30"/>
      <c r="F61" s="30"/>
      <c r="G61" s="30"/>
      <c r="H61" s="30">
        <v>1</v>
      </c>
      <c r="I61" s="30">
        <v>0.42499999999999999</v>
      </c>
      <c r="J61" s="30">
        <v>0.42399999999999999</v>
      </c>
      <c r="K61" s="30">
        <v>0.33700000000000002</v>
      </c>
      <c r="L61" s="30">
        <v>0.34</v>
      </c>
      <c r="M61" s="30">
        <f>(10000+404700+376200+50638)/1000000</f>
        <v>0.84153800000000001</v>
      </c>
      <c r="N61" s="30">
        <f>125.399-(8.350051+62.057686+32.286846+21.730645)</f>
        <v>0.97377200000001096</v>
      </c>
      <c r="O61" s="30">
        <f>115.902863-(10.242181+49.010666+29.789274+25.476216)</f>
        <v>1.3845259999999939</v>
      </c>
      <c r="P61" s="30">
        <f>153.266-(63.950779+37.039498+30.576423+20.308463)</f>
        <v>1.3908370000000048</v>
      </c>
      <c r="Q61" s="30">
        <f>0.68+0.685</f>
        <v>1.3650000000000002</v>
      </c>
      <c r="R61" s="30">
        <f>0.631+0.713</f>
        <v>1.3439999999999999</v>
      </c>
      <c r="S61" s="30">
        <v>1.6212</v>
      </c>
      <c r="T61" s="60">
        <v>1.286</v>
      </c>
      <c r="U61" s="30" t="s">
        <v>37</v>
      </c>
      <c r="V61" s="30" t="s">
        <v>37</v>
      </c>
      <c r="W61" s="30" t="s">
        <v>37</v>
      </c>
      <c r="X61" s="30" t="s">
        <v>37</v>
      </c>
      <c r="Y61" s="30" t="s">
        <v>37</v>
      </c>
      <c r="Z61" s="30" t="s">
        <v>37</v>
      </c>
      <c r="AA61" s="30" t="s">
        <v>37</v>
      </c>
      <c r="AB61" s="267" t="s">
        <v>45</v>
      </c>
      <c r="AC61" s="41" t="s">
        <v>45</v>
      </c>
      <c r="AD61" s="41" t="s">
        <v>45</v>
      </c>
      <c r="AE61" s="41" t="s">
        <v>45</v>
      </c>
      <c r="AF61" s="41" t="s">
        <v>45</v>
      </c>
      <c r="AG61" s="41" t="s">
        <v>45</v>
      </c>
      <c r="AH61" s="41" t="s">
        <v>45</v>
      </c>
      <c r="AI61" s="41" t="s">
        <v>45</v>
      </c>
      <c r="AJ61" s="30"/>
    </row>
    <row r="62" spans="1:36">
      <c r="A62" s="32" t="s">
        <v>90</v>
      </c>
      <c r="B62" s="33">
        <v>0.17</v>
      </c>
      <c r="C62" s="33">
        <v>0.17799999999999999</v>
      </c>
      <c r="D62" s="33">
        <v>0.16200000000000001</v>
      </c>
      <c r="E62" s="33">
        <v>0.18099999999999999</v>
      </c>
      <c r="F62" s="33">
        <v>0.18099999999999999</v>
      </c>
      <c r="G62" s="33">
        <v>0.221</v>
      </c>
      <c r="H62" s="33">
        <v>0.21199999999999999</v>
      </c>
      <c r="I62" s="33">
        <v>0.21199999999999999</v>
      </c>
      <c r="J62" s="33">
        <v>0.01</v>
      </c>
      <c r="K62" s="33">
        <v>0.01</v>
      </c>
      <c r="L62" s="33">
        <v>8.9999999999999993E-3</v>
      </c>
      <c r="M62" s="33">
        <f>(125000+30000)/1000000</f>
        <v>0.155</v>
      </c>
      <c r="N62" s="33">
        <f>95.67-(44.020505+22.831855+17.568787+11.081143)</f>
        <v>0.16770999999999958</v>
      </c>
      <c r="O62" s="68">
        <v>0.54612099999999997</v>
      </c>
      <c r="P62" s="33">
        <f>150.74-(53.907378+37.279119+27.052974+32.037943)</f>
        <v>0.46258599999998751</v>
      </c>
      <c r="Q62" s="33">
        <f>0.29+0.105</f>
        <v>0.39499999999999996</v>
      </c>
      <c r="R62" s="33">
        <f>0.301+0.085</f>
        <v>0.38600000000000001</v>
      </c>
      <c r="S62" s="69">
        <v>0.48399999999999999</v>
      </c>
      <c r="T62" s="69">
        <v>0.30499999999999999</v>
      </c>
      <c r="U62" s="69">
        <v>0.14699999999999999</v>
      </c>
      <c r="V62" s="69">
        <v>0.122</v>
      </c>
      <c r="W62" s="69">
        <v>0.35799999999999998</v>
      </c>
      <c r="X62" s="69">
        <v>0.35399999999999998</v>
      </c>
      <c r="Y62" s="66">
        <v>0.34200000000000003</v>
      </c>
      <c r="Z62" s="66">
        <v>0.45300000000000001</v>
      </c>
      <c r="AA62" s="66">
        <v>0.41599999999999998</v>
      </c>
      <c r="AB62" s="66">
        <v>0.29499999999999998</v>
      </c>
      <c r="AC62" s="66">
        <v>0.34100000000000003</v>
      </c>
      <c r="AD62" s="66">
        <v>0.32300000000000001</v>
      </c>
      <c r="AE62" s="286">
        <v>0.39400000000000002</v>
      </c>
      <c r="AF62" s="66">
        <v>0.49099999999999999</v>
      </c>
      <c r="AG62" s="66">
        <v>0.36299999999999999</v>
      </c>
      <c r="AH62" s="66">
        <v>0.38300000000000001</v>
      </c>
      <c r="AI62" s="33">
        <v>0.38141700000000001</v>
      </c>
      <c r="AJ62" s="59"/>
    </row>
    <row r="63" spans="1:36">
      <c r="A63" s="47" t="s">
        <v>91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>
        <v>0.97799999999999998</v>
      </c>
      <c r="M63" s="48">
        <f>(25000+200000)/1000000</f>
        <v>0.22500000000000001</v>
      </c>
      <c r="N63" s="70"/>
      <c r="O63" s="70"/>
      <c r="P63" s="70"/>
      <c r="Q63" s="70"/>
      <c r="R63" s="48">
        <f>0+0.362</f>
        <v>0.36199999999999999</v>
      </c>
      <c r="S63" s="48">
        <v>8.9789999999999992</v>
      </c>
      <c r="T63" s="71">
        <v>14.369</v>
      </c>
      <c r="U63" s="48" t="s">
        <v>37</v>
      </c>
      <c r="V63" s="48" t="s">
        <v>37</v>
      </c>
      <c r="W63" s="48" t="s">
        <v>37</v>
      </c>
      <c r="X63" s="48" t="s">
        <v>37</v>
      </c>
      <c r="Y63" s="48" t="s">
        <v>37</v>
      </c>
      <c r="Z63" s="48" t="s">
        <v>37</v>
      </c>
      <c r="AA63" s="48" t="s">
        <v>37</v>
      </c>
      <c r="AB63" s="285" t="s">
        <v>45</v>
      </c>
      <c r="AC63" s="285" t="s">
        <v>45</v>
      </c>
      <c r="AD63" s="285" t="s">
        <v>45</v>
      </c>
      <c r="AE63" s="285" t="s">
        <v>45</v>
      </c>
      <c r="AF63" s="285" t="s">
        <v>45</v>
      </c>
      <c r="AG63" s="289" t="s">
        <v>45</v>
      </c>
      <c r="AH63" s="289" t="s">
        <v>45</v>
      </c>
      <c r="AI63" s="289" t="s">
        <v>45</v>
      </c>
      <c r="AJ63" s="30"/>
    </row>
    <row r="64" spans="1:36">
      <c r="F64" s="8"/>
      <c r="P64" s="55"/>
    </row>
    <row r="65" spans="2:65" ht="233.25" customHeight="1">
      <c r="B65" s="50" t="s">
        <v>134</v>
      </c>
      <c r="C65" s="50" t="s">
        <v>135</v>
      </c>
      <c r="D65" s="50" t="s">
        <v>136</v>
      </c>
      <c r="E65" s="50" t="s">
        <v>137</v>
      </c>
      <c r="F65" s="50" t="s">
        <v>138</v>
      </c>
      <c r="G65" s="50" t="s">
        <v>139</v>
      </c>
      <c r="H65" s="50" t="s">
        <v>140</v>
      </c>
      <c r="I65" s="50" t="s">
        <v>141</v>
      </c>
      <c r="J65" s="50" t="s">
        <v>142</v>
      </c>
      <c r="K65" s="50" t="s">
        <v>143</v>
      </c>
      <c r="L65" s="50" t="s">
        <v>144</v>
      </c>
      <c r="M65" s="50" t="s">
        <v>145</v>
      </c>
      <c r="N65" s="50" t="s">
        <v>146</v>
      </c>
      <c r="O65" s="50" t="s">
        <v>147</v>
      </c>
      <c r="P65" s="50" t="s">
        <v>148</v>
      </c>
      <c r="Q65" s="50" t="s">
        <v>149</v>
      </c>
      <c r="R65" s="50" t="s">
        <v>150</v>
      </c>
      <c r="S65" s="50" t="s">
        <v>151</v>
      </c>
      <c r="T65" s="50" t="s">
        <v>152</v>
      </c>
      <c r="U65" s="50" t="s">
        <v>153</v>
      </c>
      <c r="V65" s="50" t="s">
        <v>154</v>
      </c>
      <c r="W65" s="50" t="s">
        <v>155</v>
      </c>
      <c r="X65" s="50" t="s">
        <v>156</v>
      </c>
      <c r="Y65" s="50" t="s">
        <v>157</v>
      </c>
      <c r="Z65" s="50" t="s">
        <v>158</v>
      </c>
      <c r="AA65" s="50" t="s">
        <v>159</v>
      </c>
      <c r="AB65" s="50" t="s">
        <v>160</v>
      </c>
      <c r="AC65" s="50" t="s">
        <v>194</v>
      </c>
      <c r="AD65" s="50" t="s">
        <v>200</v>
      </c>
      <c r="AE65" s="50" t="s">
        <v>204</v>
      </c>
      <c r="AF65" s="50" t="s">
        <v>209</v>
      </c>
      <c r="AG65" s="50" t="s">
        <v>219</v>
      </c>
      <c r="AH65" s="50" t="s">
        <v>220</v>
      </c>
      <c r="AI65" s="50" t="s">
        <v>224</v>
      </c>
      <c r="AJ65" s="50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</row>
    <row r="66" spans="2:65">
      <c r="B66" s="23"/>
      <c r="C66" s="23"/>
      <c r="D66" s="23"/>
      <c r="E66" s="23"/>
      <c r="F66" s="23"/>
      <c r="G66" s="59"/>
      <c r="H66" s="59"/>
      <c r="I66" s="59"/>
      <c r="J66" s="59"/>
      <c r="K66" s="59"/>
      <c r="L66" s="23"/>
      <c r="M66" s="59"/>
      <c r="N66" s="59"/>
      <c r="O66" s="59"/>
      <c r="P66" s="72" t="s">
        <v>161</v>
      </c>
      <c r="Q66" s="72" t="s">
        <v>162</v>
      </c>
      <c r="R66" s="72" t="s">
        <v>162</v>
      </c>
      <c r="S66" s="72" t="s">
        <v>162</v>
      </c>
      <c r="T66" s="72" t="s">
        <v>162</v>
      </c>
      <c r="U66" s="72"/>
      <c r="V66" s="72"/>
      <c r="W66" s="72"/>
      <c r="X66" s="72"/>
      <c r="AI66" s="23"/>
    </row>
    <row r="67" spans="2:65">
      <c r="B67" s="23"/>
      <c r="C67" s="23"/>
      <c r="D67" s="23"/>
      <c r="E67" s="23"/>
      <c r="F67" s="23"/>
      <c r="G67" s="59"/>
      <c r="H67" s="59"/>
      <c r="I67" s="59"/>
      <c r="J67" s="59"/>
      <c r="K67" s="59"/>
      <c r="L67" s="23"/>
      <c r="M67" s="59"/>
      <c r="N67" s="59"/>
      <c r="O67" s="59"/>
      <c r="P67" s="59" t="s">
        <v>163</v>
      </c>
      <c r="Q67" s="59" t="s">
        <v>163</v>
      </c>
      <c r="R67" s="59" t="s">
        <v>163</v>
      </c>
      <c r="S67" s="23" t="s">
        <v>163</v>
      </c>
      <c r="T67" s="23" t="s">
        <v>163</v>
      </c>
      <c r="U67" s="23"/>
      <c r="V67" s="23"/>
      <c r="W67" s="23"/>
      <c r="X67" s="23"/>
      <c r="AI67" s="23"/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O62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8" sqref="A8:XFD8"/>
    </sheetView>
  </sheetViews>
  <sheetFormatPr defaultColWidth="9.140625" defaultRowHeight="12.75"/>
  <cols>
    <col min="1" max="1" width="20.5703125" style="23" bestFit="1" customWidth="1"/>
    <col min="2" max="11" width="10.28515625" style="23" customWidth="1"/>
    <col min="12" max="25" width="9.140625" style="23"/>
    <col min="26" max="26" width="7.5703125" style="23" bestFit="1" customWidth="1"/>
    <col min="27" max="16384" width="9.140625" style="23"/>
  </cols>
  <sheetData>
    <row r="1" spans="1:41">
      <c r="A1" s="86"/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0" t="s">
        <v>165</v>
      </c>
      <c r="N1" s="11"/>
      <c r="O1" s="11"/>
      <c r="P1" s="11"/>
      <c r="Q1" s="11"/>
      <c r="R1" s="11"/>
      <c r="S1" s="11"/>
      <c r="T1" s="11"/>
      <c r="U1" s="11"/>
      <c r="V1" s="11"/>
      <c r="W1" s="11"/>
      <c r="X1" s="10" t="s">
        <v>166</v>
      </c>
      <c r="Y1" s="11"/>
      <c r="Z1" s="11"/>
      <c r="AA1" s="11"/>
      <c r="AB1" s="11"/>
      <c r="AC1" s="11"/>
      <c r="AD1" s="11"/>
      <c r="AE1" s="11"/>
      <c r="AF1" s="11"/>
      <c r="AG1" s="10" t="s">
        <v>167</v>
      </c>
      <c r="AH1" s="11"/>
      <c r="AI1" s="11"/>
      <c r="AJ1" s="11"/>
      <c r="AK1" s="4"/>
      <c r="AL1" s="11"/>
      <c r="AM1" s="11"/>
      <c r="AN1" s="11"/>
      <c r="AO1" s="11"/>
    </row>
    <row r="2" spans="1:41">
      <c r="A2" s="88"/>
      <c r="B2" s="218" t="s">
        <v>18</v>
      </c>
      <c r="C2" s="16" t="s">
        <v>23</v>
      </c>
      <c r="D2" s="16" t="s">
        <v>28</v>
      </c>
      <c r="E2" s="16" t="s">
        <v>29</v>
      </c>
      <c r="F2" s="16" t="s">
        <v>30</v>
      </c>
      <c r="G2" s="16" t="s">
        <v>198</v>
      </c>
      <c r="H2" s="16" t="s">
        <v>202</v>
      </c>
      <c r="I2" s="16" t="s">
        <v>207</v>
      </c>
      <c r="J2" s="16" t="s">
        <v>210</v>
      </c>
      <c r="K2" s="238" t="s">
        <v>210</v>
      </c>
      <c r="L2" s="297" t="s">
        <v>221</v>
      </c>
      <c r="M2" s="218" t="s">
        <v>18</v>
      </c>
      <c r="N2" s="16" t="s">
        <v>23</v>
      </c>
      <c r="O2" s="16" t="s">
        <v>28</v>
      </c>
      <c r="P2" s="16" t="s">
        <v>29</v>
      </c>
      <c r="Q2" s="16" t="s">
        <v>30</v>
      </c>
      <c r="R2" s="16" t="s">
        <v>198</v>
      </c>
      <c r="S2" s="16" t="s">
        <v>202</v>
      </c>
      <c r="T2" s="16" t="s">
        <v>207</v>
      </c>
      <c r="U2" s="16" t="s">
        <v>210</v>
      </c>
      <c r="V2" s="238" t="s">
        <v>217</v>
      </c>
      <c r="W2" s="297" t="s">
        <v>221</v>
      </c>
      <c r="X2" s="218" t="s">
        <v>18</v>
      </c>
      <c r="Y2" s="16" t="s">
        <v>23</v>
      </c>
      <c r="Z2" s="16" t="s">
        <v>28</v>
      </c>
      <c r="AA2" s="16" t="s">
        <v>198</v>
      </c>
      <c r="AB2" s="16" t="s">
        <v>202</v>
      </c>
      <c r="AC2" s="16" t="s">
        <v>207</v>
      </c>
      <c r="AD2" s="16" t="s">
        <v>210</v>
      </c>
      <c r="AE2" s="238" t="s">
        <v>217</v>
      </c>
      <c r="AF2" s="297" t="s">
        <v>221</v>
      </c>
      <c r="AG2" s="218" t="s">
        <v>18</v>
      </c>
      <c r="AH2" s="16" t="s">
        <v>23</v>
      </c>
      <c r="AI2" s="16" t="s">
        <v>28</v>
      </c>
      <c r="AJ2" s="16" t="s">
        <v>198</v>
      </c>
      <c r="AK2" s="16" t="s">
        <v>202</v>
      </c>
      <c r="AL2" s="16" t="s">
        <v>207</v>
      </c>
      <c r="AM2" s="16" t="s">
        <v>210</v>
      </c>
      <c r="AN2" s="238" t="s">
        <v>217</v>
      </c>
      <c r="AO2" s="297" t="s">
        <v>221</v>
      </c>
    </row>
    <row r="3" spans="1:41">
      <c r="A3" s="89" t="s">
        <v>33</v>
      </c>
      <c r="B3" s="91">
        <f>+'Grants Need-Based'!CT4/'Total State Aid'!O4</f>
        <v>0.52259900909010204</v>
      </c>
      <c r="C3" s="91">
        <f>+'Grants Need-Based'!CY4/'Total State Aid'!T4</f>
        <v>0.6066769543104632</v>
      </c>
      <c r="D3" s="91">
        <f>+'Grants Need-Based'!DD4/'Total State Aid'!Y4</f>
        <v>0.58813987289013414</v>
      </c>
      <c r="E3" s="91">
        <f>+'Grants Need-Based'!DE4/'Total State Aid'!Z4</f>
        <v>0.58080473623005002</v>
      </c>
      <c r="F3" s="91">
        <f>+'Grants Need-Based'!DF4/'Total State Aid'!AA4</f>
        <v>0.58838289421817924</v>
      </c>
      <c r="G3" s="91">
        <f>+'Grants Need-Based'!DI4/'Total State Aid'!AD4</f>
        <v>0.62246180623576453</v>
      </c>
      <c r="H3" s="91">
        <f>+'Grants Need-Based'!DJ4/'Total State Aid'!AE4</f>
        <v>0.62251866968774272</v>
      </c>
      <c r="I3" s="91">
        <f>+'Grants Need-Based'!DK4/'Total State Aid'!AF4</f>
        <v>0.63953398228764979</v>
      </c>
      <c r="J3" s="91">
        <f>+'Grants Need-Based'!DL4/'Total State Aid'!AG4</f>
        <v>0.64545650308431857</v>
      </c>
      <c r="K3" s="91">
        <f>+'Grants Need-Based'!DM4/'Total State Aid'!AH4</f>
        <v>0.65265663319822897</v>
      </c>
      <c r="L3" s="91">
        <f>+'Grants Need-Based'!DN4/'Total State Aid'!AI4</f>
        <v>0.65328140790490197</v>
      </c>
      <c r="M3" s="90">
        <f>+'Grants Non Need-Based '!CT4/'Total State Aid'!O4</f>
        <v>9.8898978945434285E-2</v>
      </c>
      <c r="N3" s="91">
        <f>+'Grants Non Need-Based '!CY4/'Total State Aid'!T4</f>
        <v>0.20261805681871609</v>
      </c>
      <c r="O3" s="91">
        <f>+'Grants Non Need-Based '!DD4/'Total State Aid'!Y4</f>
        <v>0.22876366919129457</v>
      </c>
      <c r="P3" s="91">
        <f>+'Grants Non Need-Based '!DE4/'Total State Aid'!Z4</f>
        <v>0.22143438556427122</v>
      </c>
      <c r="Q3" s="91">
        <f>+'Grants Non Need-Based '!DF4/'Total State Aid'!AA4</f>
        <v>0.2332407906806184</v>
      </c>
      <c r="R3" s="91">
        <f>+'Grants Non Need-Based '!DI4/'Total State Aid'!AD4</f>
        <v>0.2207149544058131</v>
      </c>
      <c r="S3" s="91">
        <f>+'Grants Non Need-Based '!DJ4/'Total State Aid'!AE4</f>
        <v>0.20810047999871861</v>
      </c>
      <c r="T3" s="91">
        <f>+'Grants Non Need-Based '!DK4/'Total State Aid'!AF4</f>
        <v>0.20983771911469806</v>
      </c>
      <c r="U3" s="91">
        <f>+'Grants Non Need-Based '!DL4/'Total State Aid'!AG4</f>
        <v>0.20191244250069249</v>
      </c>
      <c r="V3" s="91">
        <f>+'Grants Non Need-Based '!DM4/'Total State Aid'!AH4</f>
        <v>0.20622657937730934</v>
      </c>
      <c r="W3" s="91">
        <f>+'Grants Non Need-Based '!DN4/'Total State Aid'!AI4</f>
        <v>0.20202780814955662</v>
      </c>
      <c r="X3" s="90">
        <f>+Other!O4/'Total State Aid'!O4</f>
        <v>0.37850201196446365</v>
      </c>
      <c r="Y3" s="91">
        <f>+Other!T4/'Total State Aid'!T4</f>
        <v>0.19070498887082066</v>
      </c>
      <c r="Z3" s="91">
        <f>+Other!Y4/'Total State Aid'!Y4</f>
        <v>0.18309645791857138</v>
      </c>
      <c r="AA3" s="91">
        <f>+Other!AD4/'Total State Aid'!AD4</f>
        <v>0.15682323935842241</v>
      </c>
      <c r="AB3" s="91">
        <f>+Other!AE4/'Total State Aid'!AE4</f>
        <v>0.16938085031353864</v>
      </c>
      <c r="AC3" s="91">
        <f>+Other!AF4/'Total State Aid'!AF4</f>
        <v>0.1506282985976522</v>
      </c>
      <c r="AD3" s="91">
        <f>+Other!AG4/'Total State Aid'!AG4</f>
        <v>0.15263105441498906</v>
      </c>
      <c r="AE3" s="91">
        <f>+Other!AH4/'Total State Aid'!AH4</f>
        <v>0.14111678742446154</v>
      </c>
      <c r="AF3" s="91">
        <f>+Other!AI4/'Total State Aid'!AI4</f>
        <v>0.14469078394554133</v>
      </c>
      <c r="AG3" s="90">
        <f t="shared" ref="AG3:AI4" si="0">+B3+M3+X3</f>
        <v>1</v>
      </c>
      <c r="AH3" s="91">
        <f t="shared" si="0"/>
        <v>0.99999999999999989</v>
      </c>
      <c r="AI3" s="91">
        <f t="shared" si="0"/>
        <v>1</v>
      </c>
      <c r="AJ3" s="91">
        <f t="shared" ref="AJ3:AO4" si="1">+G3+R3+AA3</f>
        <v>1</v>
      </c>
      <c r="AK3" s="91">
        <f t="shared" si="1"/>
        <v>1</v>
      </c>
      <c r="AL3" s="91">
        <f t="shared" si="1"/>
        <v>1</v>
      </c>
      <c r="AM3" s="91">
        <f t="shared" si="1"/>
        <v>1.0000000000000002</v>
      </c>
      <c r="AN3" s="91">
        <f t="shared" si="1"/>
        <v>0.99999999999999989</v>
      </c>
      <c r="AO3" s="91">
        <f t="shared" si="1"/>
        <v>1</v>
      </c>
    </row>
    <row r="4" spans="1:41">
      <c r="A4" s="92" t="s">
        <v>34</v>
      </c>
      <c r="B4" s="94">
        <f>+'Grants Need-Based'!CT5/'Total State Aid'!O5</f>
        <v>0.27662840986094628</v>
      </c>
      <c r="C4" s="94">
        <f>+'Grants Need-Based'!CY5/'Total State Aid'!T5</f>
        <v>0.33419204000031422</v>
      </c>
      <c r="D4" s="94">
        <f>+'Grants Need-Based'!DD5/'Total State Aid'!Y5</f>
        <v>0.3578390701830253</v>
      </c>
      <c r="E4" s="94">
        <f>+'Grants Need-Based'!DE5/'Total State Aid'!Z5</f>
        <v>0.3921108823499434</v>
      </c>
      <c r="F4" s="94">
        <f>+'Grants Need-Based'!DF5/'Total State Aid'!AA5</f>
        <v>0.38369893982620834</v>
      </c>
      <c r="G4" s="94">
        <f>+'Grants Need-Based'!DI5/'Total State Aid'!AD5</f>
        <v>0.37728219714282979</v>
      </c>
      <c r="H4" s="94">
        <f>+'Grants Need-Based'!DJ5/'Total State Aid'!AE5</f>
        <v>0.37657627318726566</v>
      </c>
      <c r="I4" s="94">
        <f>+'Grants Need-Based'!DK5/'Total State Aid'!AF5</f>
        <v>0.40084876005908265</v>
      </c>
      <c r="J4" s="94">
        <f>+'Grants Need-Based'!DL5/'Total State Aid'!AG5</f>
        <v>0.41320202236320502</v>
      </c>
      <c r="K4" s="94">
        <f>+'Grants Need-Based'!DM5/'Total State Aid'!AH5</f>
        <v>0.43875475462618463</v>
      </c>
      <c r="L4" s="94">
        <f>+'Grants Need-Based'!DN5/'Total State Aid'!AI5</f>
        <v>0.44848730551206406</v>
      </c>
      <c r="M4" s="93">
        <f>+'Grants Non Need-Based '!CT5/'Total State Aid'!O5</f>
        <v>0.30967869325917308</v>
      </c>
      <c r="N4" s="94">
        <f>+'Grants Non Need-Based '!CY5/'Total State Aid'!T5</f>
        <v>0.49847602887689613</v>
      </c>
      <c r="O4" s="94">
        <f>+'Grants Non Need-Based '!DD5/'Total State Aid'!Y5</f>
        <v>0.48093203785688299</v>
      </c>
      <c r="P4" s="94">
        <f>+'Grants Non Need-Based '!DE5/'Total State Aid'!Z5</f>
        <v>0.45762590074709769</v>
      </c>
      <c r="Q4" s="94">
        <f>+'Grants Non Need-Based '!DF5/'Total State Aid'!AA5</f>
        <v>0.47245326780820646</v>
      </c>
      <c r="R4" s="94">
        <f>+'Grants Non Need-Based '!DI5/'Total State Aid'!AD5</f>
        <v>0.46274352069746366</v>
      </c>
      <c r="S4" s="94">
        <f>+'Grants Non Need-Based '!DJ5/'Total State Aid'!AE5</f>
        <v>0.41970871085999267</v>
      </c>
      <c r="T4" s="94">
        <f>+'Grants Non Need-Based '!DK5/'Total State Aid'!AF5</f>
        <v>0.43611074473462369</v>
      </c>
      <c r="U4" s="94">
        <f>+'Grants Non Need-Based '!DL5/'Total State Aid'!AG5</f>
        <v>0.41198553320996334</v>
      </c>
      <c r="V4" s="94">
        <f>+'Grants Non Need-Based '!DM5/'Total State Aid'!AH5</f>
        <v>0.42161605761579435</v>
      </c>
      <c r="W4" s="94">
        <f>+'Grants Non Need-Based '!DN5/'Total State Aid'!AI5</f>
        <v>0.406914464323551</v>
      </c>
      <c r="X4" s="93">
        <f>+Other!O5/'Total State Aid'!O5</f>
        <v>0.4136928968798807</v>
      </c>
      <c r="Y4" s="94">
        <f>+Other!T5/'Total State Aid'!T5</f>
        <v>0.16733193112278966</v>
      </c>
      <c r="Z4" s="94">
        <f>+Other!Y5/'Total State Aid'!Y5</f>
        <v>0.16122889196009163</v>
      </c>
      <c r="AA4" s="94">
        <f>+Other!AD5/'Total State Aid'!AD5</f>
        <v>0.15997428215970655</v>
      </c>
      <c r="AB4" s="94">
        <f>+Other!AE5/'Total State Aid'!AE5</f>
        <v>0.20371501595274175</v>
      </c>
      <c r="AC4" s="94">
        <f>+Other!AF5/'Total State Aid'!AF5</f>
        <v>0.16304049520629363</v>
      </c>
      <c r="AD4" s="94">
        <f>+Other!AG5/'Total State Aid'!AG5</f>
        <v>0.17481244442683164</v>
      </c>
      <c r="AE4" s="94">
        <f>+Other!AH5/'Total State Aid'!AH5</f>
        <v>0.13962918775802097</v>
      </c>
      <c r="AF4" s="94">
        <f>+Other!AI5/'Total State Aid'!AI5</f>
        <v>0.14459823016438503</v>
      </c>
      <c r="AG4" s="93">
        <f t="shared" si="0"/>
        <v>1</v>
      </c>
      <c r="AH4" s="94">
        <f t="shared" si="0"/>
        <v>1</v>
      </c>
      <c r="AI4" s="94">
        <f t="shared" si="0"/>
        <v>0.99999999999999989</v>
      </c>
      <c r="AJ4" s="94">
        <f t="shared" si="1"/>
        <v>1</v>
      </c>
      <c r="AK4" s="94">
        <f t="shared" si="1"/>
        <v>1</v>
      </c>
      <c r="AL4" s="94">
        <f t="shared" si="1"/>
        <v>1</v>
      </c>
      <c r="AM4" s="94">
        <f t="shared" si="1"/>
        <v>1</v>
      </c>
      <c r="AN4" s="94">
        <f t="shared" si="1"/>
        <v>1</v>
      </c>
      <c r="AO4" s="94">
        <f t="shared" si="1"/>
        <v>1.0000000000000002</v>
      </c>
    </row>
    <row r="5" spans="1:41">
      <c r="A5" s="99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3"/>
      <c r="N5" s="94"/>
      <c r="O5" s="94"/>
      <c r="P5" s="94"/>
      <c r="Q5" s="94"/>
      <c r="R5" s="94"/>
      <c r="S5" s="94"/>
      <c r="T5" s="94"/>
      <c r="U5" s="94"/>
      <c r="V5" s="94"/>
      <c r="W5" s="94"/>
      <c r="X5" s="93"/>
      <c r="Y5" s="94"/>
      <c r="Z5" s="94"/>
      <c r="AA5" s="94"/>
      <c r="AB5" s="94"/>
      <c r="AC5" s="94"/>
      <c r="AD5" s="94"/>
      <c r="AE5" s="94"/>
      <c r="AF5" s="94"/>
      <c r="AG5" s="93"/>
      <c r="AH5" s="94"/>
      <c r="AI5" s="94"/>
      <c r="AJ5" s="94"/>
      <c r="AK5" s="94"/>
      <c r="AL5" s="94"/>
      <c r="AM5" s="94"/>
      <c r="AN5" s="94"/>
      <c r="AO5" s="94"/>
    </row>
    <row r="6" spans="1:41">
      <c r="A6" s="95" t="s">
        <v>36</v>
      </c>
      <c r="B6" s="94">
        <f>+'Grants Need-Based'!CT7/'Total State Aid'!O7</f>
        <v>0.19431499361522461</v>
      </c>
      <c r="C6" s="94">
        <f>+'Grants Need-Based'!CY7/'Total State Aid'!T7</f>
        <v>0.14367860154872344</v>
      </c>
      <c r="D6" s="94">
        <f>+'Grants Need-Based'!DD7/'Total State Aid'!Y7</f>
        <v>0.57363512725859722</v>
      </c>
      <c r="E6" s="94">
        <f>+'Grants Need-Based'!DE7/'Total State Aid'!Z7</f>
        <v>0.75176486873067871</v>
      </c>
      <c r="F6" s="94">
        <f>+'Grants Need-Based'!DF7/'Total State Aid'!AA7</f>
        <v>0.81972123985853962</v>
      </c>
      <c r="G6" s="94">
        <f>+'Grants Need-Based'!DI7/'Total State Aid'!AD7</f>
        <v>0.85549132947976869</v>
      </c>
      <c r="H6" s="94">
        <f>+'Grants Need-Based'!DJ7/'Total State Aid'!AE7</f>
        <v>0.72745385906040261</v>
      </c>
      <c r="I6" s="94">
        <f>+'Grants Need-Based'!DK7/'Total State Aid'!AF7</f>
        <v>0.68707411678372987</v>
      </c>
      <c r="J6" s="94">
        <f>+'Grants Need-Based'!DL7/'Total State Aid'!AG7</f>
        <v>0.4989415404657222</v>
      </c>
      <c r="K6" s="94">
        <f>+'Grants Need-Based'!DM7/'Total State Aid'!AH7</f>
        <v>0.43350274802069116</v>
      </c>
      <c r="L6" s="94">
        <f>+'Grants Need-Based'!DN7/'Total State Aid'!AI7</f>
        <v>0.91556112856079541</v>
      </c>
      <c r="M6" s="93">
        <f>+'Grants Non Need-Based '!CT7/'Total State Aid'!O7</f>
        <v>0.6085075883726766</v>
      </c>
      <c r="N6" s="94">
        <f>+'Grants Non Need-Based '!CY7/'Total State Aid'!T7</f>
        <v>0.42122211147742084</v>
      </c>
      <c r="O6" s="94">
        <f>+'Grants Non Need-Based '!DD7/'Total State Aid'!Y7</f>
        <v>0.40917039051874876</v>
      </c>
      <c r="P6" s="94">
        <f>+'Grants Non Need-Based '!DE7/'Total State Aid'!Z7</f>
        <v>0.23965302450053064</v>
      </c>
      <c r="Q6" s="94">
        <f>+'Grants Non Need-Based '!DF7/'Total State Aid'!AA7</f>
        <v>0.1571458289993759</v>
      </c>
      <c r="R6" s="94">
        <f>+'Grants Non Need-Based '!DI7/'Total State Aid'!AD7</f>
        <v>0.13259304330189636</v>
      </c>
      <c r="S6" s="94">
        <f>+'Grants Non Need-Based '!DJ7/'Total State Aid'!AE7</f>
        <v>0.27254614093959728</v>
      </c>
      <c r="T6" s="94">
        <f>+'Grants Non Need-Based '!DK7/'Total State Aid'!AF7</f>
        <v>0.31292588321627002</v>
      </c>
      <c r="U6" s="94">
        <f>+'Grants Non Need-Based '!DL7/'Total State Aid'!AG7</f>
        <v>0.50105845953427774</v>
      </c>
      <c r="V6" s="94">
        <f>+'Grants Non Need-Based '!DM7/'Total State Aid'!AH7</f>
        <v>0.56649725197930878</v>
      </c>
      <c r="W6" s="94">
        <f>+'Grants Non Need-Based '!DN7/'Total State Aid'!AI7</f>
        <v>8.2420278136131259E-2</v>
      </c>
      <c r="X6" s="93">
        <f>+Other!O7/'Total State Aid'!O7</f>
        <v>0.19717741801209887</v>
      </c>
      <c r="Y6" s="94">
        <f>+Other!T7/'Total State Aid'!T7</f>
        <v>0.43509928697385569</v>
      </c>
      <c r="Z6" s="94">
        <f>+Other!Y7/'Total State Aid'!Y7</f>
        <v>1.7194482222653972E-2</v>
      </c>
      <c r="AA6" s="94">
        <f>+Other!AD7/'Total State Aid'!AD7</f>
        <v>1.1915627218334853E-2</v>
      </c>
      <c r="AB6" s="94" t="str">
        <f>IF(Other!AE7="—","—",Other!AE7/'Total State Aid'!AE7)</f>
        <v>—</v>
      </c>
      <c r="AC6" s="94" t="str">
        <f>IF(Other!AF7="—","—",Other!AF7/'Total State Aid'!AF7)</f>
        <v>—</v>
      </c>
      <c r="AD6" s="94" t="str">
        <f>IF(Other!AG7="—","—",Other!AG7/'Total State Aid'!AG7)</f>
        <v>—</v>
      </c>
      <c r="AE6" s="94" t="str">
        <f>IF(Other!AH7="—","—",Other!AH7/'Total State Aid'!AH7)</f>
        <v>—</v>
      </c>
      <c r="AF6" s="94">
        <f>IF(Other!AI7="—","—",Other!AI7/'Total State Aid'!AI7)</f>
        <v>2.0185933030732184E-3</v>
      </c>
      <c r="AG6" s="93">
        <f t="shared" ref="AG6:AG22" si="2">+B6+M6+X6</f>
        <v>1</v>
      </c>
      <c r="AH6" s="94">
        <f t="shared" ref="AH6:AH22" si="3">+C6+N6+Y6</f>
        <v>1</v>
      </c>
      <c r="AI6" s="94">
        <f t="shared" ref="AI6:AI22" si="4">+D6+O6+Z6</f>
        <v>1</v>
      </c>
      <c r="AJ6" s="94">
        <f t="shared" ref="AJ6:AJ11" si="5">+G6+R6+AA6</f>
        <v>0.99999999999999989</v>
      </c>
      <c r="AK6" s="94">
        <f>+H6+S6</f>
        <v>0.99999999999999989</v>
      </c>
      <c r="AL6" s="94">
        <f>+I6+T6</f>
        <v>0.99999999999999989</v>
      </c>
      <c r="AM6" s="94">
        <f>+J6+U6</f>
        <v>1</v>
      </c>
      <c r="AN6" s="94">
        <f>+K6+V6</f>
        <v>1</v>
      </c>
      <c r="AO6" s="94">
        <f t="shared" ref="AO6:AO11" si="6">+L6+W6+AF6</f>
        <v>0.99999999999999989</v>
      </c>
    </row>
    <row r="7" spans="1:41">
      <c r="A7" s="87" t="s">
        <v>38</v>
      </c>
      <c r="B7" s="94">
        <f>+'Grants Need-Based'!CT8/'Total State Aid'!O8</f>
        <v>0.84137973691972145</v>
      </c>
      <c r="C7" s="94">
        <f>+'Grants Need-Based'!CY8/'Total State Aid'!T8</f>
        <v>0.74740395269138604</v>
      </c>
      <c r="D7" s="94">
        <f>+'Grants Need-Based'!DD8/'Total State Aid'!Y8</f>
        <v>0.59600747582545577</v>
      </c>
      <c r="E7" s="94">
        <f>+'Grants Need-Based'!DE8/'Total State Aid'!Z8</f>
        <v>0.588280609328794</v>
      </c>
      <c r="F7" s="94">
        <f>+'Grants Need-Based'!DF8/'Total State Aid'!AA8</f>
        <v>0.58047640249332144</v>
      </c>
      <c r="G7" s="94">
        <f>+'Grants Need-Based'!DI8/'Total State Aid'!AD8</f>
        <v>5.5672866589957876E-2</v>
      </c>
      <c r="H7" s="94">
        <f>+'Grants Need-Based'!DJ8/'Total State Aid'!AE8</f>
        <v>5.9286791571746801E-2</v>
      </c>
      <c r="I7" s="94">
        <f>+'Grants Need-Based'!DK8/'Total State Aid'!AF8</f>
        <v>5.8615394413739912E-2</v>
      </c>
      <c r="J7" s="94">
        <f>+'Grants Need-Based'!DL8/'Total State Aid'!AG8</f>
        <v>6.0430170436174969E-2</v>
      </c>
      <c r="K7" s="94">
        <f>+'Grants Need-Based'!DM8/'Total State Aid'!AH8</f>
        <v>6.7434525193907427E-2</v>
      </c>
      <c r="L7" s="94">
        <f>+'Grants Need-Based'!DN8/'Total State Aid'!AI8</f>
        <v>7.598384755593543E-2</v>
      </c>
      <c r="M7" s="93">
        <f>+'Grants Non Need-Based '!CT8/'Total State Aid'!O8</f>
        <v>7.7383640375463275E-2</v>
      </c>
      <c r="N7" s="94">
        <f>+'Grants Non Need-Based '!CY8/'Total State Aid'!T8</f>
        <v>0.22956015357262494</v>
      </c>
      <c r="O7" s="94">
        <f>+'Grants Non Need-Based '!DD8/'Total State Aid'!Y8</f>
        <v>0.30445028305208705</v>
      </c>
      <c r="P7" s="94">
        <f>+'Grants Non Need-Based '!DE8/'Total State Aid'!Z8</f>
        <v>0.32596108446609179</v>
      </c>
      <c r="Q7" s="94">
        <f>+'Grants Non Need-Based '!DF8/'Total State Aid'!AA8</f>
        <v>0.32818343722172755</v>
      </c>
      <c r="R7" s="94">
        <f>+'Grants Non Need-Based '!DI8/'Total State Aid'!AD8</f>
        <v>0.92671361917887884</v>
      </c>
      <c r="S7" s="94">
        <f>+'Grants Non Need-Based '!DJ8/'Total State Aid'!AE8</f>
        <v>0.92224879627935152</v>
      </c>
      <c r="T7" s="94">
        <f>+'Grants Non Need-Based '!DK8/'Total State Aid'!AF8</f>
        <v>0.92457062790582478</v>
      </c>
      <c r="U7" s="94">
        <f>+'Grants Non Need-Based '!DL8/'Total State Aid'!AG8</f>
        <v>0.92785330479900241</v>
      </c>
      <c r="V7" s="94">
        <f>+'Grants Non Need-Based '!DM8/'Total State Aid'!AH8</f>
        <v>0.91615370500868254</v>
      </c>
      <c r="W7" s="94">
        <f>+'Grants Non Need-Based '!DN8/'Total State Aid'!AI8</f>
        <v>0.90378345354356215</v>
      </c>
      <c r="X7" s="93">
        <f>+Other!O8/'Total State Aid'!O8</f>
        <v>8.123662270481527E-2</v>
      </c>
      <c r="Y7" s="94">
        <f>+Other!T8/'Total State Aid'!T8</f>
        <v>2.3035893735989077E-2</v>
      </c>
      <c r="Z7" s="94">
        <f>+Other!Y8/'Total State Aid'!Y8</f>
        <v>9.954224112245727E-2</v>
      </c>
      <c r="AA7" s="94">
        <f>+Other!AD8/'Total State Aid'!AD8</f>
        <v>1.7613514231163144E-2</v>
      </c>
      <c r="AB7" s="94">
        <f>+Other!AE8/'Total State Aid'!AE8</f>
        <v>1.8464412148901668E-2</v>
      </c>
      <c r="AC7" s="94">
        <f>+Other!AF8/'Total State Aid'!AF8</f>
        <v>1.6813977680435355E-2</v>
      </c>
      <c r="AD7" s="94">
        <f>+Other!AG8/'Total State Aid'!AG8</f>
        <v>1.1716524764822715E-2</v>
      </c>
      <c r="AE7" s="94">
        <f>+Other!AH8/'Total State Aid'!AH8</f>
        <v>1.6411769797409943E-2</v>
      </c>
      <c r="AF7" s="94">
        <f>+Other!AI8/'Total State Aid'!AI8</f>
        <v>2.0232698900502402E-2</v>
      </c>
      <c r="AG7" s="93">
        <f t="shared" si="2"/>
        <v>1</v>
      </c>
      <c r="AH7" s="94">
        <f t="shared" si="3"/>
        <v>1</v>
      </c>
      <c r="AI7" s="94">
        <f t="shared" si="4"/>
        <v>1.0000000000000002</v>
      </c>
      <c r="AJ7" s="94">
        <f t="shared" si="5"/>
        <v>0.99999999999999989</v>
      </c>
      <c r="AK7" s="94">
        <f t="shared" ref="AK7:AN11" si="7">+H7+S7+AB7</f>
        <v>1</v>
      </c>
      <c r="AL7" s="94">
        <f t="shared" si="7"/>
        <v>1</v>
      </c>
      <c r="AM7" s="94">
        <f t="shared" si="7"/>
        <v>1</v>
      </c>
      <c r="AN7" s="94">
        <f t="shared" si="7"/>
        <v>1</v>
      </c>
      <c r="AO7" s="94">
        <f t="shared" si="6"/>
        <v>1</v>
      </c>
    </row>
    <row r="8" spans="1:41">
      <c r="A8" s="87" t="s">
        <v>39</v>
      </c>
      <c r="B8" s="94">
        <f>+'Grants Need-Based'!CT9/'Total State Aid'!O9</f>
        <v>0.14322191272051996</v>
      </c>
      <c r="C8" s="94">
        <f>+'Grants Need-Based'!CY9/'Total State Aid'!T9</f>
        <v>0.10984425068932112</v>
      </c>
      <c r="D8" s="94">
        <f>+'Grants Need-Based'!DD9/'Total State Aid'!Y9</f>
        <v>0.68222294442638931</v>
      </c>
      <c r="E8" s="94">
        <f>+'Grants Need-Based'!DE9/'Total State Aid'!Z9</f>
        <v>0.76071182670409399</v>
      </c>
      <c r="F8" s="94">
        <f>+'Grants Need-Based'!DF9/'Total State Aid'!AA9</f>
        <v>0.76071182670409399</v>
      </c>
      <c r="G8" s="94">
        <f>+'Grants Need-Based'!DI9/'Total State Aid'!AD9</f>
        <v>0.63817169966243958</v>
      </c>
      <c r="H8" s="94">
        <f>+'Grants Need-Based'!DJ9/'Total State Aid'!AE9</f>
        <v>0.6375559820857325</v>
      </c>
      <c r="I8" s="94">
        <f>+'Grants Need-Based'!DK9/'Total State Aid'!AF9</f>
        <v>0.61655220681510003</v>
      </c>
      <c r="J8" s="94">
        <f>+'Grants Need-Based'!DL9/'Total State Aid'!AG9</f>
        <v>0.59210421161991533</v>
      </c>
      <c r="K8" s="94">
        <f>+'Grants Need-Based'!DM9/'Total State Aid'!AH9</f>
        <v>0.60425096271665313</v>
      </c>
      <c r="L8" s="94">
        <f>+'Grants Need-Based'!DN9/'Total State Aid'!AI9</f>
        <v>0.53558295612250861</v>
      </c>
      <c r="M8" s="93">
        <f>+'Grants Non Need-Based '!CT9/'Total State Aid'!O9</f>
        <v>2.5998142989786446E-2</v>
      </c>
      <c r="N8" s="94">
        <f>+'Grants Non Need-Based '!CY9/'Total State Aid'!T9</f>
        <v>3.0926298531932333E-2</v>
      </c>
      <c r="O8" s="94">
        <f>+'Grants Non Need-Based '!DD9/'Total State Aid'!Y9</f>
        <v>0.2718232044198895</v>
      </c>
      <c r="P8" s="94">
        <f>+'Grants Non Need-Based '!DE9/'Total State Aid'!Z9</f>
        <v>0.19612308670091627</v>
      </c>
      <c r="Q8" s="94">
        <f>+'Grants Non Need-Based '!DF9/'Total State Aid'!AA9</f>
        <v>0.19294528891478208</v>
      </c>
      <c r="R8" s="94">
        <f>+'Grants Non Need-Based '!DI9/'Total State Aid'!AD9</f>
        <v>0.31986132652130278</v>
      </c>
      <c r="S8" s="94">
        <f>+'Grants Non Need-Based '!DJ9/'Total State Aid'!AE9</f>
        <v>0.31875514121195497</v>
      </c>
      <c r="T8" s="94">
        <f>+'Grants Non Need-Based '!DK9/'Total State Aid'!AF9</f>
        <v>0.34530422991120252</v>
      </c>
      <c r="U8" s="94">
        <f>+'Grants Non Need-Based '!DL9/'Total State Aid'!AG9</f>
        <v>0.34703907935746819</v>
      </c>
      <c r="V8" s="94">
        <f>+'Grants Non Need-Based '!DM9/'Total State Aid'!AH9</f>
        <v>0.36163477226163276</v>
      </c>
      <c r="W8" s="94">
        <f>+'Grants Non Need-Based '!DN9/'Total State Aid'!AI9</f>
        <v>0.4451841315580376</v>
      </c>
      <c r="X8" s="93">
        <f>+Other!O9/'Total State Aid'!O9</f>
        <v>0.83077994428969371</v>
      </c>
      <c r="Y8" s="94">
        <f>+Other!T9/'Total State Aid'!T9</f>
        <v>0.85922945077874646</v>
      </c>
      <c r="Z8" s="94">
        <f>+Other!Y9/'Total State Aid'!Y9</f>
        <v>4.5953851153721151E-2</v>
      </c>
      <c r="AA8" s="94">
        <f>+Other!AD9/'Total State Aid'!AD9</f>
        <v>4.1966973816257643E-2</v>
      </c>
      <c r="AB8" s="94">
        <f>+Other!AE9/'Total State Aid'!AE9</f>
        <v>4.3688876702312397E-2</v>
      </c>
      <c r="AC8" s="94">
        <f>+Other!AF9/'Total State Aid'!AF9</f>
        <v>3.814356327369757E-2</v>
      </c>
      <c r="AD8" s="94">
        <f>+Other!AG9/'Total State Aid'!AG9</f>
        <v>6.0856709022616473E-2</v>
      </c>
      <c r="AE8" s="94">
        <f>+Other!AH9/'Total State Aid'!AH9</f>
        <v>3.4114265021714059E-2</v>
      </c>
      <c r="AF8" s="94">
        <f>+Other!AI9/'Total State Aid'!AI9</f>
        <v>1.9232912319453843E-2</v>
      </c>
      <c r="AG8" s="93">
        <f t="shared" si="2"/>
        <v>1</v>
      </c>
      <c r="AH8" s="94">
        <f t="shared" si="3"/>
        <v>0.99999999999999989</v>
      </c>
      <c r="AI8" s="94">
        <f t="shared" si="4"/>
        <v>1</v>
      </c>
      <c r="AJ8" s="94">
        <f t="shared" si="5"/>
        <v>1</v>
      </c>
      <c r="AK8" s="94">
        <f t="shared" si="7"/>
        <v>0.99999999999999989</v>
      </c>
      <c r="AL8" s="94">
        <f t="shared" si="7"/>
        <v>1</v>
      </c>
      <c r="AM8" s="94">
        <f t="shared" si="7"/>
        <v>1</v>
      </c>
      <c r="AN8" s="94">
        <f t="shared" si="7"/>
        <v>1</v>
      </c>
      <c r="AO8" s="94">
        <f t="shared" si="6"/>
        <v>1</v>
      </c>
    </row>
    <row r="9" spans="1:41">
      <c r="A9" s="87" t="s">
        <v>40</v>
      </c>
      <c r="B9" s="94">
        <f>+'Grants Need-Based'!CT10/'Total State Aid'!O10</f>
        <v>0.29412012011636385</v>
      </c>
      <c r="C9" s="94">
        <f>+'Grants Need-Based'!CY10/'Total State Aid'!T10</f>
        <v>0.22814408274655856</v>
      </c>
      <c r="D9" s="94">
        <f>+'Grants Need-Based'!DD10/'Total State Aid'!Y10</f>
        <v>0.23915473027365053</v>
      </c>
      <c r="E9" s="94">
        <f>+'Grants Need-Based'!DE10/'Total State Aid'!Z10</f>
        <v>0.240547079735278</v>
      </c>
      <c r="F9" s="94">
        <f>+'Grants Need-Based'!DF10/'Total State Aid'!AA10</f>
        <v>0.22349372633433087</v>
      </c>
      <c r="G9" s="94">
        <f>+'Grants Need-Based'!DI10/'Total State Aid'!AD10</f>
        <v>0.26617542760500718</v>
      </c>
      <c r="H9" s="94">
        <f>+'Grants Need-Based'!DJ10/'Total State Aid'!AE10</f>
        <v>0.2788502796302626</v>
      </c>
      <c r="I9" s="94">
        <f>+'Grants Need-Based'!DK10/'Total State Aid'!AF10</f>
        <v>0.27350453443476702</v>
      </c>
      <c r="J9" s="94">
        <f>+'Grants Need-Based'!DL10/'Total State Aid'!AG10</f>
        <v>0.30131733227980584</v>
      </c>
      <c r="K9" s="94">
        <f>+'Grants Need-Based'!DM10/'Total State Aid'!AH10</f>
        <v>0.31537386278583368</v>
      </c>
      <c r="L9" s="94">
        <f>+'Grants Need-Based'!DN10/'Total State Aid'!AI10</f>
        <v>0.32795158737382724</v>
      </c>
      <c r="M9" s="93">
        <f>+'Grants Non Need-Based '!CT10/'Total State Aid'!O10</f>
        <v>0.65902538077697614</v>
      </c>
      <c r="N9" s="94">
        <f>+'Grants Non Need-Based '!CY10/'Total State Aid'!T10</f>
        <v>0.74243022782443502</v>
      </c>
      <c r="O9" s="94">
        <f>+'Grants Non Need-Based '!DD10/'Total State Aid'!Y10</f>
        <v>0.59099304403650921</v>
      </c>
      <c r="P9" s="94">
        <f>+'Grants Non Need-Based '!DE10/'Total State Aid'!Z10</f>
        <v>0.5966594164111545</v>
      </c>
      <c r="Q9" s="94">
        <f>+'Grants Non Need-Based '!DF10/'Total State Aid'!AA10</f>
        <v>0.6310038734199952</v>
      </c>
      <c r="R9" s="94">
        <f>+'Grants Non Need-Based '!DI10/'Total State Aid'!AD10</f>
        <v>0.59757876749093231</v>
      </c>
      <c r="S9" s="94">
        <f>+'Grants Non Need-Based '!DJ10/'Total State Aid'!AE10</f>
        <v>0.58206548220766097</v>
      </c>
      <c r="T9" s="94">
        <f>+'Grants Non Need-Based '!DK10/'Total State Aid'!AF10</f>
        <v>0.56320732692825715</v>
      </c>
      <c r="U9" s="94">
        <f>+'Grants Non Need-Based '!DL10/'Total State Aid'!AG10</f>
        <v>0.49489758008832962</v>
      </c>
      <c r="V9" s="94">
        <f>+'Grants Non Need-Based '!DM10/'Total State Aid'!AH10</f>
        <v>0.46979063391717685</v>
      </c>
      <c r="W9" s="94">
        <f>+'Grants Non Need-Based '!DN10/'Total State Aid'!AI10</f>
        <v>0.45015373783547397</v>
      </c>
      <c r="X9" s="93">
        <f>+Other!O10/'Total State Aid'!O10</f>
        <v>4.6854499106660084E-2</v>
      </c>
      <c r="Y9" s="94">
        <f>+Other!T10/'Total State Aid'!T10</f>
        <v>2.942568942900653E-2</v>
      </c>
      <c r="Z9" s="94">
        <f>+Other!Y10/'Total State Aid'!Y10</f>
        <v>0.16985222568984032</v>
      </c>
      <c r="AA9" s="94">
        <f>+Other!AD10/'Total State Aid'!AD10</f>
        <v>0.13624580490406057</v>
      </c>
      <c r="AB9" s="94">
        <f>+Other!AE10/'Total State Aid'!AE10</f>
        <v>0.13908423816207649</v>
      </c>
      <c r="AC9" s="94">
        <f>+Other!AF10/'Total State Aid'!AF10</f>
        <v>0.16328813863697586</v>
      </c>
      <c r="AD9" s="94">
        <f>+Other!AG10/'Total State Aid'!AG10</f>
        <v>0.20378508763186459</v>
      </c>
      <c r="AE9" s="94">
        <f>+Other!AH10/'Total State Aid'!AH10</f>
        <v>0.21483550329698956</v>
      </c>
      <c r="AF9" s="94">
        <f>+Other!AI10/'Total State Aid'!AI10</f>
        <v>0.22189467479069888</v>
      </c>
      <c r="AG9" s="93">
        <f t="shared" si="2"/>
        <v>1.0000000000000002</v>
      </c>
      <c r="AH9" s="94">
        <f t="shared" si="3"/>
        <v>1.0000000000000002</v>
      </c>
      <c r="AI9" s="94">
        <f t="shared" si="4"/>
        <v>1</v>
      </c>
      <c r="AJ9" s="94">
        <f t="shared" si="5"/>
        <v>1</v>
      </c>
      <c r="AK9" s="94">
        <f t="shared" si="7"/>
        <v>1</v>
      </c>
      <c r="AL9" s="94">
        <f t="shared" si="7"/>
        <v>1</v>
      </c>
      <c r="AM9" s="94">
        <f t="shared" si="7"/>
        <v>1</v>
      </c>
      <c r="AN9" s="94">
        <f t="shared" si="7"/>
        <v>1</v>
      </c>
      <c r="AO9" s="94">
        <f t="shared" si="6"/>
        <v>1</v>
      </c>
    </row>
    <row r="10" spans="1:41">
      <c r="A10" s="87" t="s">
        <v>41</v>
      </c>
      <c r="B10" s="94">
        <f>+'Grants Need-Based'!CT11/'Total State Aid'!O11</f>
        <v>1.1174307108184237E-2</v>
      </c>
      <c r="C10" s="94">
        <f>+'Grants Need-Based'!CY11/'Total State Aid'!T11</f>
        <v>4.1071814334063201E-3</v>
      </c>
      <c r="D10" s="94">
        <f>+'Grants Need-Based'!DD11/'Total State Aid'!Y11</f>
        <v>2.631278344358784E-3</v>
      </c>
      <c r="E10" s="94">
        <f>+'Grants Need-Based'!DE11/'Total State Aid'!Z11</f>
        <v>2.9090212872370357E-3</v>
      </c>
      <c r="F10" s="94">
        <f>+'Grants Need-Based'!DF11/'Total State Aid'!AA11</f>
        <v>2.3517542606177576E-3</v>
      </c>
      <c r="G10" s="94">
        <f>+'Grants Need-Based'!DI11/'Total State Aid'!AD11</f>
        <v>0</v>
      </c>
      <c r="H10" s="94">
        <f>+'Grants Need-Based'!DJ11/'Total State Aid'!AE11</f>
        <v>0</v>
      </c>
      <c r="I10" s="94">
        <f>+'Grants Need-Based'!DK11/'Total State Aid'!AF11</f>
        <v>0</v>
      </c>
      <c r="J10" s="94">
        <f>+'Grants Need-Based'!DL11/'Total State Aid'!AG11</f>
        <v>0</v>
      </c>
      <c r="K10" s="94">
        <f>+'Grants Need-Based'!DM11/'Total State Aid'!AH11</f>
        <v>0</v>
      </c>
      <c r="L10" s="94">
        <f>+'Grants Need-Based'!DN11/'Total State Aid'!AI11</f>
        <v>0</v>
      </c>
      <c r="M10" s="93">
        <f>+'Grants Non Need-Based '!CT11/'Total State Aid'!O11</f>
        <v>0.94814899047928902</v>
      </c>
      <c r="N10" s="94">
        <f>+'Grants Non Need-Based '!CY11/'Total State Aid'!T11</f>
        <v>0.96188322269724469</v>
      </c>
      <c r="O10" s="94">
        <f>+'Grants Non Need-Based '!DD11/'Total State Aid'!Y11</f>
        <v>0.97277939546730752</v>
      </c>
      <c r="P10" s="94">
        <f>+'Grants Non Need-Based '!DE11/'Total State Aid'!Z11</f>
        <v>0.96937029164452504</v>
      </c>
      <c r="Q10" s="94">
        <f>+'Grants Non Need-Based '!DF11/'Total State Aid'!AA11</f>
        <v>0.97311149484456227</v>
      </c>
      <c r="R10" s="94">
        <f>+'Grants Non Need-Based '!DI11/'Total State Aid'!AD11</f>
        <v>0.99656278032880075</v>
      </c>
      <c r="S10" s="94">
        <f>+'Grants Non Need-Based '!DJ11/'Total State Aid'!AE11</f>
        <v>0.99530195609464422</v>
      </c>
      <c r="T10" s="94">
        <f>+'Grants Non Need-Based '!DK11/'Total State Aid'!AF11</f>
        <v>0.99552652034551115</v>
      </c>
      <c r="U10" s="94">
        <f>+'Grants Non Need-Based '!DL11/'Total State Aid'!AG11</f>
        <v>0.94122230234291926</v>
      </c>
      <c r="V10" s="94">
        <f>+'Grants Non Need-Based '!DM11/'Total State Aid'!AH11</f>
        <v>0.96173649074319778</v>
      </c>
      <c r="W10" s="94">
        <f>+'Grants Non Need-Based '!DN11/'Total State Aid'!AI11</f>
        <v>0.95380928513089125</v>
      </c>
      <c r="X10" s="93">
        <f>+Other!O11/'Total State Aid'!O11</f>
        <v>4.0676702412526709E-2</v>
      </c>
      <c r="Y10" s="94">
        <f>+Other!T11/'Total State Aid'!T11</f>
        <v>3.4009595869348958E-2</v>
      </c>
      <c r="Z10" s="94">
        <f>+Other!Y11/'Total State Aid'!Y11</f>
        <v>2.4589326188333798E-2</v>
      </c>
      <c r="AA10" s="94">
        <f>+Other!AD11/'Total State Aid'!AD11</f>
        <v>3.4372196711992971E-3</v>
      </c>
      <c r="AB10" s="94">
        <f>+Other!AE11/'Total State Aid'!AE11</f>
        <v>4.6980439053557702E-3</v>
      </c>
      <c r="AC10" s="94">
        <f>+Other!AF11/'Total State Aid'!AF11</f>
        <v>4.4734796544887634E-3</v>
      </c>
      <c r="AD10" s="94">
        <f>+Other!AG11/'Total State Aid'!AG11</f>
        <v>5.8777697657080685E-2</v>
      </c>
      <c r="AE10" s="94">
        <f>+Other!AH11/'Total State Aid'!AH11</f>
        <v>3.8263509256802199E-2</v>
      </c>
      <c r="AF10" s="94">
        <f>+Other!AI11/'Total State Aid'!AI11</f>
        <v>4.6190714869108813E-2</v>
      </c>
      <c r="AG10" s="93">
        <f t="shared" si="2"/>
        <v>1</v>
      </c>
      <c r="AH10" s="94">
        <f t="shared" si="3"/>
        <v>0.99999999999999989</v>
      </c>
      <c r="AI10" s="94">
        <f t="shared" si="4"/>
        <v>1.0000000000000002</v>
      </c>
      <c r="AJ10" s="94">
        <f t="shared" si="5"/>
        <v>1</v>
      </c>
      <c r="AK10" s="94">
        <f t="shared" si="7"/>
        <v>1</v>
      </c>
      <c r="AL10" s="94">
        <f t="shared" si="7"/>
        <v>0.99999999999999989</v>
      </c>
      <c r="AM10" s="94">
        <f t="shared" si="7"/>
        <v>1</v>
      </c>
      <c r="AN10" s="94">
        <f t="shared" si="7"/>
        <v>1</v>
      </c>
      <c r="AO10" s="94">
        <f t="shared" si="6"/>
        <v>1</v>
      </c>
    </row>
    <row r="11" spans="1:41">
      <c r="A11" s="87" t="s">
        <v>42</v>
      </c>
      <c r="B11" s="94">
        <f>+'Grants Need-Based'!CT12/'Total State Aid'!O12</f>
        <v>0.88431321614087399</v>
      </c>
      <c r="C11" s="94">
        <f>+'Grants Need-Based'!CY12/'Total State Aid'!T12</f>
        <v>0.51327753229095852</v>
      </c>
      <c r="D11" s="94">
        <f>+'Grants Need-Based'!DD12/'Total State Aid'!Y12</f>
        <v>0.47895595432300164</v>
      </c>
      <c r="E11" s="94">
        <f>+'Grants Need-Based'!DE12/'Total State Aid'!Z12</f>
        <v>0.48020946114766383</v>
      </c>
      <c r="F11" s="94">
        <f>+'Grants Need-Based'!DF12/'Total State Aid'!AA12</f>
        <v>0.47886652623810327</v>
      </c>
      <c r="G11" s="94">
        <f>+'Grants Need-Based'!DI12/'Total State Aid'!AD12</f>
        <v>0.45588593217588841</v>
      </c>
      <c r="H11" s="94">
        <f>+'Grants Need-Based'!DJ12/'Total State Aid'!AE12</f>
        <v>0.44019911750153989</v>
      </c>
      <c r="I11" s="94">
        <f>+'Grants Need-Based'!DK12/'Total State Aid'!AF12</f>
        <v>0.44898592614865329</v>
      </c>
      <c r="J11" s="94">
        <f>+'Grants Need-Based'!DL12/'Total State Aid'!AG12</f>
        <v>0.42995101738666458</v>
      </c>
      <c r="K11" s="94">
        <f>+'Grants Need-Based'!DM12/'Total State Aid'!AH12</f>
        <v>0.44832957467420742</v>
      </c>
      <c r="L11" s="94">
        <f>+'Grants Need-Based'!DN12/'Total State Aid'!AI12</f>
        <v>0.44027891041823297</v>
      </c>
      <c r="M11" s="93">
        <f>+'Grants Non Need-Based '!CT12/'Total State Aid'!O12</f>
        <v>0</v>
      </c>
      <c r="N11" s="94">
        <f>+'Grants Non Need-Based '!CY12/'Total State Aid'!T12</f>
        <v>0.40366884772263761</v>
      </c>
      <c r="O11" s="94">
        <f>+'Grants Non Need-Based '!DD12/'Total State Aid'!Y12</f>
        <v>0.49141714466136932</v>
      </c>
      <c r="P11" s="94">
        <f>+'Grants Non Need-Based '!DE12/'Total State Aid'!Z12</f>
        <v>0.49311859748480052</v>
      </c>
      <c r="Q11" s="94">
        <f>+'Grants Non Need-Based '!DF12/'Total State Aid'!AA12</f>
        <v>0.49583070670418261</v>
      </c>
      <c r="R11" s="94">
        <f>+'Grants Non Need-Based '!DI12/'Total State Aid'!AD12</f>
        <v>0.53186861106603933</v>
      </c>
      <c r="S11" s="94">
        <f>+'Grants Non Need-Based '!DJ12/'Total State Aid'!AE12</f>
        <v>0.54658864868685442</v>
      </c>
      <c r="T11" s="94">
        <f>+'Grants Non Need-Based '!DK12/'Total State Aid'!AF12</f>
        <v>0.53760463244066381</v>
      </c>
      <c r="U11" s="94">
        <f>+'Grants Non Need-Based '!DL12/'Total State Aid'!AG12</f>
        <v>0.55722409425427699</v>
      </c>
      <c r="V11" s="94">
        <f>+'Grants Non Need-Based '!DM12/'Total State Aid'!AH12</f>
        <v>0.54020925019906385</v>
      </c>
      <c r="W11" s="94">
        <f>+'Grants Non Need-Based '!DN12/'Total State Aid'!AI12</f>
        <v>0.54837593287233155</v>
      </c>
      <c r="X11" s="93">
        <f>+Other!O12/'Total State Aid'!O12</f>
        <v>0.11568678385912602</v>
      </c>
      <c r="Y11" s="94">
        <f>+Other!T12/'Total State Aid'!T12</f>
        <v>8.3053619986403801E-2</v>
      </c>
      <c r="Z11" s="94">
        <f>+Other!Y12/'Total State Aid'!Y12</f>
        <v>2.9626901015629113E-2</v>
      </c>
      <c r="AA11" s="94">
        <f>+Other!AD12/'Total State Aid'!AD12</f>
        <v>1.2245456758072369E-2</v>
      </c>
      <c r="AB11" s="94">
        <f>+Other!AE12/'Total State Aid'!AE12</f>
        <v>1.3212233811605764E-2</v>
      </c>
      <c r="AC11" s="94">
        <f>+Other!AF12/'Total State Aid'!AF12</f>
        <v>1.3409441410682938E-2</v>
      </c>
      <c r="AD11" s="94">
        <f>+Other!AG12/'Total State Aid'!AG12</f>
        <v>1.2824888359058418E-2</v>
      </c>
      <c r="AE11" s="94">
        <f>+Other!AH12/'Total State Aid'!AH12</f>
        <v>1.1461175126728788E-2</v>
      </c>
      <c r="AF11" s="94">
        <f>+Other!AI12/'Total State Aid'!AI12</f>
        <v>1.134515670943536E-2</v>
      </c>
      <c r="AG11" s="93">
        <f t="shared" si="2"/>
        <v>1</v>
      </c>
      <c r="AH11" s="94">
        <f t="shared" si="3"/>
        <v>1</v>
      </c>
      <c r="AI11" s="94">
        <f t="shared" si="4"/>
        <v>1</v>
      </c>
      <c r="AJ11" s="94">
        <f t="shared" si="5"/>
        <v>1</v>
      </c>
      <c r="AK11" s="94">
        <f t="shared" si="7"/>
        <v>1.0000000000000002</v>
      </c>
      <c r="AL11" s="94">
        <f t="shared" si="7"/>
        <v>1</v>
      </c>
      <c r="AM11" s="94">
        <f t="shared" si="7"/>
        <v>0.99999999999999989</v>
      </c>
      <c r="AN11" s="94">
        <f t="shared" si="7"/>
        <v>1</v>
      </c>
      <c r="AO11" s="94">
        <f t="shared" si="6"/>
        <v>0.99999999999999989</v>
      </c>
    </row>
    <row r="12" spans="1:41">
      <c r="A12" s="87" t="s">
        <v>43</v>
      </c>
      <c r="B12" s="94">
        <f>+'Grants Need-Based'!CT13/'Total State Aid'!O13</f>
        <v>9.3121294121114556E-2</v>
      </c>
      <c r="C12" s="94">
        <f>+'Grants Need-Based'!CY13/'Total State Aid'!T13</f>
        <v>1.30503950171219E-2</v>
      </c>
      <c r="D12" s="94">
        <f>+'Grants Need-Based'!DD13/'Total State Aid'!Y13</f>
        <v>1.18943272578333E-2</v>
      </c>
      <c r="E12" s="94">
        <f>+'Grants Need-Based'!DE13/'Total State Aid'!Z13</f>
        <v>0.13525021253296063</v>
      </c>
      <c r="F12" s="94">
        <f>+'Grants Need-Based'!DF13/'Total State Aid'!AA13</f>
        <v>0.17388724035608311</v>
      </c>
      <c r="G12" s="94">
        <f>+'Grants Need-Based'!DI13/'Total State Aid'!AD13</f>
        <v>0.13578880093401036</v>
      </c>
      <c r="H12" s="94">
        <f>+'Grants Need-Based'!DJ13/'Total State Aid'!AE13</f>
        <v>0.11995433454985603</v>
      </c>
      <c r="I12" s="94">
        <f>+'Grants Need-Based'!DK13/'Total State Aid'!AF13</f>
        <v>0.1045725709844269</v>
      </c>
      <c r="J12" s="94">
        <f>+'Grants Need-Based'!DL13/'Total State Aid'!AG13</f>
        <v>8.8566879782068841E-2</v>
      </c>
      <c r="K12" s="94">
        <f>+'Grants Need-Based'!DM13/'Total State Aid'!AH13</f>
        <v>9.3599450298527814E-2</v>
      </c>
      <c r="L12" s="94">
        <f>+'Grants Need-Based'!DN13/'Total State Aid'!AI13</f>
        <v>0.11575352018924161</v>
      </c>
      <c r="M12" s="93">
        <f>+'Grants Non Need-Based '!CT13/'Total State Aid'!O13</f>
        <v>0.12377653330404143</v>
      </c>
      <c r="N12" s="94">
        <f>+'Grants Non Need-Based '!CY13/'Total State Aid'!T13</f>
        <v>0.92274022343858131</v>
      </c>
      <c r="O12" s="94">
        <f>+'Grants Non Need-Based '!DD13/'Total State Aid'!Y13</f>
        <v>0.98761417161581</v>
      </c>
      <c r="P12" s="94">
        <f>+'Grants Non Need-Based '!DE13/'Total State Aid'!Z13</f>
        <v>0.86431751703865944</v>
      </c>
      <c r="Q12" s="94">
        <f>+'Grants Non Need-Based '!DF13/'Total State Aid'!AA13</f>
        <v>0.81433702951741371</v>
      </c>
      <c r="R12" s="94">
        <f>+'Grants Non Need-Based '!DI13/'Total State Aid'!AD13</f>
        <v>0.86421119906598964</v>
      </c>
      <c r="S12" s="94">
        <f>+'Grants Non Need-Based '!DJ13/'Total State Aid'!AE13</f>
        <v>0.87986227006803963</v>
      </c>
      <c r="T12" s="94">
        <f>+'Grants Non Need-Based '!DK13/'Total State Aid'!AF13</f>
        <v>0.89542742901557315</v>
      </c>
      <c r="U12" s="94">
        <f>+'Grants Non Need-Based '!DL13/'Total State Aid'!AG13</f>
        <v>0.91143312021793121</v>
      </c>
      <c r="V12" s="94">
        <f>+'Grants Non Need-Based '!DM13/'Total State Aid'!AH13</f>
        <v>0.90640054970147221</v>
      </c>
      <c r="W12" s="94">
        <f>+'Grants Non Need-Based '!DN13/'Total State Aid'!AI13</f>
        <v>0.88424647981075832</v>
      </c>
      <c r="X12" s="93">
        <f>+Other!O13/'Total State Aid'!O13</f>
        <v>0.78310217257484405</v>
      </c>
      <c r="Y12" s="94">
        <f>+Other!T13/'Total State Aid'!T13</f>
        <v>6.4209381544296742E-2</v>
      </c>
      <c r="Z12" s="94">
        <f>+Other!Y13/'Total State Aid'!Y13</f>
        <v>4.9150112635674796E-4</v>
      </c>
      <c r="AA12" s="94" t="e">
        <f>IF(Other!AD13="NA","NA",Other!AD13/'Total State Aid'!AD13)</f>
        <v>#VALUE!</v>
      </c>
      <c r="AB12" s="94">
        <f>IF(Other!AE13="NA","NA",Other!AE13/'Total State Aid'!AE13)</f>
        <v>1.8339538210427863E-4</v>
      </c>
      <c r="AC12" s="94" t="str">
        <f>IF(Other!AF13="—","—",Other!AF13/'Total State Aid'!AF13)</f>
        <v>—</v>
      </c>
      <c r="AD12" s="94" t="str">
        <f>IF(Other!AG13="—","—",Other!AG13/'Total State Aid'!AG13)</f>
        <v>—</v>
      </c>
      <c r="AE12" s="94" t="str">
        <f>IF(Other!AH13="—","—",Other!AH13/'Total State Aid'!AH13)</f>
        <v>—</v>
      </c>
      <c r="AF12" s="94" t="str">
        <f>IF(Other!AI13="—","—",Other!AI13/'Total State Aid'!AI13)</f>
        <v>—</v>
      </c>
      <c r="AG12" s="93">
        <f t="shared" si="2"/>
        <v>1</v>
      </c>
      <c r="AH12" s="94">
        <f t="shared" si="3"/>
        <v>1</v>
      </c>
      <c r="AI12" s="94">
        <f t="shared" si="4"/>
        <v>1</v>
      </c>
      <c r="AJ12" s="94">
        <f t="shared" ref="AJ12:AO12" si="8">+G12+R12</f>
        <v>1</v>
      </c>
      <c r="AK12" s="94">
        <f t="shared" si="8"/>
        <v>0.99981660461789568</v>
      </c>
      <c r="AL12" s="94">
        <f t="shared" si="8"/>
        <v>1</v>
      </c>
      <c r="AM12" s="94">
        <f t="shared" si="8"/>
        <v>1</v>
      </c>
      <c r="AN12" s="94">
        <f t="shared" si="8"/>
        <v>1</v>
      </c>
      <c r="AO12" s="94">
        <f t="shared" si="8"/>
        <v>0.99999999999999989</v>
      </c>
    </row>
    <row r="13" spans="1:41">
      <c r="A13" s="87" t="s">
        <v>44</v>
      </c>
      <c r="B13" s="94">
        <f>+'Grants Need-Based'!CT14/'Total State Aid'!O14</f>
        <v>0.82303090014404723</v>
      </c>
      <c r="C13" s="94">
        <f>+'Grants Need-Based'!CY14/'Total State Aid'!T14</f>
        <v>0.60434050221334268</v>
      </c>
      <c r="D13" s="94">
        <f>+'Grants Need-Based'!DD14/'Total State Aid'!Y14</f>
        <v>0.86811452967655101</v>
      </c>
      <c r="E13" s="94">
        <f>+'Grants Need-Based'!DE14/'Total State Aid'!Z14</f>
        <v>0.8776179251673033</v>
      </c>
      <c r="F13" s="94">
        <f>+'Grants Need-Based'!DF14/'Total State Aid'!AA14</f>
        <v>0.86278062657413612</v>
      </c>
      <c r="G13" s="94">
        <f>+'Grants Need-Based'!DI14/'Total State Aid'!AD14</f>
        <v>0.8748398502289273</v>
      </c>
      <c r="H13" s="94">
        <f>+'Grants Need-Based'!DJ14/'Total State Aid'!AE14</f>
        <v>0.89054561186401449</v>
      </c>
      <c r="I13" s="94">
        <f>+'Grants Need-Based'!DK14/'Total State Aid'!AF14</f>
        <v>0.91285725147631558</v>
      </c>
      <c r="J13" s="94">
        <f>+'Grants Need-Based'!DL14/'Total State Aid'!AG14</f>
        <v>0.94527496985996462</v>
      </c>
      <c r="K13" s="94">
        <f>+'Grants Need-Based'!DM14/'Total State Aid'!AH14</f>
        <v>0.95007624277731162</v>
      </c>
      <c r="L13" s="94">
        <f>+'Grants Need-Based'!DN14/'Total State Aid'!AI14</f>
        <v>0.93695191748013174</v>
      </c>
      <c r="M13" s="93">
        <f>+'Grants Non Need-Based '!CT14/'Total State Aid'!O14</f>
        <v>0.13452828056075108</v>
      </c>
      <c r="N13" s="94">
        <f>+'Grants Non Need-Based '!CY14/'Total State Aid'!T14</f>
        <v>8.6705579712983635E-2</v>
      </c>
      <c r="O13" s="94">
        <f>+'Grants Non Need-Based '!DD14/'Total State Aid'!Y14</f>
        <v>4.1802403823843329E-2</v>
      </c>
      <c r="P13" s="94">
        <f>+'Grants Non Need-Based '!DE14/'Total State Aid'!Z14</f>
        <v>4.7711940177192547E-2</v>
      </c>
      <c r="Q13" s="94">
        <f>+'Grants Non Need-Based '!DF14/'Total State Aid'!AA14</f>
        <v>4.9339542300096038E-2</v>
      </c>
      <c r="R13" s="94">
        <f>+'Grants Non Need-Based '!DI14/'Total State Aid'!AD14</f>
        <v>4.9013278774816996E-2</v>
      </c>
      <c r="S13" s="94">
        <f>+'Grants Non Need-Based '!DJ14/'Total State Aid'!AE14</f>
        <v>5.11504834344471E-2</v>
      </c>
      <c r="T13" s="94">
        <f>+'Grants Non Need-Based '!DK14/'Total State Aid'!AF14</f>
        <v>4.3567150182902616E-2</v>
      </c>
      <c r="U13" s="94">
        <f>+'Grants Non Need-Based '!DL14/'Total State Aid'!AG14</f>
        <v>3.1252898080311592E-2</v>
      </c>
      <c r="V13" s="94">
        <f>+'Grants Non Need-Based '!DM14/'Total State Aid'!AH14</f>
        <v>2.2740157183886708E-2</v>
      </c>
      <c r="W13" s="94">
        <f>+'Grants Non Need-Based '!DN14/'Total State Aid'!AI14</f>
        <v>3.3801477128853195E-2</v>
      </c>
      <c r="X13" s="93">
        <f>+Other!O14/'Total State Aid'!O14</f>
        <v>4.2440819295201659E-2</v>
      </c>
      <c r="Y13" s="94">
        <f>+Other!T14/'Total State Aid'!T14</f>
        <v>0.30895391807367362</v>
      </c>
      <c r="Z13" s="94">
        <f>+Other!Y14/'Total State Aid'!Y14</f>
        <v>9.0083066499605541E-2</v>
      </c>
      <c r="AA13" s="94">
        <f>+Other!AD14/'Total State Aid'!AD14</f>
        <v>7.6146870996255708E-2</v>
      </c>
      <c r="AB13" s="94">
        <f>+Other!AE14/'Total State Aid'!AE14</f>
        <v>5.8303904701538338E-2</v>
      </c>
      <c r="AC13" s="94">
        <f>+Other!AF14/'Total State Aid'!AF14</f>
        <v>4.3575598340781799E-2</v>
      </c>
      <c r="AD13" s="94">
        <f>+Other!AG14/'Total State Aid'!AG14</f>
        <v>2.3472132059723639E-2</v>
      </c>
      <c r="AE13" s="94">
        <f>+Other!AH14/'Total State Aid'!AH14</f>
        <v>2.7183600038801714E-2</v>
      </c>
      <c r="AF13" s="94">
        <f>+Other!AI14/'Total State Aid'!AI14</f>
        <v>2.9246605391015219E-2</v>
      </c>
      <c r="AG13" s="93">
        <f t="shared" si="2"/>
        <v>1</v>
      </c>
      <c r="AH13" s="94">
        <f t="shared" si="3"/>
        <v>1</v>
      </c>
      <c r="AI13" s="94">
        <f t="shared" si="4"/>
        <v>0.99999999999999989</v>
      </c>
      <c r="AJ13" s="94">
        <f t="shared" ref="AJ13:AJ22" si="9">+G13+R13+AA13</f>
        <v>1</v>
      </c>
      <c r="AK13" s="94">
        <f t="shared" ref="AK13:AK22" si="10">+H13+S13+AB13</f>
        <v>0.99999999999999989</v>
      </c>
      <c r="AL13" s="94">
        <f t="shared" ref="AL13:AL22" si="11">+I13+T13+AC13</f>
        <v>1</v>
      </c>
      <c r="AM13" s="94">
        <f t="shared" ref="AM13:AM22" si="12">+J13+U13+AD13</f>
        <v>0.99999999999999989</v>
      </c>
      <c r="AN13" s="94">
        <f t="shared" ref="AN13:AN22" si="13">+K13+V13+AE13</f>
        <v>1</v>
      </c>
      <c r="AO13" s="94">
        <f t="shared" ref="AO13:AO22" si="14">+L13+W13+AF13</f>
        <v>1.0000000000000002</v>
      </c>
    </row>
    <row r="14" spans="1:41">
      <c r="A14" s="87" t="s">
        <v>46</v>
      </c>
      <c r="B14" s="94">
        <f>+'Grants Need-Based'!CT15/'Total State Aid'!O15</f>
        <v>2.5327699389851036E-2</v>
      </c>
      <c r="C14" s="94">
        <f>+'Grants Need-Based'!CY15/'Total State Aid'!T15</f>
        <v>4.381473634651601E-2</v>
      </c>
      <c r="D14" s="94">
        <f>+'Grants Need-Based'!DD15/'Total State Aid'!Y15</f>
        <v>7.8690875900511784E-2</v>
      </c>
      <c r="E14" s="94">
        <f>+'Grants Need-Based'!DE15/'Total State Aid'!Z15</f>
        <v>0.10231097150549696</v>
      </c>
      <c r="F14" s="94">
        <f>+'Grants Need-Based'!DF15/'Total State Aid'!AA15</f>
        <v>0.10558770841945708</v>
      </c>
      <c r="G14" s="94">
        <f>+'Grants Need-Based'!DI15/'Total State Aid'!AD15</f>
        <v>0.12712334126699487</v>
      </c>
      <c r="H14" s="94">
        <f>+'Grants Need-Based'!DJ15/'Total State Aid'!AE15</f>
        <v>0.1717990275526742</v>
      </c>
      <c r="I14" s="94">
        <f>+'Grants Need-Based'!DK15/'Total State Aid'!AF15</f>
        <v>0.22368527127616691</v>
      </c>
      <c r="J14" s="94">
        <f>+'Grants Need-Based'!DL15/'Total State Aid'!AG15</f>
        <v>0.27010869565217388</v>
      </c>
      <c r="K14" s="94">
        <f>+'Grants Need-Based'!DM15/'Total State Aid'!AH15</f>
        <v>0.34642573890629158</v>
      </c>
      <c r="L14" s="94">
        <f>+'Grants Need-Based'!DN15/'Total State Aid'!AI15</f>
        <v>0.43247080876290639</v>
      </c>
      <c r="M14" s="93">
        <f>+'Grants Non Need-Based '!CT15/'Total State Aid'!O15</f>
        <v>3.4708328793499566E-3</v>
      </c>
      <c r="N14" s="94">
        <f>+'Grants Non Need-Based '!CY15/'Total State Aid'!T15</f>
        <v>0.59180790960451979</v>
      </c>
      <c r="O14" s="94">
        <f>+'Grants Non Need-Based '!DD15/'Total State Aid'!Y15</f>
        <v>0.65818039573621934</v>
      </c>
      <c r="P14" s="94">
        <f>+'Grants Non Need-Based '!DE15/'Total State Aid'!Z15</f>
        <v>0.63300105772620918</v>
      </c>
      <c r="Q14" s="94">
        <f>+'Grants Non Need-Based '!DF15/'Total State Aid'!AA15</f>
        <v>0.70225299710624223</v>
      </c>
      <c r="R14" s="94">
        <f>+'Grants Non Need-Based '!DI15/'Total State Aid'!AD15</f>
        <v>0.6209122623977047</v>
      </c>
      <c r="S14" s="94">
        <f>+'Grants Non Need-Based '!DJ15/'Total State Aid'!AE15</f>
        <v>0.58793309073117028</v>
      </c>
      <c r="T14" s="94">
        <f>+'Grants Non Need-Based '!DK15/'Total State Aid'!AF15</f>
        <v>0.5279337865799586</v>
      </c>
      <c r="U14" s="94">
        <f>+'Grants Non Need-Based '!DL15/'Total State Aid'!AG15</f>
        <v>0.50254446640316197</v>
      </c>
      <c r="V14" s="94">
        <f>+'Grants Non Need-Based '!DM15/'Total State Aid'!AH15</f>
        <v>0.47809225903242508</v>
      </c>
      <c r="W14" s="94">
        <f>+'Grants Non Need-Based '!DN15/'Total State Aid'!AI15</f>
        <v>0.50264631389481651</v>
      </c>
      <c r="X14" s="93">
        <f>+Other!O15/'Total State Aid'!O15</f>
        <v>0.97120146773079896</v>
      </c>
      <c r="Y14" s="94">
        <f>+Other!T15/'Total State Aid'!T15</f>
        <v>0.36437735404896415</v>
      </c>
      <c r="Z14" s="94">
        <f>+Other!Y15/'Total State Aid'!Y15</f>
        <v>0.26312872836326889</v>
      </c>
      <c r="AA14" s="94">
        <f>+Other!AD15/'Total State Aid'!AD15</f>
        <v>0.25196439633530043</v>
      </c>
      <c r="AB14" s="94">
        <f>+Other!AE15/'Total State Aid'!AE15</f>
        <v>0.24026788171615548</v>
      </c>
      <c r="AC14" s="94">
        <f>+Other!AF15/'Total State Aid'!AF15</f>
        <v>0.24838094214387446</v>
      </c>
      <c r="AD14" s="94">
        <f>+Other!AG15/'Total State Aid'!AG15</f>
        <v>0.22734683794466398</v>
      </c>
      <c r="AE14" s="94">
        <f>+Other!AH15/'Total State Aid'!AH15</f>
        <v>0.17548200206128337</v>
      </c>
      <c r="AF14" s="94">
        <f>+Other!AI15/'Total State Aid'!AI15</f>
        <v>6.4882877342277087E-2</v>
      </c>
      <c r="AG14" s="93">
        <f t="shared" si="2"/>
        <v>1</v>
      </c>
      <c r="AH14" s="94">
        <f t="shared" si="3"/>
        <v>1</v>
      </c>
      <c r="AI14" s="94">
        <f t="shared" si="4"/>
        <v>1</v>
      </c>
      <c r="AJ14" s="94">
        <f t="shared" si="9"/>
        <v>1</v>
      </c>
      <c r="AK14" s="94">
        <f t="shared" si="10"/>
        <v>1</v>
      </c>
      <c r="AL14" s="94">
        <f t="shared" si="11"/>
        <v>1</v>
      </c>
      <c r="AM14" s="94">
        <f t="shared" si="12"/>
        <v>0.99999999999999978</v>
      </c>
      <c r="AN14" s="94">
        <f t="shared" si="13"/>
        <v>1</v>
      </c>
      <c r="AO14" s="94">
        <f t="shared" si="14"/>
        <v>0.99999999999999989</v>
      </c>
    </row>
    <row r="15" spans="1:41">
      <c r="A15" s="87" t="s">
        <v>47</v>
      </c>
      <c r="B15" s="94">
        <f>+'Grants Need-Based'!CT16/'Total State Aid'!O16</f>
        <v>0.20161036506192084</v>
      </c>
      <c r="C15" s="94">
        <f>+'Grants Need-Based'!CY16/'Total State Aid'!T16</f>
        <v>0.39435766011973755</v>
      </c>
      <c r="D15" s="94">
        <f>+'Grants Need-Based'!DD16/'Total State Aid'!Y16</f>
        <v>0.57397192336109959</v>
      </c>
      <c r="E15" s="94">
        <f>+'Grants Need-Based'!DE16/'Total State Aid'!Z16</f>
        <v>0.63403697933183512</v>
      </c>
      <c r="F15" s="94">
        <f>+'Grants Need-Based'!DF16/'Total State Aid'!AA16</f>
        <v>0.68930761352882464</v>
      </c>
      <c r="G15" s="94">
        <f>+'Grants Need-Based'!DI16/'Total State Aid'!AD16</f>
        <v>0.66549673345380167</v>
      </c>
      <c r="H15" s="94">
        <f>+'Grants Need-Based'!DJ16/'Total State Aid'!AE16</f>
        <v>0.80256209944591528</v>
      </c>
      <c r="I15" s="94">
        <f>+'Grants Need-Based'!DK16/'Total State Aid'!AF16</f>
        <v>0.80158332719640624</v>
      </c>
      <c r="J15" s="94">
        <f>+'Grants Need-Based'!DL16/'Total State Aid'!AG16</f>
        <v>0.79438133658899091</v>
      </c>
      <c r="K15" s="94">
        <f>+'Grants Need-Based'!DM16/'Total State Aid'!AH16</f>
        <v>0.79872039764174552</v>
      </c>
      <c r="L15" s="94">
        <f>+'Grants Need-Based'!DN16/'Total State Aid'!AI16</f>
        <v>0.80010974239096699</v>
      </c>
      <c r="M15" s="93">
        <f>+'Grants Non Need-Based '!CT16/'Total State Aid'!O16</f>
        <v>0.33902388607788575</v>
      </c>
      <c r="N15" s="94">
        <f>+'Grants Non Need-Based '!CY16/'Total State Aid'!T16</f>
        <v>0.48783483448356535</v>
      </c>
      <c r="O15" s="94">
        <f>+'Grants Non Need-Based '!DD16/'Total State Aid'!Y16</f>
        <v>0.19934683522096602</v>
      </c>
      <c r="P15" s="94">
        <f>+'Grants Non Need-Based '!DE16/'Total State Aid'!Z16</f>
        <v>0.17252333613688695</v>
      </c>
      <c r="Q15" s="94">
        <f>+'Grants Non Need-Based '!DF16/'Total State Aid'!AA16</f>
        <v>0.14361304484977336</v>
      </c>
      <c r="R15" s="94">
        <f>+'Grants Non Need-Based '!DI16/'Total State Aid'!AD16</f>
        <v>0.14802468277765643</v>
      </c>
      <c r="S15" s="94">
        <f>+'Grants Non Need-Based '!DJ16/'Total State Aid'!AE16</f>
        <v>2.018382689794521E-2</v>
      </c>
      <c r="T15" s="94">
        <f>+'Grants Non Need-Based '!DK16/'Total State Aid'!AF16</f>
        <v>1.7689078724501067E-2</v>
      </c>
      <c r="U15" s="94">
        <f>+'Grants Non Need-Based '!DL16/'Total State Aid'!AG16</f>
        <v>1.5823557513668454E-2</v>
      </c>
      <c r="V15" s="94">
        <f>+'Grants Non Need-Based '!DM16/'Total State Aid'!AH16</f>
        <v>1.3873361937656814E-2</v>
      </c>
      <c r="W15" s="94">
        <f>+'Grants Non Need-Based '!DN16/'Total State Aid'!AI16</f>
        <v>1.6880566223240863E-2</v>
      </c>
      <c r="X15" s="93">
        <f>+Other!O16/'Total State Aid'!O16</f>
        <v>0.45936574886019343</v>
      </c>
      <c r="Y15" s="94">
        <f>+Other!T16/'Total State Aid'!T16</f>
        <v>0.11780750539669711</v>
      </c>
      <c r="Z15" s="94">
        <f>+Other!Y16/'Total State Aid'!Y16</f>
        <v>0.22668124141793433</v>
      </c>
      <c r="AA15" s="94">
        <f>+Other!AD16/'Total State Aid'!AD16</f>
        <v>0.18647858376854184</v>
      </c>
      <c r="AB15" s="94">
        <f>+Other!AE16/'Total State Aid'!AE16</f>
        <v>0.17725407365613952</v>
      </c>
      <c r="AC15" s="94">
        <f>+Other!AF16/'Total State Aid'!AF16</f>
        <v>0.18072759407909272</v>
      </c>
      <c r="AD15" s="94">
        <f>+Other!AG16/'Total State Aid'!AG16</f>
        <v>0.18979510589734064</v>
      </c>
      <c r="AE15" s="94">
        <f>+Other!AH16/'Total State Aid'!AH16</f>
        <v>0.18740624042059759</v>
      </c>
      <c r="AF15" s="94">
        <f>+Other!AI16/'Total State Aid'!AI16</f>
        <v>0.18300969138579223</v>
      </c>
      <c r="AG15" s="93">
        <f t="shared" si="2"/>
        <v>1</v>
      </c>
      <c r="AH15" s="94">
        <f t="shared" si="3"/>
        <v>1</v>
      </c>
      <c r="AI15" s="94">
        <f t="shared" si="4"/>
        <v>0.99999999999999989</v>
      </c>
      <c r="AJ15" s="94">
        <f t="shared" si="9"/>
        <v>1</v>
      </c>
      <c r="AK15" s="94">
        <f t="shared" si="10"/>
        <v>1</v>
      </c>
      <c r="AL15" s="94">
        <f t="shared" si="11"/>
        <v>1</v>
      </c>
      <c r="AM15" s="94">
        <f t="shared" si="12"/>
        <v>1</v>
      </c>
      <c r="AN15" s="94">
        <f t="shared" si="13"/>
        <v>1</v>
      </c>
      <c r="AO15" s="94">
        <f t="shared" si="14"/>
        <v>1</v>
      </c>
    </row>
    <row r="16" spans="1:41">
      <c r="A16" s="87" t="s">
        <v>48</v>
      </c>
      <c r="B16" s="94">
        <f>+'Grants Need-Based'!CT17/'Total State Aid'!O17</f>
        <v>0.27174189334062393</v>
      </c>
      <c r="C16" s="94">
        <f>+'Grants Need-Based'!CY17/'Total State Aid'!T17</f>
        <v>0.25753208207887601</v>
      </c>
      <c r="D16" s="94">
        <f>+'Grants Need-Based'!DD17/'Total State Aid'!Y17</f>
        <v>0.33760131704649921</v>
      </c>
      <c r="E16" s="94">
        <f>+'Grants Need-Based'!DE17/'Total State Aid'!Z17</f>
        <v>0.35226987643118307</v>
      </c>
      <c r="F16" s="94">
        <f>+'Grants Need-Based'!DF17/'Total State Aid'!AA17</f>
        <v>0.35998031458440838</v>
      </c>
      <c r="G16" s="94">
        <f>+'Grants Need-Based'!DI17/'Total State Aid'!AD17</f>
        <v>0.32742341418059989</v>
      </c>
      <c r="H16" s="94">
        <f>+'Grants Need-Based'!DJ17/'Total State Aid'!AE17</f>
        <v>0.30286524101091955</v>
      </c>
      <c r="I16" s="94">
        <f>+'Grants Need-Based'!DK17/'Total State Aid'!AF17</f>
        <v>0.29975582136032275</v>
      </c>
      <c r="J16" s="94">
        <f>+'Grants Need-Based'!DL17/'Total State Aid'!AG17</f>
        <v>0.28052908888486139</v>
      </c>
      <c r="K16" s="94">
        <f>+'Grants Need-Based'!DM17/'Total State Aid'!AH17</f>
        <v>0.82758604771689936</v>
      </c>
      <c r="L16" s="94">
        <f>+'Grants Need-Based'!DN17/'Total State Aid'!AI17</f>
        <v>0.84283720411956942</v>
      </c>
      <c r="M16" s="93">
        <f>+'Grants Non Need-Based '!CT17/'Total State Aid'!O17</f>
        <v>0.12885405997722146</v>
      </c>
      <c r="N16" s="94">
        <f>+'Grants Non Need-Based '!CY17/'Total State Aid'!T17</f>
        <v>0.10296158691520936</v>
      </c>
      <c r="O16" s="94">
        <f>+'Grants Non Need-Based '!DD17/'Total State Aid'!Y17</f>
        <v>6.0132305492300205E-2</v>
      </c>
      <c r="P16" s="94">
        <f>+'Grants Non Need-Based '!DE17/'Total State Aid'!Z17</f>
        <v>5.3089220422215699E-2</v>
      </c>
      <c r="Q16" s="94">
        <f>+'Grants Non Need-Based '!DF17/'Total State Aid'!AA17</f>
        <v>4.9404659518758484E-2</v>
      </c>
      <c r="R16" s="94">
        <f>+'Grants Non Need-Based '!DI17/'Total State Aid'!AD17</f>
        <v>4.4372485211843345E-2</v>
      </c>
      <c r="S16" s="94">
        <f>+'Grants Non Need-Based '!DJ17/'Total State Aid'!AE17</f>
        <v>4.0345936517741966E-2</v>
      </c>
      <c r="T16" s="94">
        <f>+'Grants Non Need-Based '!DK17/'Total State Aid'!AF17</f>
        <v>3.8233420624247998E-2</v>
      </c>
      <c r="U16" s="94">
        <f>+'Grants Non Need-Based '!DL17/'Total State Aid'!AG17</f>
        <v>3.6474380550449215E-2</v>
      </c>
      <c r="V16" s="94">
        <f>+'Grants Non Need-Based '!DM17/'Total State Aid'!AH17</f>
        <v>0.10843157661237342</v>
      </c>
      <c r="W16" s="94">
        <f>+'Grants Non Need-Based '!DN17/'Total State Aid'!AI17</f>
        <v>0.1152509103528032</v>
      </c>
      <c r="X16" s="93">
        <f>+Other!O17/'Total State Aid'!O17</f>
        <v>0.59940404668215452</v>
      </c>
      <c r="Y16" s="94">
        <f>+Other!T17/'Total State Aid'!T17</f>
        <v>0.63950633100591459</v>
      </c>
      <c r="Z16" s="94">
        <f>+Other!Y17/'Total State Aid'!Y17</f>
        <v>0.6022663774612006</v>
      </c>
      <c r="AA16" s="94">
        <f>+Other!AD17/'Total State Aid'!AD17</f>
        <v>0.62820410060755683</v>
      </c>
      <c r="AB16" s="94">
        <f>+Other!AE17/'Total State Aid'!AE17</f>
        <v>0.65678882247133852</v>
      </c>
      <c r="AC16" s="94">
        <f>+Other!AF17/'Total State Aid'!AF17</f>
        <v>0.66201075801542919</v>
      </c>
      <c r="AD16" s="94">
        <f>+Other!AG17/'Total State Aid'!AG17</f>
        <v>0.68299653056468945</v>
      </c>
      <c r="AE16" s="94">
        <f>+Other!AH17/'Total State Aid'!AH17</f>
        <v>6.398237567072726E-2</v>
      </c>
      <c r="AF16" s="94">
        <f>+Other!AI17/'Total State Aid'!AI17</f>
        <v>4.1911885527627521E-2</v>
      </c>
      <c r="AG16" s="93">
        <f t="shared" si="2"/>
        <v>0.99999999999999989</v>
      </c>
      <c r="AH16" s="94">
        <f t="shared" si="3"/>
        <v>1</v>
      </c>
      <c r="AI16" s="94">
        <f t="shared" si="4"/>
        <v>1</v>
      </c>
      <c r="AJ16" s="94">
        <f t="shared" si="9"/>
        <v>1</v>
      </c>
      <c r="AK16" s="94">
        <f t="shared" si="10"/>
        <v>1</v>
      </c>
      <c r="AL16" s="94">
        <f t="shared" si="11"/>
        <v>1</v>
      </c>
      <c r="AM16" s="94">
        <f t="shared" si="12"/>
        <v>1</v>
      </c>
      <c r="AN16" s="94">
        <f t="shared" si="13"/>
        <v>1</v>
      </c>
      <c r="AO16" s="94">
        <f t="shared" si="14"/>
        <v>1.0000000000000002</v>
      </c>
    </row>
    <row r="17" spans="1:41">
      <c r="A17" s="87" t="s">
        <v>49</v>
      </c>
      <c r="B17" s="94">
        <f>+'Grants Need-Based'!CT18/'Total State Aid'!O18</f>
        <v>1</v>
      </c>
      <c r="C17" s="94">
        <f>+'Grants Need-Based'!CY18/'Total State Aid'!T18</f>
        <v>0.33743088991595832</v>
      </c>
      <c r="D17" s="94">
        <f>+'Grants Need-Based'!DD18/'Total State Aid'!Y18</f>
        <v>0.18380593716554586</v>
      </c>
      <c r="E17" s="94">
        <f>+'Grants Need-Based'!DE18/'Total State Aid'!Z18</f>
        <v>0.18795187178310827</v>
      </c>
      <c r="F17" s="94">
        <f>+'Grants Need-Based'!DF18/'Total State Aid'!AA18</f>
        <v>0.20461080689120595</v>
      </c>
      <c r="G17" s="94">
        <f>+'Grants Need-Based'!DI18/'Total State Aid'!AD18</f>
        <v>0.1561353628932674</v>
      </c>
      <c r="H17" s="94">
        <f>+'Grants Need-Based'!DJ18/'Total State Aid'!AE18</f>
        <v>9.7951033537072185E-2</v>
      </c>
      <c r="I17" s="94">
        <f>+'Grants Need-Based'!DK18/'Total State Aid'!AF18</f>
        <v>0.16733213943747083</v>
      </c>
      <c r="J17" s="94">
        <f>+'Grants Need-Based'!DL18/'Total State Aid'!AG18</f>
        <v>0.16855076590783319</v>
      </c>
      <c r="K17" s="94">
        <f>+'Grants Need-Based'!DM18/'Total State Aid'!AH18</f>
        <v>0.16815798615721861</v>
      </c>
      <c r="L17" s="94">
        <f>+'Grants Need-Based'!DN18/'Total State Aid'!AI18</f>
        <v>0.16809997526805043</v>
      </c>
      <c r="M17" s="93">
        <f>+'Grants Non Need-Based '!CT18/'Total State Aid'!O18</f>
        <v>0</v>
      </c>
      <c r="N17" s="94">
        <f>+'Grants Non Need-Based '!CY18/'Total State Aid'!T18</f>
        <v>0.6471309063190499</v>
      </c>
      <c r="O17" s="94">
        <f>+'Grants Non Need-Based '!DD18/'Total State Aid'!Y18</f>
        <v>0.81444074705863001</v>
      </c>
      <c r="P17" s="94">
        <f>+'Grants Non Need-Based '!DE18/'Total State Aid'!Z18</f>
        <v>0.81021301390735356</v>
      </c>
      <c r="Q17" s="94">
        <f>+'Grants Non Need-Based '!DF18/'Total State Aid'!AA18</f>
        <v>0.79403895681744296</v>
      </c>
      <c r="R17" s="94">
        <f>+'Grants Non Need-Based '!DI18/'Total State Aid'!AD18</f>
        <v>0.83047713130899392</v>
      </c>
      <c r="S17" s="94">
        <f>+'Grants Non Need-Based '!DJ18/'Total State Aid'!AE18</f>
        <v>0.48349978682320482</v>
      </c>
      <c r="T17" s="94">
        <f>+'Grants Non Need-Based '!DK18/'Total State Aid'!AF18</f>
        <v>0.82495536687463256</v>
      </c>
      <c r="U17" s="94">
        <f>+'Grants Non Need-Based '!DL18/'Total State Aid'!AG18</f>
        <v>0.82334151806102551</v>
      </c>
      <c r="V17" s="94">
        <f>+'Grants Non Need-Based '!DM18/'Total State Aid'!AH18</f>
        <v>0.82367411217769859</v>
      </c>
      <c r="W17" s="94">
        <f>+'Grants Non Need-Based '!DN18/'Total State Aid'!AI18</f>
        <v>0.82540928113791889</v>
      </c>
      <c r="X17" s="93">
        <f>+Other!O18/'Total State Aid'!O18</f>
        <v>0</v>
      </c>
      <c r="Y17" s="94">
        <f>+Other!T18/'Total State Aid'!T18</f>
        <v>1.5438203764991948E-2</v>
      </c>
      <c r="Z17" s="94">
        <f>+Other!Y18/'Total State Aid'!Y18</f>
        <v>1.7533157758239668E-3</v>
      </c>
      <c r="AA17" s="94">
        <f>+Other!AD18/'Total State Aid'!AD18</f>
        <v>1.3387505797738732E-2</v>
      </c>
      <c r="AB17" s="94">
        <f>+Other!AE18/'Total State Aid'!AE18</f>
        <v>0.41854917963972305</v>
      </c>
      <c r="AC17" s="94">
        <f>+Other!AF18/'Total State Aid'!AF18</f>
        <v>7.712493687896488E-3</v>
      </c>
      <c r="AD17" s="94">
        <f>+Other!AG18/'Total State Aid'!AG18</f>
        <v>8.1077160311413665E-3</v>
      </c>
      <c r="AE17" s="94">
        <f>+Other!AH18/'Total State Aid'!AH18</f>
        <v>8.1679016650828135E-3</v>
      </c>
      <c r="AF17" s="94">
        <f>+Other!AI18/'Total State Aid'!AI18</f>
        <v>6.4907435940306729E-3</v>
      </c>
      <c r="AG17" s="93">
        <f t="shared" si="2"/>
        <v>1</v>
      </c>
      <c r="AH17" s="94">
        <f t="shared" si="3"/>
        <v>1.0000000000000002</v>
      </c>
      <c r="AI17" s="94">
        <f t="shared" si="4"/>
        <v>0.99999999999999978</v>
      </c>
      <c r="AJ17" s="94">
        <f t="shared" si="9"/>
        <v>1.0000000000000002</v>
      </c>
      <c r="AK17" s="94">
        <f t="shared" si="10"/>
        <v>1</v>
      </c>
      <c r="AL17" s="94">
        <f t="shared" si="11"/>
        <v>0.99999999999999989</v>
      </c>
      <c r="AM17" s="94">
        <f t="shared" si="12"/>
        <v>1</v>
      </c>
      <c r="AN17" s="94">
        <f t="shared" si="13"/>
        <v>1</v>
      </c>
      <c r="AO17" s="94">
        <f t="shared" si="14"/>
        <v>1</v>
      </c>
    </row>
    <row r="18" spans="1:41">
      <c r="A18" s="87" t="s">
        <v>50</v>
      </c>
      <c r="B18" s="94">
        <f>+'Grants Need-Based'!CT19/'Total State Aid'!O19</f>
        <v>0.91305304093118156</v>
      </c>
      <c r="C18" s="94">
        <f>+'Grants Need-Based'!CY19/'Total State Aid'!T19</f>
        <v>0.93468242837106796</v>
      </c>
      <c r="D18" s="94">
        <f>+'Grants Need-Based'!DD19/'Total State Aid'!Y19</f>
        <v>0.24542906260850419</v>
      </c>
      <c r="E18" s="94">
        <f>+'Grants Need-Based'!DE19/'Total State Aid'!Z19</f>
        <v>0.26091264284113824</v>
      </c>
      <c r="F18" s="94">
        <f>+'Grants Need-Based'!DF19/'Total State Aid'!AA19</f>
        <v>0.23556234826471442</v>
      </c>
      <c r="G18" s="94">
        <f>+'Grants Need-Based'!DI19/'Total State Aid'!AD19</f>
        <v>0.2211132958166655</v>
      </c>
      <c r="H18" s="94">
        <f>+'Grants Need-Based'!DJ19/'Total State Aid'!AE19</f>
        <v>0.23860659123922229</v>
      </c>
      <c r="I18" s="94">
        <f>+'Grants Need-Based'!DK19/'Total State Aid'!AF19</f>
        <v>0.23850277284464447</v>
      </c>
      <c r="J18" s="94">
        <f>+'Grants Need-Based'!DL19/'Total State Aid'!AG19</f>
        <v>0.2393166338978264</v>
      </c>
      <c r="K18" s="94">
        <f>+'Grants Need-Based'!DM19/'Total State Aid'!AH19</f>
        <v>0.26436993259012087</v>
      </c>
      <c r="L18" s="94">
        <f>+'Grants Need-Based'!DN19/'Total State Aid'!AI19</f>
        <v>0.27419148558270418</v>
      </c>
      <c r="M18" s="93">
        <f>+'Grants Non Need-Based '!CT19/'Total State Aid'!O19</f>
        <v>3.7301437764827382E-2</v>
      </c>
      <c r="N18" s="94">
        <f>+'Grants Non Need-Based '!CY19/'Total State Aid'!T19</f>
        <v>1.4901823281907433E-2</v>
      </c>
      <c r="O18" s="94">
        <f>+'Grants Non Need-Based '!DD19/'Total State Aid'!Y19</f>
        <v>0.74915948951161471</v>
      </c>
      <c r="P18" s="94">
        <f>+'Grants Non Need-Based '!DE19/'Total State Aid'!Z19</f>
        <v>0.73374131749943983</v>
      </c>
      <c r="Q18" s="94">
        <f>+'Grants Non Need-Based '!DF19/'Total State Aid'!AA19</f>
        <v>0.75792797212473428</v>
      </c>
      <c r="R18" s="94">
        <f>+'Grants Non Need-Based '!DI19/'Total State Aid'!AD19</f>
        <v>0.77377178113770417</v>
      </c>
      <c r="S18" s="94">
        <f>+'Grants Non Need-Based '!DJ19/'Total State Aid'!AE19</f>
        <v>0.75718493050280522</v>
      </c>
      <c r="T18" s="94">
        <f>+'Grants Non Need-Based '!DK19/'Total State Aid'!AF19</f>
        <v>0.75798350457056307</v>
      </c>
      <c r="U18" s="94">
        <f>+'Grants Non Need-Based '!DL19/'Total State Aid'!AG19</f>
        <v>0.75757123149284689</v>
      </c>
      <c r="V18" s="94">
        <f>+'Grants Non Need-Based '!DM19/'Total State Aid'!AH19</f>
        <v>0.6960005331293494</v>
      </c>
      <c r="W18" s="94">
        <f>+'Grants Non Need-Based '!DN19/'Total State Aid'!AI19</f>
        <v>0.66567351177336176</v>
      </c>
      <c r="X18" s="93">
        <f>+Other!O19/'Total State Aid'!O19</f>
        <v>4.9645521303991046E-2</v>
      </c>
      <c r="Y18" s="94">
        <f>+Other!T19/'Total State Aid'!T19</f>
        <v>5.0415748347024648E-2</v>
      </c>
      <c r="Z18" s="94">
        <f>+Other!Y19/'Total State Aid'!Y19</f>
        <v>5.4114478798811018E-3</v>
      </c>
      <c r="AA18" s="94">
        <f>+Other!AD19/'Total State Aid'!AD19</f>
        <v>5.1149230456302109E-3</v>
      </c>
      <c r="AB18" s="94">
        <f>+Other!AE19/'Total State Aid'!AE19</f>
        <v>4.2084782579725208E-3</v>
      </c>
      <c r="AC18" s="94">
        <f>+Other!AF19/'Total State Aid'!AF19</f>
        <v>3.5137225847923907E-3</v>
      </c>
      <c r="AD18" s="94">
        <f>+Other!AG19/'Total State Aid'!AG19</f>
        <v>3.1121346093266273E-3</v>
      </c>
      <c r="AE18" s="94">
        <f>+Other!AH19/'Total State Aid'!AH19</f>
        <v>3.9629534280529816E-2</v>
      </c>
      <c r="AF18" s="94">
        <f>+Other!AI19/'Total State Aid'!AI19</f>
        <v>6.0135002643934066E-2</v>
      </c>
      <c r="AG18" s="93">
        <f t="shared" si="2"/>
        <v>1</v>
      </c>
      <c r="AH18" s="94">
        <f t="shared" si="3"/>
        <v>1</v>
      </c>
      <c r="AI18" s="94">
        <f t="shared" si="4"/>
        <v>1</v>
      </c>
      <c r="AJ18" s="94">
        <f t="shared" si="9"/>
        <v>0.99999999999999989</v>
      </c>
      <c r="AK18" s="94">
        <f t="shared" si="10"/>
        <v>1</v>
      </c>
      <c r="AL18" s="94">
        <f t="shared" si="11"/>
        <v>1</v>
      </c>
      <c r="AM18" s="94">
        <f t="shared" si="12"/>
        <v>0.99999999999999989</v>
      </c>
      <c r="AN18" s="94">
        <f t="shared" si="13"/>
        <v>1</v>
      </c>
      <c r="AO18" s="94">
        <f t="shared" si="14"/>
        <v>1</v>
      </c>
    </row>
    <row r="19" spans="1:41">
      <c r="A19" s="87" t="s">
        <v>51</v>
      </c>
      <c r="B19" s="94">
        <f>+'Grants Need-Based'!CT20/'Total State Aid'!O20</f>
        <v>0.14844215640233857</v>
      </c>
      <c r="C19" s="94">
        <f>+'Grants Need-Based'!CY20/'Total State Aid'!T20</f>
        <v>0.59735329303882534</v>
      </c>
      <c r="D19" s="94">
        <f>+'Grants Need-Based'!DD20/'Total State Aid'!Y20</f>
        <v>0.73131690648442305</v>
      </c>
      <c r="E19" s="94">
        <f>+'Grants Need-Based'!DE20/'Total State Aid'!Z20</f>
        <v>0.76938228444897083</v>
      </c>
      <c r="F19" s="94">
        <f>+'Grants Need-Based'!DF20/'Total State Aid'!AA20</f>
        <v>0.76086921516215256</v>
      </c>
      <c r="G19" s="94">
        <f>+'Grants Need-Based'!DI20/'Total State Aid'!AD20</f>
        <v>0.79883580540834087</v>
      </c>
      <c r="H19" s="94">
        <f>+'Grants Need-Based'!DJ20/'Total State Aid'!AE20</f>
        <v>0.80897219736718018</v>
      </c>
      <c r="I19" s="94">
        <f>+'Grants Need-Based'!DK20/'Total State Aid'!AF20</f>
        <v>0.82427387063408963</v>
      </c>
      <c r="J19" s="94">
        <f>+'Grants Need-Based'!DL20/'Total State Aid'!AG20</f>
        <v>0.80648782580064626</v>
      </c>
      <c r="K19" s="94">
        <f>+'Grants Need-Based'!DM20/'Total State Aid'!AH20</f>
        <v>0.81384443068843415</v>
      </c>
      <c r="L19" s="94">
        <f>+'Grants Need-Based'!DN20/'Total State Aid'!AI20</f>
        <v>0.80057310819017669</v>
      </c>
      <c r="M19" s="93">
        <f>+'Grants Non Need-Based '!CT20/'Total State Aid'!O20</f>
        <v>0</v>
      </c>
      <c r="N19" s="94">
        <f>+'Grants Non Need-Based '!CY20/'Total State Aid'!T20</f>
        <v>6.4533728890139213E-3</v>
      </c>
      <c r="O19" s="94">
        <f>+'Grants Non Need-Based '!DD20/'Total State Aid'!Y20</f>
        <v>0</v>
      </c>
      <c r="P19" s="94">
        <f>+'Grants Non Need-Based '!DE20/'Total State Aid'!Z20</f>
        <v>0</v>
      </c>
      <c r="Q19" s="94">
        <f>+'Grants Non Need-Based '!DF20/'Total State Aid'!AA20</f>
        <v>0</v>
      </c>
      <c r="R19" s="94">
        <f>+'Grants Non Need-Based '!DI20/'Total State Aid'!AD20</f>
        <v>0</v>
      </c>
      <c r="S19" s="94">
        <f>+'Grants Non Need-Based '!DJ20/'Total State Aid'!AE20</f>
        <v>0</v>
      </c>
      <c r="T19" s="94">
        <f>+'Grants Non Need-Based '!DK20/'Total State Aid'!AF20</f>
        <v>0</v>
      </c>
      <c r="U19" s="94">
        <f>+'Grants Non Need-Based '!DL20/'Total State Aid'!AG20</f>
        <v>0</v>
      </c>
      <c r="V19" s="94">
        <f>+'Grants Non Need-Based '!DM20/'Total State Aid'!AH20</f>
        <v>0</v>
      </c>
      <c r="W19" s="94">
        <f>+'Grants Non Need-Based '!DN20/'Total State Aid'!AI20</f>
        <v>0</v>
      </c>
      <c r="X19" s="93">
        <f>+Other!O20/'Total State Aid'!O20</f>
        <v>0.8515578435976614</v>
      </c>
      <c r="Y19" s="94">
        <f>+Other!T20/'Total State Aid'!T20</f>
        <v>0.39619333407216073</v>
      </c>
      <c r="Z19" s="94">
        <f>+Other!Y20/'Total State Aid'!Y20</f>
        <v>0.26868309351557701</v>
      </c>
      <c r="AA19" s="94">
        <f>+Other!AD20/'Total State Aid'!AD20</f>
        <v>0.20116419459165907</v>
      </c>
      <c r="AB19" s="94">
        <f>+Other!AE20/'Total State Aid'!AE20</f>
        <v>0.19102780263281985</v>
      </c>
      <c r="AC19" s="94">
        <f>+Other!AF20/'Total State Aid'!AF20</f>
        <v>0.17572612936591039</v>
      </c>
      <c r="AD19" s="94">
        <f>+Other!AG20/'Total State Aid'!AG20</f>
        <v>0.19351217419935376</v>
      </c>
      <c r="AE19" s="94">
        <f>+Other!AH20/'Total State Aid'!AH20</f>
        <v>0.18615556931156574</v>
      </c>
      <c r="AF19" s="94">
        <f>+Other!AI20/'Total State Aid'!AI20</f>
        <v>0.1994268918098232</v>
      </c>
      <c r="AG19" s="93">
        <f t="shared" si="2"/>
        <v>1</v>
      </c>
      <c r="AH19" s="94">
        <f t="shared" si="3"/>
        <v>1</v>
      </c>
      <c r="AI19" s="94">
        <f t="shared" si="4"/>
        <v>1</v>
      </c>
      <c r="AJ19" s="94">
        <f t="shared" si="9"/>
        <v>1</v>
      </c>
      <c r="AK19" s="94">
        <f t="shared" si="10"/>
        <v>1</v>
      </c>
      <c r="AL19" s="94">
        <f t="shared" si="11"/>
        <v>1</v>
      </c>
      <c r="AM19" s="94">
        <f t="shared" si="12"/>
        <v>1</v>
      </c>
      <c r="AN19" s="94">
        <f t="shared" si="13"/>
        <v>0.99999999999999989</v>
      </c>
      <c r="AO19" s="94">
        <f t="shared" si="14"/>
        <v>0.99999999999999989</v>
      </c>
    </row>
    <row r="20" spans="1:41">
      <c r="A20" s="87" t="s">
        <v>52</v>
      </c>
      <c r="B20" s="94">
        <f>+'Grants Need-Based'!CT21/'Total State Aid'!O21</f>
        <v>0.6365120715903736</v>
      </c>
      <c r="C20" s="94">
        <f>+'Grants Need-Based'!CY21/'Total State Aid'!T21</f>
        <v>0.55978960676130207</v>
      </c>
      <c r="D20" s="94">
        <f>+'Grants Need-Based'!DD21/'Total State Aid'!Y21</f>
        <v>0.40166691437019419</v>
      </c>
      <c r="E20" s="94">
        <f>+'Grants Need-Based'!DE21/'Total State Aid'!Z21</f>
        <v>0.42454505265141357</v>
      </c>
      <c r="F20" s="94">
        <f>+'Grants Need-Based'!DF21/'Total State Aid'!AA21</f>
        <v>0.42768876782783766</v>
      </c>
      <c r="G20" s="94">
        <f>+'Grants Need-Based'!DI21/'Total State Aid'!AD21</f>
        <v>0.34456169306909801</v>
      </c>
      <c r="H20" s="94">
        <f>+'Grants Need-Based'!DJ21/'Total State Aid'!AE21</f>
        <v>0.36610100345146507</v>
      </c>
      <c r="I20" s="94">
        <f>+'Grants Need-Based'!DK21/'Total State Aid'!AF21</f>
        <v>0.34613964979805883</v>
      </c>
      <c r="J20" s="94">
        <f>+'Grants Need-Based'!DL21/'Total State Aid'!AG21</f>
        <v>0.52527212595719619</v>
      </c>
      <c r="K20" s="94">
        <f>+'Grants Need-Based'!DM21/'Total State Aid'!AH21</f>
        <v>0.52854869104575375</v>
      </c>
      <c r="L20" s="94">
        <f>+'Grants Need-Based'!DN21/'Total State Aid'!AI21</f>
        <v>0.52955991107240141</v>
      </c>
      <c r="M20" s="93">
        <f>+'Grants Non Need-Based '!CT21/'Total State Aid'!O21</f>
        <v>0.36088107455637064</v>
      </c>
      <c r="N20" s="94">
        <f>+'Grants Non Need-Based '!CY21/'Total State Aid'!T21</f>
        <v>0.42811434279426569</v>
      </c>
      <c r="O20" s="94">
        <f>+'Grants Non Need-Based '!DD21/'Total State Aid'!Y21</f>
        <v>0.27278807268403721</v>
      </c>
      <c r="P20" s="94">
        <f>+'Grants Non Need-Based '!DE21/'Total State Aid'!Z21</f>
        <v>0.29085104686809243</v>
      </c>
      <c r="Q20" s="94">
        <f>+'Grants Non Need-Based '!DF21/'Total State Aid'!AA21</f>
        <v>0.27225540122151348</v>
      </c>
      <c r="R20" s="94">
        <f>+'Grants Non Need-Based '!DI21/'Total State Aid'!AD21</f>
        <v>0.18106433409371711</v>
      </c>
      <c r="S20" s="94">
        <f>+'Grants Non Need-Based '!DJ21/'Total State Aid'!AE21</f>
        <v>0.18943420543287029</v>
      </c>
      <c r="T20" s="94">
        <f>+'Grants Non Need-Based '!DK21/'Total State Aid'!AF21</f>
        <v>0.19255346158851805</v>
      </c>
      <c r="U20" s="94">
        <f>+'Grants Non Need-Based '!DL21/'Total State Aid'!AG21</f>
        <v>0.13063119723149419</v>
      </c>
      <c r="V20" s="94">
        <f>+'Grants Non Need-Based '!DM21/'Total State Aid'!AH21</f>
        <v>0.13107983695099135</v>
      </c>
      <c r="W20" s="94">
        <f>+'Grants Non Need-Based '!DN21/'Total State Aid'!AI21</f>
        <v>0.13005987830125226</v>
      </c>
      <c r="X20" s="93">
        <f>+Other!O21/'Total State Aid'!O21</f>
        <v>2.6068538532558515E-3</v>
      </c>
      <c r="Y20" s="94">
        <f>+Other!T21/'Total State Aid'!T21</f>
        <v>1.2096050444432306E-2</v>
      </c>
      <c r="Z20" s="94">
        <f>+Other!Y21/'Total State Aid'!Y21</f>
        <v>0.32554501294576854</v>
      </c>
      <c r="AA20" s="94">
        <f>+Other!AD21/'Total State Aid'!AD21</f>
        <v>0.47437397283718491</v>
      </c>
      <c r="AB20" s="94">
        <f>+Other!AE21/'Total State Aid'!AE21</f>
        <v>0.44446479111566467</v>
      </c>
      <c r="AC20" s="94">
        <f>+Other!AF21/'Total State Aid'!AF21</f>
        <v>0.46130688861342306</v>
      </c>
      <c r="AD20" s="94">
        <f>+Other!AG21/'Total State Aid'!AG21</f>
        <v>0.34409667681130968</v>
      </c>
      <c r="AE20" s="94">
        <f>+Other!AH21/'Total State Aid'!AH21</f>
        <v>0.3403714720032549</v>
      </c>
      <c r="AF20" s="94">
        <f>+Other!AI21/'Total State Aid'!AI21</f>
        <v>0.34038021062634621</v>
      </c>
      <c r="AG20" s="93">
        <f t="shared" si="2"/>
        <v>1</v>
      </c>
      <c r="AH20" s="94">
        <f t="shared" si="3"/>
        <v>1</v>
      </c>
      <c r="AI20" s="94">
        <f t="shared" si="4"/>
        <v>0.99999999999999989</v>
      </c>
      <c r="AJ20" s="94">
        <f t="shared" si="9"/>
        <v>1</v>
      </c>
      <c r="AK20" s="94">
        <f t="shared" si="10"/>
        <v>1</v>
      </c>
      <c r="AL20" s="94">
        <f t="shared" si="11"/>
        <v>1</v>
      </c>
      <c r="AM20" s="94">
        <f t="shared" si="12"/>
        <v>1</v>
      </c>
      <c r="AN20" s="94">
        <f t="shared" si="13"/>
        <v>1</v>
      </c>
      <c r="AO20" s="94">
        <f t="shared" si="14"/>
        <v>1</v>
      </c>
    </row>
    <row r="21" spans="1:41">
      <c r="A21" s="96" t="s">
        <v>53</v>
      </c>
      <c r="B21" s="98">
        <f>+'Grants Need-Based'!CT22/'Total State Aid'!O22</f>
        <v>0.43533477604058324</v>
      </c>
      <c r="C21" s="98">
        <f>+'Grants Need-Based'!CY22/'Total State Aid'!T22</f>
        <v>0.48273490163708899</v>
      </c>
      <c r="D21" s="98">
        <f>+'Grants Need-Based'!DD22/'Total State Aid'!Y22</f>
        <v>0.32785137652659907</v>
      </c>
      <c r="E21" s="98">
        <f>+'Grants Need-Based'!DE22/'Total State Aid'!Z22</f>
        <v>0.33429146584596325</v>
      </c>
      <c r="F21" s="98">
        <f>+'Grants Need-Based'!DF22/'Total State Aid'!AA22</f>
        <v>0.35354705128879998</v>
      </c>
      <c r="G21" s="98">
        <f>+'Grants Need-Based'!DI22/'Total State Aid'!AD22</f>
        <v>0.33806885123784763</v>
      </c>
      <c r="H21" s="98">
        <f>+'Grants Need-Based'!DJ22/'Total State Aid'!AE22</f>
        <v>0.30811693836572168</v>
      </c>
      <c r="I21" s="98">
        <f>+'Grants Need-Based'!DK22/'Total State Aid'!AF22</f>
        <v>0.32149531387150665</v>
      </c>
      <c r="J21" s="98">
        <f>+'Grants Need-Based'!DL22/'Total State Aid'!AG22</f>
        <v>0.31095971645681347</v>
      </c>
      <c r="K21" s="98">
        <f>+'Grants Need-Based'!DM22/'Total State Aid'!AH22</f>
        <v>0.30147922537624405</v>
      </c>
      <c r="L21" s="98">
        <f>+'Grants Need-Based'!DN22/'Total State Aid'!AI22</f>
        <v>0.29652664600106504</v>
      </c>
      <c r="M21" s="97">
        <f>+'Grants Non Need-Based '!CT22/'Total State Aid'!O22</f>
        <v>0</v>
      </c>
      <c r="N21" s="98">
        <f>+'Grants Non Need-Based '!CY22/'Total State Aid'!T22</f>
        <v>0</v>
      </c>
      <c r="O21" s="98">
        <f>+'Grants Non Need-Based '!DD22/'Total State Aid'!Y22</f>
        <v>0.4796625957358725</v>
      </c>
      <c r="P21" s="98">
        <f>+'Grants Non Need-Based '!DE22/'Total State Aid'!Z22</f>
        <v>0.46500396802353722</v>
      </c>
      <c r="Q21" s="98">
        <f>+'Grants Non Need-Based '!DF22/'Total State Aid'!AA22</f>
        <v>0.467731747117966</v>
      </c>
      <c r="R21" s="98">
        <f>+'Grants Non Need-Based '!DI22/'Total State Aid'!AD22</f>
        <v>0.45369758055321185</v>
      </c>
      <c r="S21" s="98">
        <f>+'Grants Non Need-Based '!DJ22/'Total State Aid'!AE22</f>
        <v>0.41524691147942688</v>
      </c>
      <c r="T21" s="98">
        <f>+'Grants Non Need-Based '!DK22/'Total State Aid'!AF22</f>
        <v>0.42221168275901122</v>
      </c>
      <c r="U21" s="98">
        <f>+'Grants Non Need-Based '!DL22/'Total State Aid'!AG22</f>
        <v>0.41266842272206983</v>
      </c>
      <c r="V21" s="98">
        <f>+'Grants Non Need-Based '!DM22/'Total State Aid'!AH22</f>
        <v>0.41308658397584985</v>
      </c>
      <c r="W21" s="98">
        <f>+'Grants Non Need-Based '!DN22/'Total State Aid'!AI22</f>
        <v>0.39145885828394933</v>
      </c>
      <c r="X21" s="97">
        <f>+Other!O22/'Total State Aid'!O22</f>
        <v>0.56466522395941665</v>
      </c>
      <c r="Y21" s="98">
        <f>+Other!T22/'Total State Aid'!T22</f>
        <v>0.51726509836291101</v>
      </c>
      <c r="Z21" s="98">
        <f>+Other!Y22/'Total State Aid'!Y22</f>
        <v>0.19248602773752846</v>
      </c>
      <c r="AA21" s="98">
        <f>+Other!AD22/'Total State Aid'!AD22</f>
        <v>0.20823356820894048</v>
      </c>
      <c r="AB21" s="98">
        <f>+Other!AE22/'Total State Aid'!AE22</f>
        <v>0.27663615015485149</v>
      </c>
      <c r="AC21" s="98">
        <f>+Other!AF22/'Total State Aid'!AF22</f>
        <v>0.25629300336948213</v>
      </c>
      <c r="AD21" s="98">
        <f>+Other!AG22/'Total State Aid'!AG22</f>
        <v>0.27637186082111681</v>
      </c>
      <c r="AE21" s="98">
        <f>+Other!AH22/'Total State Aid'!AH22</f>
        <v>0.28543419064790609</v>
      </c>
      <c r="AF21" s="98">
        <f>+Other!AI22/'Total State Aid'!AI22</f>
        <v>0.31201449571498574</v>
      </c>
      <c r="AG21" s="97">
        <f t="shared" si="2"/>
        <v>0.99999999999999989</v>
      </c>
      <c r="AH21" s="98">
        <f t="shared" si="3"/>
        <v>1</v>
      </c>
      <c r="AI21" s="98">
        <f t="shared" si="4"/>
        <v>1</v>
      </c>
      <c r="AJ21" s="98">
        <f t="shared" si="9"/>
        <v>1</v>
      </c>
      <c r="AK21" s="98">
        <f t="shared" si="10"/>
        <v>1</v>
      </c>
      <c r="AL21" s="98">
        <f t="shared" si="11"/>
        <v>1</v>
      </c>
      <c r="AM21" s="98">
        <f t="shared" si="12"/>
        <v>1</v>
      </c>
      <c r="AN21" s="98">
        <f t="shared" si="13"/>
        <v>1</v>
      </c>
      <c r="AO21" s="98">
        <f t="shared" si="14"/>
        <v>1</v>
      </c>
    </row>
    <row r="22" spans="1:41">
      <c r="A22" s="87" t="s">
        <v>54</v>
      </c>
      <c r="B22" s="94">
        <f>+'Grants Need-Based'!CT23/'Total State Aid'!O23</f>
        <v>0.28483264896165805</v>
      </c>
      <c r="C22" s="94">
        <f>+'Grants Need-Based'!CY23/'Total State Aid'!T23</f>
        <v>0.82554212502362723</v>
      </c>
      <c r="D22" s="94">
        <f>+'Grants Need-Based'!DD23/'Total State Aid'!Y23</f>
        <v>0.73786051715564394</v>
      </c>
      <c r="E22" s="94">
        <f>+'Grants Need-Based'!DE23/'Total State Aid'!Z23</f>
        <v>0.74739394895209421</v>
      </c>
      <c r="F22" s="94">
        <f>+'Grants Need-Based'!DF23/'Total State Aid'!AA23</f>
        <v>0.76010117763901797</v>
      </c>
      <c r="G22" s="94">
        <f>+'Grants Need-Based'!DI23/'Total State Aid'!AD23</f>
        <v>0.85027280737427136</v>
      </c>
      <c r="H22" s="94">
        <f>+'Grants Need-Based'!DJ23/'Total State Aid'!AE23</f>
        <v>0.83771208909864836</v>
      </c>
      <c r="I22" s="94">
        <f>+'Grants Need-Based'!DK23/'Total State Aid'!AF23</f>
        <v>0.8463529216904887</v>
      </c>
      <c r="J22" s="94">
        <f>+'Grants Need-Based'!DL23/'Total State Aid'!AG23</f>
        <v>0.85349205542452344</v>
      </c>
      <c r="K22" s="94">
        <f>+'Grants Need-Based'!DM23/'Total State Aid'!AH23</f>
        <v>0.85203645610576939</v>
      </c>
      <c r="L22" s="94">
        <f>+'Grants Need-Based'!DN23/'Total State Aid'!AI23</f>
        <v>0.84466536824457528</v>
      </c>
      <c r="M22" s="93">
        <f>+'Grants Non Need-Based '!CT23/'Total State Aid'!O23</f>
        <v>1.650401179947792E-2</v>
      </c>
      <c r="N22" s="94">
        <f>+'Grants Non Need-Based '!CY23/'Total State Aid'!T23</f>
        <v>2.6967815843215649E-2</v>
      </c>
      <c r="O22" s="94">
        <f>+'Grants Non Need-Based '!DD23/'Total State Aid'!Y23</f>
        <v>6.219964303473751E-2</v>
      </c>
      <c r="P22" s="94">
        <f>+'Grants Non Need-Based '!DE23/'Total State Aid'!Z23</f>
        <v>5.8403676013119181E-2</v>
      </c>
      <c r="Q22" s="94">
        <f>+'Grants Non Need-Based '!DF23/'Total State Aid'!AA23</f>
        <v>5.8522653675673789E-2</v>
      </c>
      <c r="R22" s="94">
        <f>+'Grants Non Need-Based '!DI23/'Total State Aid'!AD23</f>
        <v>4.8221668700013556E-2</v>
      </c>
      <c r="S22" s="94">
        <f>+'Grants Non Need-Based '!DJ23/'Total State Aid'!AE23</f>
        <v>5.0411161681942047E-2</v>
      </c>
      <c r="T22" s="94">
        <f>+'Grants Non Need-Based '!DK23/'Total State Aid'!AF23</f>
        <v>4.7685120703479369E-2</v>
      </c>
      <c r="U22" s="94">
        <f>+'Grants Non Need-Based '!DL23/'Total State Aid'!AG23</f>
        <v>4.6900949337963495E-2</v>
      </c>
      <c r="V22" s="94">
        <f>+'Grants Non Need-Based '!DM23/'Total State Aid'!AH23</f>
        <v>4.4829166472797492E-2</v>
      </c>
      <c r="W22" s="94">
        <f>+'Grants Non Need-Based '!DN23/'Total State Aid'!AI23</f>
        <v>5.0941903131690378E-2</v>
      </c>
      <c r="X22" s="93">
        <f>+Other!O23/'Total State Aid'!O23</f>
        <v>0.69866333923886403</v>
      </c>
      <c r="Y22" s="94">
        <f>+Other!T23/'Total State Aid'!T23</f>
        <v>0.14749005913315716</v>
      </c>
      <c r="Z22" s="94">
        <f>+Other!Y23/'Total State Aid'!Y23</f>
        <v>0.19993983980961857</v>
      </c>
      <c r="AA22" s="94">
        <f>+Other!AD23/'Total State Aid'!AD23</f>
        <v>0.10150552392571507</v>
      </c>
      <c r="AB22" s="94">
        <f>+Other!AE23/'Total State Aid'!AE23</f>
        <v>0.11187674921940959</v>
      </c>
      <c r="AC22" s="94">
        <f>+Other!AF23/'Total State Aid'!AF23</f>
        <v>0.10596195760603197</v>
      </c>
      <c r="AD22" s="94">
        <f>+Other!AG23/'Total State Aid'!AG23</f>
        <v>9.9606995237513068E-2</v>
      </c>
      <c r="AE22" s="94">
        <f>+Other!AH23/'Total State Aid'!AH23</f>
        <v>0.10313437742143315</v>
      </c>
      <c r="AF22" s="94">
        <f>+Other!AI23/'Total State Aid'!AI23</f>
        <v>0.10439272862373426</v>
      </c>
      <c r="AG22" s="93">
        <f t="shared" si="2"/>
        <v>1</v>
      </c>
      <c r="AH22" s="94">
        <f t="shared" si="3"/>
        <v>1</v>
      </c>
      <c r="AI22" s="94">
        <f t="shared" si="4"/>
        <v>1</v>
      </c>
      <c r="AJ22" s="94">
        <f t="shared" si="9"/>
        <v>1</v>
      </c>
      <c r="AK22" s="94">
        <f t="shared" si="10"/>
        <v>1</v>
      </c>
      <c r="AL22" s="94">
        <f t="shared" si="11"/>
        <v>1</v>
      </c>
      <c r="AM22" s="94">
        <f t="shared" si="12"/>
        <v>1</v>
      </c>
      <c r="AN22" s="94">
        <f t="shared" si="13"/>
        <v>1</v>
      </c>
      <c r="AO22" s="94">
        <f t="shared" si="14"/>
        <v>0.99999999999999989</v>
      </c>
    </row>
    <row r="23" spans="1:41">
      <c r="A23" s="99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3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3"/>
      <c r="Y23" s="94"/>
      <c r="Z23" s="94"/>
      <c r="AA23" s="94"/>
      <c r="AB23" s="94"/>
      <c r="AC23" s="94"/>
      <c r="AD23" s="94"/>
      <c r="AE23" s="94"/>
      <c r="AF23" s="94"/>
      <c r="AG23" s="93"/>
      <c r="AH23" s="94"/>
      <c r="AI23" s="94"/>
      <c r="AJ23" s="94"/>
      <c r="AK23" s="94"/>
      <c r="AL23" s="94"/>
      <c r="AM23" s="94"/>
      <c r="AN23" s="94"/>
      <c r="AO23" s="94"/>
    </row>
    <row r="24" spans="1:41">
      <c r="A24" s="87" t="s">
        <v>55</v>
      </c>
      <c r="B24" s="94">
        <f>+'Grants Need-Based'!CT25/'Total State Aid'!O25</f>
        <v>3.247591678255207E-3</v>
      </c>
      <c r="C24" s="94">
        <f>+'Grants Need-Based'!CY25/'Total State Aid'!T25</f>
        <v>0</v>
      </c>
      <c r="D24" s="94">
        <f>+'Grants Need-Based'!DD25/'Total State Aid'!Y25</f>
        <v>7.4637303393645009E-3</v>
      </c>
      <c r="E24" s="94">
        <f>+'Grants Need-Based'!DE25/'Total State Aid'!Z25</f>
        <v>8.0744293668201204E-3</v>
      </c>
      <c r="F24" s="94">
        <f>+'Grants Need-Based'!DF25/'Total State Aid'!AA25</f>
        <v>1.9883534984762998E-2</v>
      </c>
      <c r="G24" s="94">
        <f>+'Grants Need-Based'!DI25/'Total State Aid'!AD25</f>
        <v>0.18435972629521019</v>
      </c>
      <c r="H24" s="94">
        <f>+'Grants Need-Based'!DJ25/'Total State Aid'!AE25</f>
        <v>0.23329390892962742</v>
      </c>
      <c r="I24" s="94">
        <f>+'Grants Need-Based'!DK25/'Total State Aid'!AF25</f>
        <v>0.21324416182436137</v>
      </c>
      <c r="J24" s="94">
        <f>+'Grants Need-Based'!DL25/'Total State Aid'!AG25</f>
        <v>0.26090268520281851</v>
      </c>
      <c r="K24" s="94">
        <f>+'Grants Need-Based'!DM25/'Total State Aid'!AH25</f>
        <v>0.22565319874273329</v>
      </c>
      <c r="L24" s="94">
        <f>+'Grants Need-Based'!DN25/'Total State Aid'!AI25</f>
        <v>0.22710023534074866</v>
      </c>
      <c r="M24" s="93">
        <f>+'Grants Non Need-Based '!CT25/'Total State Aid'!O25</f>
        <v>2.2916104659237446E-2</v>
      </c>
      <c r="N24" s="94">
        <f>+'Grants Non Need-Based '!CY25/'Total State Aid'!T25</f>
        <v>5.6483878559661096E-2</v>
      </c>
      <c r="O24" s="94">
        <f>+'Grants Non Need-Based '!DD25/'Total State Aid'!Y25</f>
        <v>0</v>
      </c>
      <c r="P24" s="94">
        <f>+'Grants Non Need-Based '!DE25/'Total State Aid'!Z25</f>
        <v>0</v>
      </c>
      <c r="Q24" s="94">
        <f>+'Grants Non Need-Based '!DF25/'Total State Aid'!AA25</f>
        <v>0</v>
      </c>
      <c r="R24" s="94">
        <f>+'Grants Non Need-Based '!DI25/'Total State Aid'!AD25</f>
        <v>0.19524275008145978</v>
      </c>
      <c r="S24" s="94">
        <f>+'Grants Non Need-Based '!DJ25/'Total State Aid'!AE25</f>
        <v>0.33441750443524543</v>
      </c>
      <c r="T24" s="94">
        <f>+'Grants Non Need-Based '!DK25/'Total State Aid'!AF25</f>
        <v>0.42890033987501369</v>
      </c>
      <c r="U24" s="94">
        <f>+'Grants Non Need-Based '!DL25/'Total State Aid'!AG25</f>
        <v>0.47976575890306605</v>
      </c>
      <c r="V24" s="94">
        <f>+'Grants Non Need-Based '!DM25/'Total State Aid'!AH25</f>
        <v>0.47155039061121123</v>
      </c>
      <c r="W24" s="94">
        <f>+'Grants Non Need-Based '!DN25/'Total State Aid'!AI25</f>
        <v>0.44651129883320534</v>
      </c>
      <c r="X24" s="93">
        <f>+Other!O25/'Total State Aid'!O25</f>
        <v>0.97383630366250729</v>
      </c>
      <c r="Y24" s="94">
        <f>+Other!T25/'Total State Aid'!T25</f>
        <v>0.94351612144033881</v>
      </c>
      <c r="Z24" s="94">
        <f>+Other!Y25/'Total State Aid'!Y25</f>
        <v>0.99253626966063546</v>
      </c>
      <c r="AA24" s="94">
        <f>+Other!AD25/'Total State Aid'!AD25</f>
        <v>0.62039752362333012</v>
      </c>
      <c r="AB24" s="94">
        <f>+Other!AE25/'Total State Aid'!AE25</f>
        <v>0.43228858663512709</v>
      </c>
      <c r="AC24" s="94">
        <f>+Other!AF25/'Total State Aid'!AF25</f>
        <v>0.35785549830062491</v>
      </c>
      <c r="AD24" s="94">
        <f>+Other!AG25/'Total State Aid'!AG25</f>
        <v>0.25933155589411538</v>
      </c>
      <c r="AE24" s="94">
        <f>+Other!AH25/'Total State Aid'!AH25</f>
        <v>0.30279641064605545</v>
      </c>
      <c r="AF24" s="94">
        <f>+Other!AI25/'Total State Aid'!AI25</f>
        <v>0.32638846582604603</v>
      </c>
      <c r="AG24" s="93">
        <f t="shared" ref="AG24:AG37" si="15">+B24+M24+X24</f>
        <v>0.99999999999999989</v>
      </c>
      <c r="AH24" s="94">
        <f t="shared" ref="AH24:AH37" si="16">+C24+N24+Y24</f>
        <v>0.99999999999999989</v>
      </c>
      <c r="AI24" s="94">
        <f t="shared" ref="AI24:AI37" si="17">+D24+O24+Z24</f>
        <v>1</v>
      </c>
      <c r="AJ24" s="94">
        <f t="shared" ref="AJ24:AJ35" si="18">+G24+R24+AA24</f>
        <v>1</v>
      </c>
      <c r="AK24" s="94">
        <f t="shared" ref="AK24:AK35" si="19">+H24+S24+AB24</f>
        <v>1</v>
      </c>
      <c r="AL24" s="94">
        <f t="shared" ref="AL24:AL35" si="20">+I24+T24+AC24</f>
        <v>1</v>
      </c>
      <c r="AM24" s="94">
        <f t="shared" ref="AM24:AM35" si="21">+J24+U24+AD24</f>
        <v>1</v>
      </c>
      <c r="AN24" s="94">
        <f t="shared" ref="AN24:AN35" si="22">+K24+V24+AE24</f>
        <v>1</v>
      </c>
      <c r="AO24" s="94">
        <f t="shared" ref="AO24:AO35" si="23">+L24+W24+AF24</f>
        <v>1</v>
      </c>
    </row>
    <row r="25" spans="1:41">
      <c r="A25" s="87" t="s">
        <v>56</v>
      </c>
      <c r="B25" s="94">
        <f>+'Grants Need-Based'!CT26/'Total State Aid'!O26</f>
        <v>0.98602150537634403</v>
      </c>
      <c r="C25" s="94">
        <f>+'Grants Need-Based'!CY26/'Total State Aid'!T26</f>
        <v>0.86469864698646992</v>
      </c>
      <c r="D25" s="94">
        <f>+'Grants Need-Based'!DD26/'Total State Aid'!Y26</f>
        <v>0.86963089452252729</v>
      </c>
      <c r="E25" s="94">
        <f>+'Grants Need-Based'!DE26/'Total State Aid'!Z26</f>
        <v>0.75018441111384315</v>
      </c>
      <c r="F25" s="94">
        <f>+'Grants Need-Based'!DF26/'Total State Aid'!AA26</f>
        <v>0.87642884460119841</v>
      </c>
      <c r="G25" s="94">
        <f>+'Grants Need-Based'!DI26/'Total State Aid'!AD26</f>
        <v>0.99007738392411382</v>
      </c>
      <c r="H25" s="94">
        <f>+'Grants Need-Based'!DJ26/'Total State Aid'!AE26</f>
        <v>0.98724325320069994</v>
      </c>
      <c r="I25" s="94">
        <f>+'Grants Need-Based'!DK26/'Total State Aid'!AF26</f>
        <v>0.99234196602617664</v>
      </c>
      <c r="J25" s="94">
        <f>+'Grants Need-Based'!DL26/'Total State Aid'!AG26</f>
        <v>0.99287687791400447</v>
      </c>
      <c r="K25" s="94">
        <f>+'Grants Need-Based'!DM26/'Total State Aid'!AH26</f>
        <v>0.99279695191600847</v>
      </c>
      <c r="L25" s="94">
        <f>+'Grants Need-Based'!DN26/'Total State Aid'!AI26</f>
        <v>0.99258245238107801</v>
      </c>
      <c r="M25" s="93">
        <f>+'Grants Non Need-Based '!CT26/'Total State Aid'!O26</f>
        <v>0</v>
      </c>
      <c r="N25" s="94">
        <f>+'Grants Non Need-Based '!CY26/'Total State Aid'!T26</f>
        <v>0</v>
      </c>
      <c r="O25" s="94">
        <f>+'Grants Non Need-Based '!DD26/'Total State Aid'!Y26</f>
        <v>0</v>
      </c>
      <c r="P25" s="94">
        <f>+'Grants Non Need-Based '!DE26/'Total State Aid'!Z26</f>
        <v>1.1679370543398082E-3</v>
      </c>
      <c r="Q25" s="94">
        <f>+'Grants Non Need-Based '!DF26/'Total State Aid'!AA26</f>
        <v>8.8386521055539031E-3</v>
      </c>
      <c r="R25" s="94">
        <f>+'Grants Non Need-Based '!DI26/'Total State Aid'!AD26</f>
        <v>0</v>
      </c>
      <c r="S25" s="94">
        <f>+'Grants Non Need-Based '!DJ26/'Total State Aid'!AE26</f>
        <v>0</v>
      </c>
      <c r="T25" s="94">
        <f>+'Grants Non Need-Based '!DK26/'Total State Aid'!AF26</f>
        <v>0</v>
      </c>
      <c r="U25" s="94">
        <f>+'Grants Non Need-Based '!DL26/'Total State Aid'!AG26</f>
        <v>0</v>
      </c>
      <c r="V25" s="94">
        <f>+'Grants Non Need-Based '!DM26/'Total State Aid'!AH26</f>
        <v>0</v>
      </c>
      <c r="W25" s="94">
        <f>+'Grants Non Need-Based '!DN26/'Total State Aid'!AI26</f>
        <v>0</v>
      </c>
      <c r="X25" s="93">
        <f>+Other!O26/'Total State Aid'!O26</f>
        <v>1.3978494623655911E-2</v>
      </c>
      <c r="Y25" s="94">
        <f>+Other!T26/'Total State Aid'!T26</f>
        <v>0.13530135301353013</v>
      </c>
      <c r="Z25" s="94">
        <f>+Other!Y26/'Total State Aid'!Y26</f>
        <v>0.13036910547747277</v>
      </c>
      <c r="AA25" s="94">
        <f>IF(Other!AD26="—",,Other!AD26/'Total State Aid'!AD26)</f>
        <v>9.922616075886171E-3</v>
      </c>
      <c r="AB25" s="94">
        <f>IF(Other!AE26="—",,Other!AE26/'Total State Aid'!AE26)</f>
        <v>1.275674679929999E-2</v>
      </c>
      <c r="AC25" s="94">
        <f>IF(Other!AF26="—",,Other!AF26/'Total State Aid'!AF26)</f>
        <v>7.6580339738234479E-3</v>
      </c>
      <c r="AD25" s="94">
        <f>IF(Other!AG26="—",,Other!AG26/'Total State Aid'!AG26)</f>
        <v>7.123122085995511E-3</v>
      </c>
      <c r="AE25" s="94">
        <f>IF(Other!AH26="—",,Other!AH26/'Total State Aid'!AH26)</f>
        <v>7.2030480839914059E-3</v>
      </c>
      <c r="AF25" s="94">
        <f>IF(Other!AI26="—",,Other!AI26/'Total State Aid'!AI26)</f>
        <v>7.4175476189219571E-3</v>
      </c>
      <c r="AG25" s="93">
        <f t="shared" si="15"/>
        <v>0.99999999999999989</v>
      </c>
      <c r="AH25" s="94">
        <f t="shared" si="16"/>
        <v>1</v>
      </c>
      <c r="AI25" s="94">
        <f t="shared" si="17"/>
        <v>1</v>
      </c>
      <c r="AJ25" s="94">
        <f t="shared" si="18"/>
        <v>1</v>
      </c>
      <c r="AK25" s="94">
        <f t="shared" si="19"/>
        <v>0.99999999999999989</v>
      </c>
      <c r="AL25" s="94">
        <f t="shared" si="20"/>
        <v>1</v>
      </c>
      <c r="AM25" s="94">
        <f t="shared" si="21"/>
        <v>1</v>
      </c>
      <c r="AN25" s="94">
        <f t="shared" si="22"/>
        <v>0.99999999999999989</v>
      </c>
      <c r="AO25" s="94">
        <f t="shared" si="23"/>
        <v>1</v>
      </c>
    </row>
    <row r="26" spans="1:41">
      <c r="A26" s="87" t="s">
        <v>57</v>
      </c>
      <c r="B26" s="94">
        <f>+'Grants Need-Based'!CT27/'Total State Aid'!O27</f>
        <v>0.52564417328039326</v>
      </c>
      <c r="C26" s="94">
        <f>+'Grants Need-Based'!CY27/'Total State Aid'!T27</f>
        <v>0.95988915118546647</v>
      </c>
      <c r="D26" s="94">
        <f>+'Grants Need-Based'!DD27/'Total State Aid'!Y27</f>
        <v>0.95418314990844388</v>
      </c>
      <c r="E26" s="94">
        <f>+'Grants Need-Based'!DE27/'Total State Aid'!Z27</f>
        <v>0.95348779984814247</v>
      </c>
      <c r="F26" s="94">
        <f>+'Grants Need-Based'!DF27/'Total State Aid'!AA27</f>
        <v>0.97925087577472381</v>
      </c>
      <c r="G26" s="94">
        <f>+'Grants Need-Based'!DI27/'Total State Aid'!AD27</f>
        <v>0.99801465902487596</v>
      </c>
      <c r="H26" s="94">
        <f>+'Grants Need-Based'!DJ27/'Total State Aid'!AE27</f>
        <v>0.98322483190854426</v>
      </c>
      <c r="I26" s="94">
        <f>+'Grants Need-Based'!DK27/'Total State Aid'!AF27</f>
        <v>0.98598635965571835</v>
      </c>
      <c r="J26" s="94">
        <f>+'Grants Need-Based'!DL27/'Total State Aid'!AG27</f>
        <v>0.99148115882732801</v>
      </c>
      <c r="K26" s="94">
        <f>+'Grants Need-Based'!DM27/'Total State Aid'!AH27</f>
        <v>0.99047302206036258</v>
      </c>
      <c r="L26" s="94">
        <f>+'Grants Need-Based'!DN27/'Total State Aid'!AI27</f>
        <v>0.99397479097042363</v>
      </c>
      <c r="M26" s="93">
        <f>+'Grants Non Need-Based '!CT27/'Total State Aid'!O27</f>
        <v>0</v>
      </c>
      <c r="N26" s="94">
        <f>+'Grants Non Need-Based '!CY27/'Total State Aid'!T27</f>
        <v>0</v>
      </c>
      <c r="O26" s="94">
        <f>+'Grants Non Need-Based '!DD27/'Total State Aid'!Y27</f>
        <v>0</v>
      </c>
      <c r="P26" s="94">
        <f>+'Grants Non Need-Based '!DE27/'Total State Aid'!Z27</f>
        <v>0</v>
      </c>
      <c r="Q26" s="94">
        <f>+'Grants Non Need-Based '!DF27/'Total State Aid'!AA27</f>
        <v>0</v>
      </c>
      <c r="R26" s="94">
        <f>+'Grants Non Need-Based '!DI27/'Total State Aid'!AD27</f>
        <v>1.6175614074857186E-3</v>
      </c>
      <c r="S26" s="94">
        <f>+'Grants Non Need-Based '!DJ27/'Total State Aid'!AE27</f>
        <v>1.2872611625735126E-3</v>
      </c>
      <c r="T26" s="94">
        <f>+'Grants Non Need-Based '!DK27/'Total State Aid'!AF27</f>
        <v>1.4035460177330371E-3</v>
      </c>
      <c r="U26" s="94">
        <f>+'Grants Non Need-Based '!DL27/'Total State Aid'!AG27</f>
        <v>1.2974020445432465E-3</v>
      </c>
      <c r="V26" s="94">
        <f>+'Grants Non Need-Based '!DM27/'Total State Aid'!AH27</f>
        <v>1.2732176387090994E-3</v>
      </c>
      <c r="W26" s="94">
        <f>+'Grants Non Need-Based '!DN27/'Total State Aid'!AI27</f>
        <v>1.2032724389444793E-3</v>
      </c>
      <c r="X26" s="93">
        <f>+Other!O27/'Total State Aid'!O27</f>
        <v>0.47435582671960669</v>
      </c>
      <c r="Y26" s="94">
        <f>+Other!T27/'Total State Aid'!T27</f>
        <v>4.0110848814533508E-2</v>
      </c>
      <c r="Z26" s="94">
        <f>+Other!Y27/'Total State Aid'!Y27</f>
        <v>4.5816850091556206E-2</v>
      </c>
      <c r="AA26" s="94">
        <f>+Other!AD27/'Total State Aid'!AD27</f>
        <v>3.6777956763834029E-4</v>
      </c>
      <c r="AB26" s="94">
        <f>+Other!AE27/'Total State Aid'!AE27</f>
        <v>1.5487906928882219E-2</v>
      </c>
      <c r="AC26" s="94">
        <f>+Other!AF27/'Total State Aid'!AF27</f>
        <v>1.2610094326548542E-2</v>
      </c>
      <c r="AD26" s="94">
        <f>+Other!AG27/'Total State Aid'!AG27</f>
        <v>7.2214391281287338E-3</v>
      </c>
      <c r="AE26" s="94">
        <f>+Other!AH27/'Total State Aid'!AH27</f>
        <v>8.2537603009282152E-3</v>
      </c>
      <c r="AF26" s="94">
        <f>+Other!AI27/'Total State Aid'!AI27</f>
        <v>4.8219365906319424E-3</v>
      </c>
      <c r="AG26" s="93">
        <f t="shared" si="15"/>
        <v>1</v>
      </c>
      <c r="AH26" s="94">
        <f t="shared" si="16"/>
        <v>1</v>
      </c>
      <c r="AI26" s="94">
        <f t="shared" si="17"/>
        <v>1</v>
      </c>
      <c r="AJ26" s="94">
        <f t="shared" si="18"/>
        <v>1</v>
      </c>
      <c r="AK26" s="94">
        <f t="shared" si="19"/>
        <v>1</v>
      </c>
      <c r="AL26" s="94">
        <f t="shared" si="20"/>
        <v>1</v>
      </c>
      <c r="AM26" s="94">
        <f t="shared" si="21"/>
        <v>1</v>
      </c>
      <c r="AN26" s="94">
        <f t="shared" si="22"/>
        <v>0.99999999999999989</v>
      </c>
      <c r="AO26" s="94">
        <f t="shared" si="23"/>
        <v>1</v>
      </c>
    </row>
    <row r="27" spans="1:41">
      <c r="A27" s="87" t="s">
        <v>58</v>
      </c>
      <c r="B27" s="94">
        <f>+'Grants Need-Based'!CT28/'Total State Aid'!O28</f>
        <v>5.9949157137868594E-2</v>
      </c>
      <c r="C27" s="94">
        <f>+'Grants Need-Based'!CY28/'Total State Aid'!T28</f>
        <v>0.57661965931304116</v>
      </c>
      <c r="D27" s="94">
        <f>+'Grants Need-Based'!DD28/'Total State Aid'!Y28</f>
        <v>0.73778450065078982</v>
      </c>
      <c r="E27" s="94">
        <f>+'Grants Need-Based'!DE28/'Total State Aid'!Z28</f>
        <v>0.73272929648084384</v>
      </c>
      <c r="F27" s="94">
        <f>+'Grants Need-Based'!DF28/'Total State Aid'!AA28</f>
        <v>0.73427237105458509</v>
      </c>
      <c r="G27" s="94">
        <f>+'Grants Need-Based'!DI28/'Total State Aid'!AD28</f>
        <v>0.71356996141516138</v>
      </c>
      <c r="H27" s="94">
        <f>+'Grants Need-Based'!DJ28/'Total State Aid'!AE28</f>
        <v>0.70843327802796874</v>
      </c>
      <c r="I27" s="94">
        <f>+'Grants Need-Based'!DK28/'Total State Aid'!AF28</f>
        <v>0.71173884508536445</v>
      </c>
      <c r="J27" s="94">
        <f>+'Grants Need-Based'!DL28/'Total State Aid'!AG28</f>
        <v>0.74472618073356645</v>
      </c>
      <c r="K27" s="94">
        <f>+'Grants Need-Based'!DM28/'Total State Aid'!AH28</f>
        <v>0.73740998033499439</v>
      </c>
      <c r="L27" s="94">
        <f>+'Grants Need-Based'!DN28/'Total State Aid'!AI28</f>
        <v>0.73264428189035913</v>
      </c>
      <c r="M27" s="93">
        <f>+'Grants Non Need-Based '!CT28/'Total State Aid'!O28</f>
        <v>2.5319746243301793E-2</v>
      </c>
      <c r="N27" s="94">
        <f>+'Grants Non Need-Based '!CY28/'Total State Aid'!T28</f>
        <v>0.22961463278413857</v>
      </c>
      <c r="O27" s="94">
        <f>+'Grants Non Need-Based '!DD28/'Total State Aid'!Y28</f>
        <v>0.10721028130533181</v>
      </c>
      <c r="P27" s="94">
        <f>+'Grants Non Need-Based '!DE28/'Total State Aid'!Z28</f>
        <v>9.9468433699847078E-2</v>
      </c>
      <c r="Q27" s="94">
        <f>+'Grants Non Need-Based '!DF28/'Total State Aid'!AA28</f>
        <v>9.6014884280358204E-2</v>
      </c>
      <c r="R27" s="94">
        <f>+'Grants Non Need-Based '!DI28/'Total State Aid'!AD28</f>
        <v>3.5033497782811511E-3</v>
      </c>
      <c r="S27" s="94">
        <f>+'Grants Non Need-Based '!DJ28/'Total State Aid'!AE28</f>
        <v>3.46053567196018E-3</v>
      </c>
      <c r="T27" s="94">
        <f>+'Grants Non Need-Based '!DK28/'Total State Aid'!AF28</f>
        <v>3.7759936707153709E-3</v>
      </c>
      <c r="U27" s="94">
        <f>+'Grants Non Need-Based '!DL28/'Total State Aid'!AG28</f>
        <v>4.5450548855958282E-3</v>
      </c>
      <c r="V27" s="94">
        <f>+'Grants Non Need-Based '!DM28/'Total State Aid'!AH28</f>
        <v>3.4429813642216638E-2</v>
      </c>
      <c r="W27" s="94">
        <f>+'Grants Non Need-Based '!DN28/'Total State Aid'!AI28</f>
        <v>3.405090336030038E-2</v>
      </c>
      <c r="X27" s="93">
        <f>+Other!O28/'Total State Aid'!O28</f>
        <v>0.91473109661882968</v>
      </c>
      <c r="Y27" s="94">
        <f>+Other!T28/'Total State Aid'!T28</f>
        <v>0.19376570790282044</v>
      </c>
      <c r="Z27" s="94">
        <f>+Other!Y28/'Total State Aid'!Y28</f>
        <v>0.15500521804387848</v>
      </c>
      <c r="AA27" s="94">
        <f>+Other!AD28/'Total State Aid'!AD28</f>
        <v>0.28292668880655752</v>
      </c>
      <c r="AB27" s="94">
        <f>+Other!AE28/'Total State Aid'!AE28</f>
        <v>0.28810618630007112</v>
      </c>
      <c r="AC27" s="94">
        <f>+Other!AF28/'Total State Aid'!AF28</f>
        <v>0.2844851612439202</v>
      </c>
      <c r="AD27" s="94">
        <f>+Other!AG28/'Total State Aid'!AG28</f>
        <v>0.25072876438083769</v>
      </c>
      <c r="AE27" s="94">
        <f>+Other!AH28/'Total State Aid'!AH28</f>
        <v>0.22816020602278908</v>
      </c>
      <c r="AF27" s="94">
        <f>+Other!AI28/'Total State Aid'!AI28</f>
        <v>0.23330481474934053</v>
      </c>
      <c r="AG27" s="93">
        <f t="shared" si="15"/>
        <v>1</v>
      </c>
      <c r="AH27" s="94">
        <f t="shared" si="16"/>
        <v>1</v>
      </c>
      <c r="AI27" s="94">
        <f t="shared" si="17"/>
        <v>1.0000000000000002</v>
      </c>
      <c r="AJ27" s="94">
        <f t="shared" si="18"/>
        <v>1</v>
      </c>
      <c r="AK27" s="94">
        <f t="shared" si="19"/>
        <v>1</v>
      </c>
      <c r="AL27" s="94">
        <f t="shared" si="20"/>
        <v>1</v>
      </c>
      <c r="AM27" s="94">
        <f t="shared" si="21"/>
        <v>1</v>
      </c>
      <c r="AN27" s="94">
        <f t="shared" si="22"/>
        <v>1</v>
      </c>
      <c r="AO27" s="94">
        <f t="shared" si="23"/>
        <v>1</v>
      </c>
    </row>
    <row r="28" spans="1:41">
      <c r="A28" s="87" t="s">
        <v>59</v>
      </c>
      <c r="B28" s="94">
        <f>+'Grants Need-Based'!CT29/'Total State Aid'!O29</f>
        <v>3.71350186165001E-2</v>
      </c>
      <c r="C28" s="94">
        <f>+'Grants Need-Based'!CY29/'Total State Aid'!T29</f>
        <v>5.1901084937933731E-2</v>
      </c>
      <c r="D28" s="94">
        <f>+'Grants Need-Based'!DD29/'Total State Aid'!Y29</f>
        <v>1.6206554121151934E-2</v>
      </c>
      <c r="E28" s="94">
        <f>+'Grants Need-Based'!DE29/'Total State Aid'!Z29</f>
        <v>1.6206554121151934E-2</v>
      </c>
      <c r="F28" s="94">
        <f>+'Grants Need-Based'!DF29/'Total State Aid'!AA29</f>
        <v>0.12756995286330358</v>
      </c>
      <c r="G28" s="94">
        <f>+'Grants Need-Based'!DI29/'Total State Aid'!AD29</f>
        <v>0.86480293308890932</v>
      </c>
      <c r="H28" s="94">
        <f>+'Grants Need-Based'!DJ29/'Total State Aid'!AE29</f>
        <v>0.85137275607180574</v>
      </c>
      <c r="I28" s="94">
        <f>+'Grants Need-Based'!DK29/'Total State Aid'!AF29</f>
        <v>0.8666666666666667</v>
      </c>
      <c r="J28" s="94">
        <f>+'Grants Need-Based'!DL29/'Total State Aid'!AG29</f>
        <v>0.82948243992606285</v>
      </c>
      <c r="K28" s="94">
        <f>+'Grants Need-Based'!DM29/'Total State Aid'!AH29</f>
        <v>0.80666237027489496</v>
      </c>
      <c r="L28" s="94">
        <f>+'Grants Need-Based'!DN29/'Total State Aid'!AI29</f>
        <v>0.86970780367465361</v>
      </c>
      <c r="M28" s="93">
        <f>+'Grants Non Need-Based '!CT29/'Total State Aid'!O29</f>
        <v>0</v>
      </c>
      <c r="N28" s="94">
        <f>+'Grants Non Need-Based '!CY29/'Total State Aid'!T29</f>
        <v>0</v>
      </c>
      <c r="O28" s="94">
        <f>+'Grants Non Need-Based '!DD29/'Total State Aid'!Y29</f>
        <v>0</v>
      </c>
      <c r="P28" s="94">
        <f>+'Grants Non Need-Based '!DE29/'Total State Aid'!Z29</f>
        <v>0</v>
      </c>
      <c r="Q28" s="94">
        <f>+'Grants Non Need-Based '!DF29/'Total State Aid'!AA29</f>
        <v>0</v>
      </c>
      <c r="R28" s="94">
        <f>+'Grants Non Need-Based '!DI29/'Total State Aid'!AD29</f>
        <v>0</v>
      </c>
      <c r="S28" s="94">
        <f>+'Grants Non Need-Based '!DJ29/'Total State Aid'!AE29</f>
        <v>0</v>
      </c>
      <c r="T28" s="94">
        <f>+'Grants Non Need-Based '!DK29/'Total State Aid'!AF29</f>
        <v>0</v>
      </c>
      <c r="U28" s="94">
        <f>+'Grants Non Need-Based '!DL29/'Total State Aid'!AG29</f>
        <v>0</v>
      </c>
      <c r="V28" s="94">
        <f>+'Grants Non Need-Based '!DM29/'Total State Aid'!AH29</f>
        <v>0</v>
      </c>
      <c r="W28" s="94">
        <f>+'Grants Non Need-Based '!DN29/'Total State Aid'!AI29</f>
        <v>0</v>
      </c>
      <c r="X28" s="93">
        <f>+Other!O29/'Total State Aid'!O29</f>
        <v>0.96286498138349996</v>
      </c>
      <c r="Y28" s="94">
        <f>+Other!T29/'Total State Aid'!T29</f>
        <v>0.94809891506206623</v>
      </c>
      <c r="Z28" s="94">
        <f>+Other!Y29/'Total State Aid'!Y29</f>
        <v>0.98379344587884798</v>
      </c>
      <c r="AA28" s="94">
        <f>+Other!AD29/'Total State Aid'!AD29</f>
        <v>0.13519706691109074</v>
      </c>
      <c r="AB28" s="94">
        <f>+Other!AE29/'Total State Aid'!AE29</f>
        <v>0.14862724392819432</v>
      </c>
      <c r="AC28" s="94">
        <f>+Other!AF29/'Total State Aid'!AF29</f>
        <v>0.13333333333333333</v>
      </c>
      <c r="AD28" s="94">
        <f>+Other!AG29/'Total State Aid'!AG29</f>
        <v>0.17051756007393715</v>
      </c>
      <c r="AE28" s="94">
        <f>+Other!AH29/'Total State Aid'!AH29</f>
        <v>0.19333762972510499</v>
      </c>
      <c r="AF28" s="94">
        <f>+Other!AI29/'Total State Aid'!AI29</f>
        <v>0.13029219632534644</v>
      </c>
      <c r="AG28" s="93">
        <f t="shared" si="15"/>
        <v>1</v>
      </c>
      <c r="AH28" s="94">
        <f t="shared" si="16"/>
        <v>1</v>
      </c>
      <c r="AI28" s="94">
        <f t="shared" si="17"/>
        <v>0.99999999999999989</v>
      </c>
      <c r="AJ28" s="94">
        <f t="shared" si="18"/>
        <v>1</v>
      </c>
      <c r="AK28" s="94">
        <f t="shared" si="19"/>
        <v>1</v>
      </c>
      <c r="AL28" s="94">
        <f t="shared" si="20"/>
        <v>1</v>
      </c>
      <c r="AM28" s="94">
        <f t="shared" si="21"/>
        <v>1</v>
      </c>
      <c r="AN28" s="94">
        <f t="shared" si="22"/>
        <v>1</v>
      </c>
      <c r="AO28" s="94">
        <f t="shared" si="23"/>
        <v>1</v>
      </c>
    </row>
    <row r="29" spans="1:41">
      <c r="A29" s="87" t="s">
        <v>60</v>
      </c>
      <c r="B29" s="94">
        <f>+'Grants Need-Based'!CT30/'Total State Aid'!O30</f>
        <v>0.34461421295635208</v>
      </c>
      <c r="C29" s="94">
        <f>+'Grants Need-Based'!CY30/'Total State Aid'!T30</f>
        <v>0.1363418912454154</v>
      </c>
      <c r="D29" s="94">
        <f>+'Grants Need-Based'!DD30/'Total State Aid'!Y30</f>
        <v>0.1978258272607813</v>
      </c>
      <c r="E29" s="94">
        <f>+'Grants Need-Based'!DE30/'Total State Aid'!Z30</f>
        <v>0.32310952487173766</v>
      </c>
      <c r="F29" s="94">
        <f>+'Grants Need-Based'!DF30/'Total State Aid'!AA30</f>
        <v>0.325763880632505</v>
      </c>
      <c r="G29" s="94">
        <f>+'Grants Need-Based'!DI30/'Total State Aid'!AD30</f>
        <v>0.23351252130588698</v>
      </c>
      <c r="H29" s="94">
        <f>+'Grants Need-Based'!DJ30/'Total State Aid'!AE30</f>
        <v>0.16427931960608774</v>
      </c>
      <c r="I29" s="94">
        <f>+'Grants Need-Based'!DK30/'Total State Aid'!AF30</f>
        <v>0.23033252230332521</v>
      </c>
      <c r="J29" s="94">
        <f>+'Grants Need-Based'!DL30/'Total State Aid'!AG30</f>
        <v>0.77730090605627089</v>
      </c>
      <c r="K29" s="94">
        <f>+'Grants Need-Based'!DM30/'Total State Aid'!AH30</f>
        <v>0.78169141764093164</v>
      </c>
      <c r="L29" s="94">
        <f>+'Grants Need-Based'!DN30/'Total State Aid'!AI30</f>
        <v>0.87858758145018889</v>
      </c>
      <c r="M29" s="93">
        <f>+'Grants Non Need-Based '!CT30/'Total State Aid'!O30</f>
        <v>0.12518444476176879</v>
      </c>
      <c r="N29" s="94">
        <f>+'Grants Non Need-Based '!CY30/'Total State Aid'!T30</f>
        <v>0.63721894434699411</v>
      </c>
      <c r="O29" s="94">
        <f>+'Grants Non Need-Based '!DD30/'Total State Aid'!Y30</f>
        <v>0.57078007406522524</v>
      </c>
      <c r="P29" s="94">
        <f>+'Grants Non Need-Based '!DE30/'Total State Aid'!Z30</f>
        <v>0.46687486058443001</v>
      </c>
      <c r="Q29" s="94">
        <f>+'Grants Non Need-Based '!DF30/'Total State Aid'!AA30</f>
        <v>0.65117108548329561</v>
      </c>
      <c r="R29" s="94">
        <f>+'Grants Non Need-Based '!DI30/'Total State Aid'!AD30</f>
        <v>0.59079585682443958</v>
      </c>
      <c r="S29" s="94">
        <f>+'Grants Non Need-Based '!DJ30/'Total State Aid'!AE30</f>
        <v>0.6307072515666966</v>
      </c>
      <c r="T29" s="94">
        <f>+'Grants Non Need-Based '!DK30/'Total State Aid'!AF30</f>
        <v>0.57729115977291157</v>
      </c>
      <c r="U29" s="94">
        <f>+'Grants Non Need-Based '!DL30/'Total State Aid'!AG30</f>
        <v>3.4175806707995554E-2</v>
      </c>
      <c r="V29" s="94">
        <f>+'Grants Non Need-Based '!DM30/'Total State Aid'!AH30</f>
        <v>3.6235978989497056E-2</v>
      </c>
      <c r="W29" s="94">
        <f>+'Grants Non Need-Based '!DN30/'Total State Aid'!AI30</f>
        <v>1.6366829118283105E-2</v>
      </c>
      <c r="X29" s="93">
        <f>+Other!O30/'Total State Aid'!O30</f>
        <v>0.53020134228187921</v>
      </c>
      <c r="Y29" s="94">
        <f>+Other!T30/'Total State Aid'!T30</f>
        <v>0.22643916440759049</v>
      </c>
      <c r="Z29" s="94">
        <f>+Other!Y30/'Total State Aid'!Y30</f>
        <v>0.2313940986739936</v>
      </c>
      <c r="AA29" s="94">
        <f>+Other!AD30/'Total State Aid'!AD30</f>
        <v>0.17569162186967355</v>
      </c>
      <c r="AB29" s="94">
        <f>+Other!AE30/'Total State Aid'!AE30</f>
        <v>0.20501342882721577</v>
      </c>
      <c r="AC29" s="94">
        <f>+Other!AF30/'Total State Aid'!AF30</f>
        <v>0.19237631792376317</v>
      </c>
      <c r="AD29" s="94">
        <f>+Other!AG30/'Total State Aid'!AG30</f>
        <v>0.18852328723573358</v>
      </c>
      <c r="AE29" s="94">
        <f>+Other!AH30/'Total State Aid'!AH30</f>
        <v>0.18207260336957132</v>
      </c>
      <c r="AF29" s="94">
        <f>+Other!AI30/'Total State Aid'!AI30</f>
        <v>0.10504558943152799</v>
      </c>
      <c r="AG29" s="93">
        <f t="shared" si="15"/>
        <v>1</v>
      </c>
      <c r="AH29" s="94">
        <f t="shared" si="16"/>
        <v>1</v>
      </c>
      <c r="AI29" s="94">
        <f t="shared" si="17"/>
        <v>1</v>
      </c>
      <c r="AJ29" s="94">
        <f t="shared" si="18"/>
        <v>1</v>
      </c>
      <c r="AK29" s="94">
        <f t="shared" si="19"/>
        <v>1.0000000000000002</v>
      </c>
      <c r="AL29" s="94">
        <f t="shared" si="20"/>
        <v>1</v>
      </c>
      <c r="AM29" s="94">
        <f t="shared" si="21"/>
        <v>1</v>
      </c>
      <c r="AN29" s="94">
        <f t="shared" si="22"/>
        <v>1</v>
      </c>
      <c r="AO29" s="94">
        <f t="shared" si="23"/>
        <v>1</v>
      </c>
    </row>
    <row r="30" spans="1:41">
      <c r="A30" s="87" t="s">
        <v>61</v>
      </c>
      <c r="B30" s="94">
        <f>+'Grants Need-Based'!CT31/'Total State Aid'!O31</f>
        <v>0.17860129025212163</v>
      </c>
      <c r="C30" s="94">
        <f>+'Grants Need-Based'!CY31/'Total State Aid'!T31</f>
        <v>0.34474720583003104</v>
      </c>
      <c r="D30" s="94">
        <f>+'Grants Need-Based'!DD31/'Total State Aid'!Y31</f>
        <v>0.77636652302109321</v>
      </c>
      <c r="E30" s="94">
        <f>+'Grants Need-Based'!DE31/'Total State Aid'!Z31</f>
        <v>0.76643168455845789</v>
      </c>
      <c r="F30" s="94">
        <f>+'Grants Need-Based'!DF31/'Total State Aid'!AA31</f>
        <v>0.77730711043872913</v>
      </c>
      <c r="G30" s="94">
        <f>+'Grants Need-Based'!DI31/'Total State Aid'!AD31</f>
        <v>0.6934316536938413</v>
      </c>
      <c r="H30" s="94">
        <f>+'Grants Need-Based'!DJ31/'Total State Aid'!AE31</f>
        <v>0.65286274509803921</v>
      </c>
      <c r="I30" s="94">
        <f>+'Grants Need-Based'!DK31/'Total State Aid'!AF31</f>
        <v>0.6272219400711021</v>
      </c>
      <c r="J30" s="94">
        <f>+'Grants Need-Based'!DL31/'Total State Aid'!AG31</f>
        <v>0.62626946513202442</v>
      </c>
      <c r="K30" s="94">
        <f>+'Grants Need-Based'!DM31/'Total State Aid'!AH31</f>
        <v>0.21808865174714687</v>
      </c>
      <c r="L30" s="94">
        <f>+'Grants Need-Based'!DN31/'Total State Aid'!AI31</f>
        <v>0.18356840931106347</v>
      </c>
      <c r="M30" s="93">
        <f>+'Grants Non Need-Based '!CT31/'Total State Aid'!O31</f>
        <v>0</v>
      </c>
      <c r="N30" s="94">
        <f>+'Grants Non Need-Based '!CY31/'Total State Aid'!T31</f>
        <v>0.10144891975119312</v>
      </c>
      <c r="O30" s="94">
        <f>+'Grants Non Need-Based '!DD31/'Total State Aid'!Y31</f>
        <v>6.0671354048537088E-2</v>
      </c>
      <c r="P30" s="94">
        <f>+'Grants Non Need-Based '!DE31/'Total State Aid'!Z31</f>
        <v>9.5270131921490628E-2</v>
      </c>
      <c r="Q30" s="94">
        <f>+'Grants Non Need-Based '!DF31/'Total State Aid'!AA31</f>
        <v>0.11028744326777609</v>
      </c>
      <c r="R30" s="94">
        <f>+'Grants Non Need-Based '!DI31/'Total State Aid'!AD31</f>
        <v>0.18872046975283352</v>
      </c>
      <c r="S30" s="94">
        <f>+'Grants Non Need-Based '!DJ31/'Total State Aid'!AE31</f>
        <v>0.21176470588235297</v>
      </c>
      <c r="T30" s="94">
        <f>+'Grants Non Need-Based '!DK31/'Total State Aid'!AF31</f>
        <v>0.22668020992043339</v>
      </c>
      <c r="U30" s="94">
        <f>+'Grants Non Need-Based '!DL31/'Total State Aid'!AG31</f>
        <v>0.22765741367637105</v>
      </c>
      <c r="V30" s="94">
        <f>+'Grants Non Need-Based '!DM31/'Total State Aid'!AH31</f>
        <v>0.44999325010124852</v>
      </c>
      <c r="W30" s="94">
        <f>+'Grants Non Need-Based '!DN31/'Total State Aid'!AI31</f>
        <v>0.42609049813602606</v>
      </c>
      <c r="X30" s="93">
        <f>+Other!O31/'Total State Aid'!O31</f>
        <v>0.82139870974787832</v>
      </c>
      <c r="Y30" s="94">
        <f>+Other!T31/'Total State Aid'!T31</f>
        <v>0.55380387441877588</v>
      </c>
      <c r="Z30" s="94">
        <f>+Other!Y31/'Total State Aid'!Y31</f>
        <v>0.16296212293036968</v>
      </c>
      <c r="AA30" s="94">
        <f>+Other!AD31/'Total State Aid'!AD31</f>
        <v>0.11784787655332513</v>
      </c>
      <c r="AB30" s="94">
        <f>+Other!AE31/'Total State Aid'!AE31</f>
        <v>0.13537254901960785</v>
      </c>
      <c r="AC30" s="94">
        <f>+Other!AF31/'Total State Aid'!AF31</f>
        <v>0.14609785000846454</v>
      </c>
      <c r="AD30" s="94">
        <f>+Other!AG31/'Total State Aid'!AG31</f>
        <v>0.14607312119160462</v>
      </c>
      <c r="AE30" s="94">
        <f>+Other!AH31/'Total State Aid'!AH31</f>
        <v>0.33191809815160467</v>
      </c>
      <c r="AF30" s="94">
        <f>+Other!AI31/'Total State Aid'!AI31</f>
        <v>0.39034109255291044</v>
      </c>
      <c r="AG30" s="93">
        <f t="shared" si="15"/>
        <v>1</v>
      </c>
      <c r="AH30" s="94">
        <f t="shared" si="16"/>
        <v>1</v>
      </c>
      <c r="AI30" s="94">
        <f t="shared" si="17"/>
        <v>1</v>
      </c>
      <c r="AJ30" s="94">
        <f t="shared" si="18"/>
        <v>1</v>
      </c>
      <c r="AK30" s="94">
        <f t="shared" si="19"/>
        <v>1</v>
      </c>
      <c r="AL30" s="94">
        <f t="shared" si="20"/>
        <v>1</v>
      </c>
      <c r="AM30" s="94">
        <f t="shared" si="21"/>
        <v>1</v>
      </c>
      <c r="AN30" s="94">
        <f t="shared" si="22"/>
        <v>1</v>
      </c>
      <c r="AO30" s="94">
        <f t="shared" si="23"/>
        <v>1</v>
      </c>
    </row>
    <row r="31" spans="1:41">
      <c r="A31" s="87" t="s">
        <v>62</v>
      </c>
      <c r="B31" s="94">
        <f>+'Grants Need-Based'!CT32/'Total State Aid'!O32</f>
        <v>3.9507398002667109E-2</v>
      </c>
      <c r="C31" s="94">
        <f>+'Grants Need-Based'!CY32/'Total State Aid'!T32</f>
        <v>0.91228387252244125</v>
      </c>
      <c r="D31" s="94">
        <f>+'Grants Need-Based'!DD32/'Total State Aid'!Y32</f>
        <v>0.28219495002440037</v>
      </c>
      <c r="E31" s="94">
        <f>+'Grants Need-Based'!DE32/'Total State Aid'!Z32</f>
        <v>0.28700706553896488</v>
      </c>
      <c r="F31" s="94">
        <f>+'Grants Need-Based'!DF32/'Total State Aid'!AA32</f>
        <v>0.28197480724688267</v>
      </c>
      <c r="G31" s="94">
        <f>+'Grants Need-Based'!DI32/'Total State Aid'!AD32</f>
        <v>0.4605940863877912</v>
      </c>
      <c r="H31" s="94">
        <f>+'Grants Need-Based'!DJ32/'Total State Aid'!AE32</f>
        <v>0.46374458182562106</v>
      </c>
      <c r="I31" s="94">
        <f>+'Grants Need-Based'!DK32/'Total State Aid'!AF32</f>
        <v>0.19427834666268029</v>
      </c>
      <c r="J31" s="94">
        <f>+'Grants Need-Based'!DL32/'Total State Aid'!AG32</f>
        <v>0.19139788814736203</v>
      </c>
      <c r="K31" s="94">
        <f>+'Grants Need-Based'!DM32/'Total State Aid'!AH32</f>
        <v>0.21536114301763373</v>
      </c>
      <c r="L31" s="94">
        <f>+'Grants Need-Based'!DN32/'Total State Aid'!AI32</f>
        <v>0.17625602681541508</v>
      </c>
      <c r="M31" s="93">
        <f>+'Grants Non Need-Based '!CT32/'Total State Aid'!O32</f>
        <v>6.6175126985644457E-3</v>
      </c>
      <c r="N31" s="94">
        <f>+'Grants Non Need-Based '!CY32/'Total State Aid'!T32</f>
        <v>2.1688053497198631E-3</v>
      </c>
      <c r="O31" s="94">
        <f>+'Grants Non Need-Based '!DD32/'Total State Aid'!Y32</f>
        <v>0.45894409601098923</v>
      </c>
      <c r="P31" s="94">
        <f>+'Grants Non Need-Based '!DE32/'Total State Aid'!Z32</f>
        <v>0.44725209703804247</v>
      </c>
      <c r="Q31" s="94">
        <f>+'Grants Non Need-Based '!DF32/'Total State Aid'!AA32</f>
        <v>0.40711362122029382</v>
      </c>
      <c r="R31" s="94">
        <f>+'Grants Non Need-Based '!DI32/'Total State Aid'!AD32</f>
        <v>0.311513830222101</v>
      </c>
      <c r="S31" s="94">
        <f>+'Grants Non Need-Based '!DJ32/'Total State Aid'!AE32</f>
        <v>0.29476147246480583</v>
      </c>
      <c r="T31" s="94">
        <f>+'Grants Non Need-Based '!DK32/'Total State Aid'!AF32</f>
        <v>0.4459600867030421</v>
      </c>
      <c r="U31" s="94">
        <f>+'Grants Non Need-Based '!DL32/'Total State Aid'!AG32</f>
        <v>0.44552175711895814</v>
      </c>
      <c r="V31" s="94">
        <f>+'Grants Non Need-Based '!DM32/'Total State Aid'!AH32</f>
        <v>0.49344024401897524</v>
      </c>
      <c r="W31" s="94">
        <f>+'Grants Non Need-Based '!DN32/'Total State Aid'!AI32</f>
        <v>0.52213895853498815</v>
      </c>
      <c r="X31" s="93">
        <f>+Other!O32/'Total State Aid'!O32</f>
        <v>0.95387508929876841</v>
      </c>
      <c r="Y31" s="94">
        <f>+Other!T32/'Total State Aid'!T32</f>
        <v>8.554732212783904E-2</v>
      </c>
      <c r="Z31" s="94">
        <f>+Other!Y32/'Total State Aid'!Y32</f>
        <v>0.2588609539646104</v>
      </c>
      <c r="AA31" s="94">
        <f>+Other!AD32/'Total State Aid'!AD32</f>
        <v>0.22789208339010761</v>
      </c>
      <c r="AB31" s="94">
        <f>+Other!AE32/'Total State Aid'!AE32</f>
        <v>0.24149394570957305</v>
      </c>
      <c r="AC31" s="94">
        <f>+Other!AF32/'Total State Aid'!AF32</f>
        <v>0.35976156663427761</v>
      </c>
      <c r="AD31" s="94">
        <f>+Other!AG32/'Total State Aid'!AG32</f>
        <v>0.36308035473367994</v>
      </c>
      <c r="AE31" s="94">
        <f>+Other!AH32/'Total State Aid'!AH32</f>
        <v>0.291198612963391</v>
      </c>
      <c r="AF31" s="94">
        <f>+Other!AI32/'Total State Aid'!AI32</f>
        <v>0.30160501464959677</v>
      </c>
      <c r="AG31" s="93">
        <f t="shared" si="15"/>
        <v>1</v>
      </c>
      <c r="AH31" s="94">
        <f t="shared" si="16"/>
        <v>1.0000000000000002</v>
      </c>
      <c r="AI31" s="94">
        <f t="shared" si="17"/>
        <v>1</v>
      </c>
      <c r="AJ31" s="94">
        <f t="shared" si="18"/>
        <v>0.99999999999999978</v>
      </c>
      <c r="AK31" s="94">
        <f t="shared" si="19"/>
        <v>1</v>
      </c>
      <c r="AL31" s="94">
        <f t="shared" si="20"/>
        <v>1</v>
      </c>
      <c r="AM31" s="94">
        <f t="shared" si="21"/>
        <v>1</v>
      </c>
      <c r="AN31" s="94">
        <f t="shared" si="22"/>
        <v>1</v>
      </c>
      <c r="AO31" s="94">
        <f t="shared" si="23"/>
        <v>1</v>
      </c>
    </row>
    <row r="32" spans="1:41">
      <c r="A32" s="87" t="s">
        <v>63</v>
      </c>
      <c r="B32" s="94">
        <f>+'Grants Need-Based'!CT33/'Total State Aid'!O33</f>
        <v>0.49289241452851656</v>
      </c>
      <c r="C32" s="94">
        <f>+'Grants Need-Based'!CY33/'Total State Aid'!T33</f>
        <v>0.8610390489295946</v>
      </c>
      <c r="D32" s="94">
        <f>+'Grants Need-Based'!DD33/'Total State Aid'!Y33</f>
        <v>0.25845226626039031</v>
      </c>
      <c r="E32" s="94">
        <f>+'Grants Need-Based'!DE33/'Total State Aid'!Z33</f>
        <v>0.29115418064355825</v>
      </c>
      <c r="F32" s="94">
        <f>+'Grants Need-Based'!DF33/'Total State Aid'!AA33</f>
        <v>0.26774211743471155</v>
      </c>
      <c r="G32" s="94">
        <f>+'Grants Need-Based'!DI33/'Total State Aid'!AD33</f>
        <v>0.23556112369296009</v>
      </c>
      <c r="H32" s="94">
        <f>+'Grants Need-Based'!DJ33/'Total State Aid'!AE33</f>
        <v>0.12162357777713442</v>
      </c>
      <c r="I32" s="94">
        <f>+'Grants Need-Based'!DK33/'Total State Aid'!AF33</f>
        <v>0.2188627608206809</v>
      </c>
      <c r="J32" s="94">
        <f>+'Grants Need-Based'!DL33/'Total State Aid'!AG33</f>
        <v>0.19937072326382707</v>
      </c>
      <c r="K32" s="94">
        <f>+'Grants Need-Based'!DM33/'Total State Aid'!AH33</f>
        <v>0.25121177232685654</v>
      </c>
      <c r="L32" s="94">
        <f>+'Grants Need-Based'!DN33/'Total State Aid'!AI33</f>
        <v>0.21227443966506715</v>
      </c>
      <c r="M32" s="93">
        <f>+'Grants Non Need-Based '!CT33/'Total State Aid'!O33</f>
        <v>0.1747765561564926</v>
      </c>
      <c r="N32" s="94">
        <f>+'Grants Non Need-Based '!CY33/'Total State Aid'!T33</f>
        <v>2.1423146623354164E-2</v>
      </c>
      <c r="O32" s="94">
        <f>+'Grants Non Need-Based '!DD33/'Total State Aid'!Y33</f>
        <v>0.54023928483409134</v>
      </c>
      <c r="P32" s="94">
        <f>+'Grants Non Need-Based '!DE33/'Total State Aid'!Z33</f>
        <v>0.5805068952664928</v>
      </c>
      <c r="Q32" s="94">
        <f>+'Grants Non Need-Based '!DF33/'Total State Aid'!AA33</f>
        <v>0.60459134750972987</v>
      </c>
      <c r="R32" s="94">
        <f>+'Grants Non Need-Based '!DI33/'Total State Aid'!AD33</f>
        <v>0.67389774972293159</v>
      </c>
      <c r="S32" s="94">
        <f>+'Grants Non Need-Based '!DJ33/'Total State Aid'!AE33</f>
        <v>0.78288603881377683</v>
      </c>
      <c r="T32" s="94">
        <f>+'Grants Non Need-Based '!DK33/'Total State Aid'!AF33</f>
        <v>0.69095473007129538</v>
      </c>
      <c r="U32" s="94">
        <f>+'Grants Non Need-Based '!DL33/'Total State Aid'!AG33</f>
        <v>0.71547470760470422</v>
      </c>
      <c r="V32" s="94">
        <f>+'Grants Non Need-Based '!DM33/'Total State Aid'!AH33</f>
        <v>0.65590167685775536</v>
      </c>
      <c r="W32" s="94">
        <f>+'Grants Non Need-Based '!DN33/'Total State Aid'!AI33</f>
        <v>0.70573423930037249</v>
      </c>
      <c r="X32" s="93">
        <f>+Other!O33/'Total State Aid'!O33</f>
        <v>0.33233102931499087</v>
      </c>
      <c r="Y32" s="94">
        <f>+Other!T33/'Total State Aid'!T33</f>
        <v>0.11753780444705121</v>
      </c>
      <c r="Z32" s="94">
        <f>+Other!Y33/'Total State Aid'!Y33</f>
        <v>0.2013084489055183</v>
      </c>
      <c r="AA32" s="94">
        <f>+Other!AD33/'Total State Aid'!AD33</f>
        <v>9.0541126584108331E-2</v>
      </c>
      <c r="AB32" s="94">
        <f>+Other!AE33/'Total State Aid'!AE33</f>
        <v>9.5490383409088705E-2</v>
      </c>
      <c r="AC32" s="94">
        <f>+Other!AF33/'Total State Aid'!AF33</f>
        <v>9.0182509108023778E-2</v>
      </c>
      <c r="AD32" s="94">
        <f>+Other!AG33/'Total State Aid'!AG33</f>
        <v>8.5154569131468683E-2</v>
      </c>
      <c r="AE32" s="94">
        <f>+Other!AH33/'Total State Aid'!AH33</f>
        <v>9.2886550815388047E-2</v>
      </c>
      <c r="AF32" s="94">
        <f>+Other!AI33/'Total State Aid'!AI33</f>
        <v>8.1991321034560402E-2</v>
      </c>
      <c r="AG32" s="93">
        <f t="shared" si="15"/>
        <v>1</v>
      </c>
      <c r="AH32" s="94">
        <f t="shared" si="16"/>
        <v>1</v>
      </c>
      <c r="AI32" s="94">
        <f t="shared" si="17"/>
        <v>1</v>
      </c>
      <c r="AJ32" s="94">
        <f t="shared" si="18"/>
        <v>1</v>
      </c>
      <c r="AK32" s="94">
        <f t="shared" si="19"/>
        <v>0.99999999999999989</v>
      </c>
      <c r="AL32" s="94">
        <f t="shared" si="20"/>
        <v>1</v>
      </c>
      <c r="AM32" s="94">
        <f t="shared" si="21"/>
        <v>1</v>
      </c>
      <c r="AN32" s="94">
        <f t="shared" si="22"/>
        <v>1</v>
      </c>
      <c r="AO32" s="94">
        <f t="shared" si="23"/>
        <v>1</v>
      </c>
    </row>
    <row r="33" spans="1:41">
      <c r="A33" s="87" t="s">
        <v>64</v>
      </c>
      <c r="B33" s="94">
        <f>+'Grants Need-Based'!CT34/'Total State Aid'!O34</f>
        <v>0.51880555952817031</v>
      </c>
      <c r="C33" s="94">
        <f>+'Grants Need-Based'!CY34/'Total State Aid'!T34</f>
        <v>0.49094279006548863</v>
      </c>
      <c r="D33" s="94">
        <f>+'Grants Need-Based'!DD34/'Total State Aid'!Y34</f>
        <v>0.48143625526966138</v>
      </c>
      <c r="E33" s="94">
        <f>+'Grants Need-Based'!DE34/'Total State Aid'!Z34</f>
        <v>0.47283430767343931</v>
      </c>
      <c r="F33" s="94">
        <f>+'Grants Need-Based'!DF34/'Total State Aid'!AA34</f>
        <v>0.59135932922691004</v>
      </c>
      <c r="G33" s="94">
        <f>+'Grants Need-Based'!DI34/'Total State Aid'!AD34</f>
        <v>0.35655667565827542</v>
      </c>
      <c r="H33" s="94">
        <f>+'Grants Need-Based'!DJ34/'Total State Aid'!AE34</f>
        <v>0.37333858493268407</v>
      </c>
      <c r="I33" s="94">
        <f>+'Grants Need-Based'!DK34/'Total State Aid'!AF34</f>
        <v>0.37802854977778694</v>
      </c>
      <c r="J33" s="94">
        <f>+'Grants Need-Based'!DL34/'Total State Aid'!AG34</f>
        <v>0.4240135635018496</v>
      </c>
      <c r="K33" s="94">
        <f>+'Grants Need-Based'!DM34/'Total State Aid'!AH34</f>
        <v>0.43389358246514426</v>
      </c>
      <c r="L33" s="94">
        <f>+'Grants Need-Based'!DN34/'Total State Aid'!AI34</f>
        <v>0.46608673098311321</v>
      </c>
      <c r="M33" s="93">
        <f>+'Grants Non Need-Based '!CT34/'Total State Aid'!O34</f>
        <v>0</v>
      </c>
      <c r="N33" s="94">
        <f>+'Grants Non Need-Based '!CY34/'Total State Aid'!T34</f>
        <v>0</v>
      </c>
      <c r="O33" s="94">
        <f>+'Grants Non Need-Based '!DD34/'Total State Aid'!Y34</f>
        <v>3.8523041139700543E-3</v>
      </c>
      <c r="P33" s="94">
        <f>+'Grants Non Need-Based '!DE34/'Total State Aid'!Z34</f>
        <v>4.5923442759222156E-3</v>
      </c>
      <c r="Q33" s="94">
        <f>+'Grants Non Need-Based '!DF34/'Total State Aid'!AA34</f>
        <v>3.8658797453673877E-4</v>
      </c>
      <c r="R33" s="94">
        <f>+'Grants Non Need-Based '!DI34/'Total State Aid'!AD34</f>
        <v>3.5857775025059695E-4</v>
      </c>
      <c r="S33" s="94">
        <f>+'Grants Non Need-Based '!DJ34/'Total State Aid'!AE34</f>
        <v>2.291606989401318E-4</v>
      </c>
      <c r="T33" s="94">
        <f>+'Grants Non Need-Based '!DK34/'Total State Aid'!AF34</f>
        <v>1.7749742287395635E-4</v>
      </c>
      <c r="U33" s="94">
        <f>+'Grants Non Need-Based '!DL34/'Total State Aid'!AG34</f>
        <v>1.6147026011390994E-4</v>
      </c>
      <c r="V33" s="94">
        <f>+'Grants Non Need-Based '!DM34/'Total State Aid'!AH34</f>
        <v>1.0858897897342323E-4</v>
      </c>
      <c r="W33" s="94">
        <f>+'Grants Non Need-Based '!DN34/'Total State Aid'!AI34</f>
        <v>1.4307585504659269E-4</v>
      </c>
      <c r="X33" s="93">
        <f>+Other!O34/'Total State Aid'!O34</f>
        <v>0.48119444047182969</v>
      </c>
      <c r="Y33" s="94">
        <f>+Other!T34/'Total State Aid'!T34</f>
        <v>0.50905720993451131</v>
      </c>
      <c r="Z33" s="94">
        <f>+Other!Y34/'Total State Aid'!Y34</f>
        <v>0.51471144061636864</v>
      </c>
      <c r="AA33" s="94">
        <f>+Other!AD34/'Total State Aid'!AD34</f>
        <v>0.64308474659147408</v>
      </c>
      <c r="AB33" s="94">
        <f>+Other!AE34/'Total State Aid'!AE34</f>
        <v>0.6264322543683758</v>
      </c>
      <c r="AC33" s="94">
        <f>+Other!AF34/'Total State Aid'!AF34</f>
        <v>0.62179395279933924</v>
      </c>
      <c r="AD33" s="94">
        <f>+Other!AG34/'Total State Aid'!AG34</f>
        <v>0.57582496623803658</v>
      </c>
      <c r="AE33" s="94">
        <f>+Other!AH34/'Total State Aid'!AH34</f>
        <v>0.56599782855588243</v>
      </c>
      <c r="AF33" s="94">
        <f>+Other!AI34/'Total State Aid'!AI34</f>
        <v>0.53377019316184016</v>
      </c>
      <c r="AG33" s="93">
        <f t="shared" si="15"/>
        <v>1</v>
      </c>
      <c r="AH33" s="94">
        <f t="shared" si="16"/>
        <v>1</v>
      </c>
      <c r="AI33" s="94">
        <f t="shared" si="17"/>
        <v>1</v>
      </c>
      <c r="AJ33" s="94">
        <f t="shared" si="18"/>
        <v>1</v>
      </c>
      <c r="AK33" s="94">
        <f t="shared" si="19"/>
        <v>1</v>
      </c>
      <c r="AL33" s="94">
        <f t="shared" si="20"/>
        <v>1</v>
      </c>
      <c r="AM33" s="94">
        <f t="shared" si="21"/>
        <v>1</v>
      </c>
      <c r="AN33" s="94">
        <f t="shared" si="22"/>
        <v>1</v>
      </c>
      <c r="AO33" s="94">
        <f t="shared" si="23"/>
        <v>1</v>
      </c>
    </row>
    <row r="34" spans="1:41">
      <c r="A34" s="87" t="s">
        <v>65</v>
      </c>
      <c r="B34" s="101">
        <f>+'Grants Need-Based'!CT35/'Total State Aid'!O35</f>
        <v>8.6499114559985407E-2</v>
      </c>
      <c r="C34" s="101">
        <f>+'Grants Need-Based'!CY35/'Total State Aid'!T35</f>
        <v>0.1188784511945067</v>
      </c>
      <c r="D34" s="101">
        <f>+'Grants Need-Based'!DD35/'Total State Aid'!Y35</f>
        <v>0.13345891899724679</v>
      </c>
      <c r="E34" s="101">
        <f>+'Grants Need-Based'!DE35/'Total State Aid'!Z35</f>
        <v>0.16213698335632512</v>
      </c>
      <c r="F34" s="101">
        <f>+'Grants Need-Based'!DF35/'Total State Aid'!AA35</f>
        <v>0.11940803246481367</v>
      </c>
      <c r="G34" s="101">
        <f>+'Grants Need-Based'!DI35/'Total State Aid'!AD35</f>
        <v>3.5787357765892536E-2</v>
      </c>
      <c r="H34" s="101">
        <f>+'Grants Need-Based'!DJ35/'Total State Aid'!AE35</f>
        <v>3.859831824778702E-2</v>
      </c>
      <c r="I34" s="101">
        <f>+'Grants Need-Based'!DK35/'Total State Aid'!AF35</f>
        <v>2.9546617759959055E-2</v>
      </c>
      <c r="J34" s="101">
        <f>+'Grants Need-Based'!DL35/'Total State Aid'!AG35</f>
        <v>2.1669880480118243E-2</v>
      </c>
      <c r="K34" s="101">
        <f>+'Grants Need-Based'!DM35/'Total State Aid'!AH35</f>
        <v>1.897457539697197E-2</v>
      </c>
      <c r="L34" s="101">
        <f>+'Grants Need-Based'!DN35/'Total State Aid'!AI35</f>
        <v>1.6742608958832877E-2</v>
      </c>
      <c r="M34" s="100">
        <f>+'Grants Non Need-Based '!CT35/'Total State Aid'!O35</f>
        <v>3.8486126777726226E-2</v>
      </c>
      <c r="N34" s="101">
        <f>+'Grants Non Need-Based '!CY35/'Total State Aid'!T35</f>
        <v>2.8744456630585089E-2</v>
      </c>
      <c r="O34" s="101">
        <f>+'Grants Non Need-Based '!DD35/'Total State Aid'!Y35</f>
        <v>3.8092305462976379E-2</v>
      </c>
      <c r="P34" s="101">
        <f>+'Grants Non Need-Based '!DE35/'Total State Aid'!Z35</f>
        <v>4.706451439525592E-2</v>
      </c>
      <c r="Q34" s="101">
        <f>+'Grants Non Need-Based '!DF35/'Total State Aid'!AA35</f>
        <v>3.5814357950336571E-2</v>
      </c>
      <c r="R34" s="101">
        <f>+'Grants Non Need-Based '!DI35/'Total State Aid'!AD35</f>
        <v>7.8801584167893068E-2</v>
      </c>
      <c r="S34" s="101">
        <f>+'Grants Non Need-Based '!DJ35/'Total State Aid'!AE35</f>
        <v>6.9131316264693168E-2</v>
      </c>
      <c r="T34" s="101">
        <f>+'Grants Non Need-Based '!DK35/'Total State Aid'!AF35</f>
        <v>7.9512496801160112E-2</v>
      </c>
      <c r="U34" s="101">
        <f>+'Grants Non Need-Based '!DL35/'Total State Aid'!AG35</f>
        <v>7.2408491263241045E-2</v>
      </c>
      <c r="V34" s="101">
        <f>+'Grants Non Need-Based '!DM35/'Total State Aid'!AH35</f>
        <v>8.3494006057693179E-2</v>
      </c>
      <c r="W34" s="101">
        <f>+'Grants Non Need-Based '!DN35/'Total State Aid'!AI35</f>
        <v>7.5401931992629401E-2</v>
      </c>
      <c r="X34" s="100">
        <f>+Other!O35/'Total State Aid'!O35</f>
        <v>0.87501475866228839</v>
      </c>
      <c r="Y34" s="101">
        <f>+Other!T35/'Total State Aid'!T35</f>
        <v>0.8523770921749082</v>
      </c>
      <c r="Z34" s="101">
        <f>+Other!Y35/'Total State Aid'!Y35</f>
        <v>0.82844877553977692</v>
      </c>
      <c r="AA34" s="101">
        <f>+Other!AD35/'Total State Aid'!AD35</f>
        <v>0.88541105806621445</v>
      </c>
      <c r="AB34" s="101">
        <f>+Other!AE35/'Total State Aid'!AE35</f>
        <v>0.89227036548751981</v>
      </c>
      <c r="AC34" s="101">
        <f>+Other!AF35/'Total State Aid'!AF35</f>
        <v>0.89094088543888084</v>
      </c>
      <c r="AD34" s="101">
        <f>+Other!AG35/'Total State Aid'!AG35</f>
        <v>0.90592162825664069</v>
      </c>
      <c r="AE34" s="101">
        <f>+Other!AH35/'Total State Aid'!AH35</f>
        <v>0.89753141854533491</v>
      </c>
      <c r="AF34" s="101">
        <f>+Other!AI35/'Total State Aid'!AI35</f>
        <v>0.90785545904853782</v>
      </c>
      <c r="AG34" s="100">
        <f t="shared" si="15"/>
        <v>1</v>
      </c>
      <c r="AH34" s="101">
        <f t="shared" si="16"/>
        <v>1</v>
      </c>
      <c r="AI34" s="101">
        <f t="shared" si="17"/>
        <v>1</v>
      </c>
      <c r="AJ34" s="101">
        <f t="shared" si="18"/>
        <v>1</v>
      </c>
      <c r="AK34" s="101">
        <f t="shared" si="19"/>
        <v>1</v>
      </c>
      <c r="AL34" s="101">
        <f t="shared" si="20"/>
        <v>1</v>
      </c>
      <c r="AM34" s="101">
        <f t="shared" si="21"/>
        <v>1</v>
      </c>
      <c r="AN34" s="101">
        <f t="shared" si="22"/>
        <v>1</v>
      </c>
      <c r="AO34" s="101">
        <f t="shared" si="23"/>
        <v>1</v>
      </c>
    </row>
    <row r="35" spans="1:41">
      <c r="A35" s="87" t="s">
        <v>66</v>
      </c>
      <c r="B35" s="94">
        <f>+'Grants Need-Based'!CT36/'Total State Aid'!O36</f>
        <v>0.53466828288233148</v>
      </c>
      <c r="C35" s="94">
        <f>+'Grants Need-Based'!CY36/'Total State Aid'!T36</f>
        <v>0.79419285008392293</v>
      </c>
      <c r="D35" s="94">
        <f>+'Grants Need-Based'!DD36/'Total State Aid'!Y36</f>
        <v>0.84901871973627074</v>
      </c>
      <c r="E35" s="94">
        <f>+'Grants Need-Based'!DE36/'Total State Aid'!Z36</f>
        <v>0.85206891474009716</v>
      </c>
      <c r="F35" s="94">
        <f>+'Grants Need-Based'!DF36/'Total State Aid'!AA36</f>
        <v>0.8527082587095669</v>
      </c>
      <c r="G35" s="94">
        <f>+'Grants Need-Based'!DI36/'Total State Aid'!AD36</f>
        <v>0.93308904760681333</v>
      </c>
      <c r="H35" s="94">
        <f>+'Grants Need-Based'!DJ36/'Total State Aid'!AE36</f>
        <v>0.94589813984451943</v>
      </c>
      <c r="I35" s="94">
        <f>+'Grants Need-Based'!DK36/'Total State Aid'!AF36</f>
        <v>0.95825917129672211</v>
      </c>
      <c r="J35" s="94">
        <f>+'Grants Need-Based'!DL36/'Total State Aid'!AG36</f>
        <v>0.96007739909822742</v>
      </c>
      <c r="K35" s="94">
        <f>+'Grants Need-Based'!DM36/'Total State Aid'!AH36</f>
        <v>0.95878576928653814</v>
      </c>
      <c r="L35" s="94">
        <f>+'Grants Need-Based'!DN36/'Total State Aid'!AI36</f>
        <v>0.92249591077641602</v>
      </c>
      <c r="M35" s="93">
        <f>+'Grants Non Need-Based '!CT36/'Total State Aid'!O36</f>
        <v>1.3623409989711935E-2</v>
      </c>
      <c r="N35" s="94">
        <f>+'Grants Non Need-Based '!CY36/'Total State Aid'!T36</f>
        <v>9.4981882068738352E-3</v>
      </c>
      <c r="O35" s="94">
        <f>+'Grants Non Need-Based '!DD36/'Total State Aid'!Y36</f>
        <v>1.4629317469730434E-2</v>
      </c>
      <c r="P35" s="94">
        <f>+'Grants Non Need-Based '!DE36/'Total State Aid'!Z36</f>
        <v>1.4203672928455729E-2</v>
      </c>
      <c r="Q35" s="94">
        <f>+'Grants Non Need-Based '!DF36/'Total State Aid'!AA36</f>
        <v>1.4502966781392594E-2</v>
      </c>
      <c r="R35" s="94">
        <f>+'Grants Non Need-Based '!DI36/'Total State Aid'!AD36</f>
        <v>8.8219047863730936E-3</v>
      </c>
      <c r="S35" s="94">
        <f>+'Grants Non Need-Based '!DJ36/'Total State Aid'!AE36</f>
        <v>5.0396404029511609E-3</v>
      </c>
      <c r="T35" s="94">
        <f>+'Grants Non Need-Based '!DK36/'Total State Aid'!AF36</f>
        <v>1.4309440985052181E-3</v>
      </c>
      <c r="U35" s="94">
        <f>+'Grants Non Need-Based '!DL36/'Total State Aid'!AG36</f>
        <v>1.6689832501884125E-4</v>
      </c>
      <c r="V35" s="94">
        <f>+'Grants Non Need-Based '!DM36/'Total State Aid'!AH36</f>
        <v>2.9994475755121755E-5</v>
      </c>
      <c r="W35" s="94">
        <f>+'Grants Non Need-Based '!DN36/'Total State Aid'!AI36</f>
        <v>3.4868615976216766E-2</v>
      </c>
      <c r="X35" s="93">
        <f>+Other!O36/'Total State Aid'!O36</f>
        <v>0.45170830712795657</v>
      </c>
      <c r="Y35" s="94">
        <f>+Other!T36/'Total State Aid'!T36</f>
        <v>0.19630896170920328</v>
      </c>
      <c r="Z35" s="94">
        <f>+Other!Y36/'Total State Aid'!Y36</f>
        <v>0.13635196279399886</v>
      </c>
      <c r="AA35" s="94">
        <f>+Other!AD36/'Total State Aid'!AD36</f>
        <v>5.8089047606813445E-2</v>
      </c>
      <c r="AB35" s="94">
        <f>+Other!AE36/'Total State Aid'!AE36</f>
        <v>4.9062219752529453E-2</v>
      </c>
      <c r="AC35" s="94">
        <f>+Other!AF36/'Total State Aid'!AF36</f>
        <v>4.0309884604772701E-2</v>
      </c>
      <c r="AD35" s="94">
        <f>+Other!AG36/'Total State Aid'!AG36</f>
        <v>3.9755702576753663E-2</v>
      </c>
      <c r="AE35" s="94">
        <f>+Other!AH36/'Total State Aid'!AH36</f>
        <v>4.118423623770686E-2</v>
      </c>
      <c r="AF35" s="94">
        <f>+Other!AI36/'Total State Aid'!AI36</f>
        <v>4.2635473247367203E-2</v>
      </c>
      <c r="AG35" s="93">
        <f t="shared" si="15"/>
        <v>1</v>
      </c>
      <c r="AH35" s="94">
        <f t="shared" si="16"/>
        <v>1</v>
      </c>
      <c r="AI35" s="94">
        <f t="shared" si="17"/>
        <v>1</v>
      </c>
      <c r="AJ35" s="94">
        <f t="shared" si="18"/>
        <v>0.99999999999999989</v>
      </c>
      <c r="AK35" s="94">
        <f t="shared" si="19"/>
        <v>1</v>
      </c>
      <c r="AL35" s="94">
        <f t="shared" si="20"/>
        <v>1</v>
      </c>
      <c r="AM35" s="94">
        <f t="shared" si="21"/>
        <v>0.99999999999999989</v>
      </c>
      <c r="AN35" s="94">
        <f t="shared" si="22"/>
        <v>1.0000000000000002</v>
      </c>
      <c r="AO35" s="94">
        <f t="shared" si="23"/>
        <v>0.99999999999999989</v>
      </c>
    </row>
    <row r="36" spans="1:41">
      <c r="A36" s="96" t="s">
        <v>67</v>
      </c>
      <c r="B36" s="98">
        <f>+'Grants Need-Based'!CT37/'Total State Aid'!O37</f>
        <v>1</v>
      </c>
      <c r="C36" s="98">
        <f>+'Grants Need-Based'!CY37/'Total State Aid'!T37</f>
        <v>1</v>
      </c>
      <c r="D36" s="98">
        <f>+'Grants Need-Based'!DD37/'Total State Aid'!Y37</f>
        <v>1</v>
      </c>
      <c r="E36" s="98">
        <f>+'Grants Need-Based'!DE37/'Total State Aid'!Z37</f>
        <v>1</v>
      </c>
      <c r="F36" s="98">
        <f>+'Grants Need-Based'!DF37/'Total State Aid'!AA37</f>
        <v>1</v>
      </c>
      <c r="G36" s="98">
        <f>+'Grants Need-Based'!DI37/'Total State Aid'!AD37</f>
        <v>1</v>
      </c>
      <c r="H36" s="98">
        <f>+'Grants Need-Based'!DJ37/'Total State Aid'!AE37</f>
        <v>1</v>
      </c>
      <c r="I36" s="98">
        <f>+'Grants Need-Based'!DK37/'Total State Aid'!AF37</f>
        <v>1</v>
      </c>
      <c r="J36" s="98">
        <f>+'Grants Need-Based'!DL37/'Total State Aid'!AG37</f>
        <v>1</v>
      </c>
      <c r="K36" s="98">
        <f>+'Grants Need-Based'!DM37/'Total State Aid'!AH37</f>
        <v>1</v>
      </c>
      <c r="L36" s="98">
        <f>+'Grants Need-Based'!DN37/'Total State Aid'!AI37</f>
        <v>1</v>
      </c>
      <c r="M36" s="97">
        <f>+'Grants Non Need-Based '!CT37/'Total State Aid'!O37</f>
        <v>0</v>
      </c>
      <c r="N36" s="98">
        <f>+'Grants Non Need-Based '!CY37/'Total State Aid'!T37</f>
        <v>0</v>
      </c>
      <c r="O36" s="98">
        <f>+'Grants Non Need-Based '!DD37/'Total State Aid'!Y37</f>
        <v>0</v>
      </c>
      <c r="P36" s="98">
        <f>+'Grants Non Need-Based '!DE37/'Total State Aid'!Z37</f>
        <v>0</v>
      </c>
      <c r="Q36" s="98">
        <f>+'Grants Non Need-Based '!DF37/'Total State Aid'!AA37</f>
        <v>0</v>
      </c>
      <c r="R36" s="98">
        <f>+'Grants Non Need-Based '!DI37/'Total State Aid'!AD37</f>
        <v>0</v>
      </c>
      <c r="S36" s="98">
        <f>+'Grants Non Need-Based '!DJ37/'Total State Aid'!AE37</f>
        <v>0</v>
      </c>
      <c r="T36" s="98">
        <f>+'Grants Non Need-Based '!DK37/'Total State Aid'!AF37</f>
        <v>0</v>
      </c>
      <c r="U36" s="98">
        <f>+'Grants Non Need-Based '!DL37/'Total State Aid'!AG37</f>
        <v>0</v>
      </c>
      <c r="V36" s="98">
        <f>+'Grants Non Need-Based '!DM37/'Total State Aid'!AH37</f>
        <v>0</v>
      </c>
      <c r="W36" s="98">
        <f>+'Grants Non Need-Based '!DN37/'Total State Aid'!AI37</f>
        <v>0</v>
      </c>
      <c r="X36" s="97">
        <f>IF(Other!O37="NA",,Other!O37/'Total State Aid'!O37)</f>
        <v>0</v>
      </c>
      <c r="Y36" s="98">
        <f>IF(Other!T37="NA",,Other!T37/'Total State Aid'!T37)</f>
        <v>0</v>
      </c>
      <c r="Z36" s="98">
        <f>IF(Other!Y37="NA",,Other!Y37/'Total State Aid'!Y37)</f>
        <v>0</v>
      </c>
      <c r="AA36" s="98" t="str">
        <f>IF(Other!AD37="—","—",Other!AD37/'Total State Aid'!AD37)</f>
        <v>—</v>
      </c>
      <c r="AB36" s="98" t="str">
        <f>IF(Other!AE37="—","—",Other!AE37/'Total State Aid'!AE37)</f>
        <v>—</v>
      </c>
      <c r="AC36" s="98" t="str">
        <f>IF(Other!AF37="—","—",Other!AF37/'Total State Aid'!AF37)</f>
        <v>—</v>
      </c>
      <c r="AD36" s="287" t="str">
        <f>IF(Other!AG37="—","—",Other!AG37/'Total State Aid'!AG37)</f>
        <v>—</v>
      </c>
      <c r="AE36" s="98" t="str">
        <f>IF(Other!AH37="—","—",Other!AH37/'Total State Aid'!AH37)</f>
        <v>—</v>
      </c>
      <c r="AF36" s="98" t="str">
        <f>IF(Other!AI37="—","—",Other!AI37/'Total State Aid'!AI37)</f>
        <v>—</v>
      </c>
      <c r="AG36" s="97">
        <f t="shared" si="15"/>
        <v>1</v>
      </c>
      <c r="AH36" s="98">
        <f t="shared" si="16"/>
        <v>1</v>
      </c>
      <c r="AI36" s="98">
        <f t="shared" si="17"/>
        <v>1</v>
      </c>
      <c r="AJ36" s="98" t="s">
        <v>45</v>
      </c>
      <c r="AK36" s="98" t="s">
        <v>45</v>
      </c>
      <c r="AL36" s="98" t="s">
        <v>45</v>
      </c>
      <c r="AM36" s="98" t="s">
        <v>45</v>
      </c>
      <c r="AN36" s="98" t="s">
        <v>45</v>
      </c>
      <c r="AO36" s="98" t="s">
        <v>45</v>
      </c>
    </row>
    <row r="37" spans="1:41">
      <c r="A37" s="87" t="s">
        <v>68</v>
      </c>
      <c r="B37" s="94">
        <f>+'Grants Need-Based'!CT38/'Total State Aid'!O38</f>
        <v>0.73133689710441552</v>
      </c>
      <c r="C37" s="94">
        <f>+'Grants Need-Based'!CY38/'Total State Aid'!T38</f>
        <v>0.65217205328048866</v>
      </c>
      <c r="D37" s="94">
        <f>+'Grants Need-Based'!DD38/'Total State Aid'!Y38</f>
        <v>0.67525439854966818</v>
      </c>
      <c r="E37" s="94">
        <f>+'Grants Need-Based'!DE38/'Total State Aid'!Z38</f>
        <v>0.63295223584567195</v>
      </c>
      <c r="F37" s="94">
        <f>+'Grants Need-Based'!DF38/'Total State Aid'!AA38</f>
        <v>0.71274803129539488</v>
      </c>
      <c r="G37" s="94">
        <f>+'Grants Need-Based'!DI38/'Total State Aid'!AD38</f>
        <v>0.75911184077826088</v>
      </c>
      <c r="H37" s="94">
        <f>+'Grants Need-Based'!DJ38/'Total State Aid'!AE38</f>
        <v>0.78373158207347793</v>
      </c>
      <c r="I37" s="94">
        <f>+'Grants Need-Based'!DK38/'Total State Aid'!AF38</f>
        <v>0.78948773577338083</v>
      </c>
      <c r="J37" s="94">
        <f>+'Grants Need-Based'!DL38/'Total State Aid'!AG38</f>
        <v>0.77957505311390862</v>
      </c>
      <c r="K37" s="94">
        <f>+'Grants Need-Based'!DM38/'Total State Aid'!AH38</f>
        <v>0.77134668019471198</v>
      </c>
      <c r="L37" s="94">
        <f>+'Grants Need-Based'!DN38/'Total State Aid'!AI38</f>
        <v>0.77054231755190539</v>
      </c>
      <c r="M37" s="93">
        <f>+'Grants Non Need-Based '!CT38/'Total State Aid'!O38</f>
        <v>9.0483360823285244E-2</v>
      </c>
      <c r="N37" s="94">
        <f>+'Grants Non Need-Based '!CY38/'Total State Aid'!T38</f>
        <v>0.10255740727499309</v>
      </c>
      <c r="O37" s="94">
        <f>+'Grants Non Need-Based '!DD38/'Total State Aid'!Y38</f>
        <v>0.13444697391338362</v>
      </c>
      <c r="P37" s="94">
        <f>+'Grants Non Need-Based '!DE38/'Total State Aid'!Z38</f>
        <v>0.11552101759377623</v>
      </c>
      <c r="Q37" s="94">
        <f>+'Grants Non Need-Based '!DF38/'Total State Aid'!AA38</f>
        <v>0.11209663854838298</v>
      </c>
      <c r="R37" s="94">
        <f>+'Grants Non Need-Based '!DI38/'Total State Aid'!AD38</f>
        <v>7.1768238045350471E-2</v>
      </c>
      <c r="S37" s="94">
        <f>+'Grants Non Need-Based '!DJ38/'Total State Aid'!AE38</f>
        <v>6.5763239622981348E-2</v>
      </c>
      <c r="T37" s="94">
        <f>+'Grants Non Need-Based '!DK38/'Total State Aid'!AF38</f>
        <v>7.0914950434240009E-2</v>
      </c>
      <c r="U37" s="94">
        <f>+'Grants Non Need-Based '!DL38/'Total State Aid'!AG38</f>
        <v>7.1399696186661768E-2</v>
      </c>
      <c r="V37" s="94">
        <f>+'Grants Non Need-Based '!DM38/'Total State Aid'!AH38</f>
        <v>7.3591679411718888E-2</v>
      </c>
      <c r="W37" s="94">
        <f>+'Grants Non Need-Based '!DN38/'Total State Aid'!AI38</f>
        <v>7.2935051429030201E-2</v>
      </c>
      <c r="X37" s="93">
        <f>+Other!O38/'Total State Aid'!O38</f>
        <v>0.17817974207229917</v>
      </c>
      <c r="Y37" s="94">
        <f>+Other!T38/'Total State Aid'!T38</f>
        <v>0.24527053944451821</v>
      </c>
      <c r="Z37" s="94">
        <f>+Other!Y38/'Total State Aid'!Y38</f>
        <v>0.19029862753694818</v>
      </c>
      <c r="AA37" s="94">
        <f>+Other!AD38/'Total State Aid'!AD38</f>
        <v>0.1691199211763886</v>
      </c>
      <c r="AB37" s="94">
        <f>+Other!AE38/'Total State Aid'!AE38</f>
        <v>0.15050517830354074</v>
      </c>
      <c r="AC37" s="94">
        <f>+Other!AF38/'Total State Aid'!AF38</f>
        <v>0.13959731379237916</v>
      </c>
      <c r="AD37" s="94">
        <f>+Other!AG38/'Total State Aid'!AG38</f>
        <v>0.1490252506994296</v>
      </c>
      <c r="AE37" s="94">
        <f>+Other!AH38/'Total State Aid'!AH38</f>
        <v>0.15506164039356918</v>
      </c>
      <c r="AF37" s="94">
        <f>+Other!AI38/'Total State Aid'!AI38</f>
        <v>0.15652263101906444</v>
      </c>
      <c r="AG37" s="93">
        <f t="shared" si="15"/>
        <v>0.99999999999999989</v>
      </c>
      <c r="AH37" s="94">
        <f t="shared" si="16"/>
        <v>1</v>
      </c>
      <c r="AI37" s="94">
        <f t="shared" si="17"/>
        <v>0.99999999999999989</v>
      </c>
      <c r="AJ37" s="94">
        <f t="shared" ref="AJ37:AO37" si="24">+G37+R37+AA37</f>
        <v>1</v>
      </c>
      <c r="AK37" s="94">
        <f t="shared" si="24"/>
        <v>1</v>
      </c>
      <c r="AL37" s="94">
        <f t="shared" si="24"/>
        <v>1</v>
      </c>
      <c r="AM37" s="94">
        <f t="shared" si="24"/>
        <v>1</v>
      </c>
      <c r="AN37" s="94">
        <f t="shared" si="24"/>
        <v>1</v>
      </c>
      <c r="AO37" s="94">
        <f t="shared" si="24"/>
        <v>1</v>
      </c>
    </row>
    <row r="38" spans="1:41">
      <c r="A38" s="99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3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3"/>
      <c r="Y38" s="94"/>
      <c r="Z38" s="94"/>
      <c r="AA38" s="94"/>
      <c r="AB38" s="94"/>
      <c r="AC38" s="94"/>
      <c r="AD38" s="94"/>
      <c r="AE38" s="94"/>
      <c r="AF38" s="94"/>
      <c r="AG38" s="93"/>
      <c r="AH38" s="94"/>
      <c r="AI38" s="94"/>
      <c r="AJ38" s="94"/>
      <c r="AK38" s="94"/>
      <c r="AL38" s="94"/>
      <c r="AM38" s="94"/>
      <c r="AN38" s="94"/>
      <c r="AO38" s="94"/>
    </row>
    <row r="39" spans="1:41">
      <c r="A39" s="87" t="s">
        <v>69</v>
      </c>
      <c r="B39" s="94">
        <f>+'Grants Need-Based'!CT40/'Total State Aid'!O40</f>
        <v>0.89992704008170166</v>
      </c>
      <c r="C39" s="94">
        <f>+'Grants Need-Based'!CY40/'Total State Aid'!T40</f>
        <v>0.91389018738713945</v>
      </c>
      <c r="D39" s="94">
        <f>+'Grants Need-Based'!DD40/'Total State Aid'!Y40</f>
        <v>0.92167663194773009</v>
      </c>
      <c r="E39" s="94">
        <f>+'Grants Need-Based'!DE40/'Total State Aid'!Z40</f>
        <v>0.91889731947777609</v>
      </c>
      <c r="F39" s="94">
        <f>+'Grants Need-Based'!DF40/'Total State Aid'!AA40</f>
        <v>0.9164573084109533</v>
      </c>
      <c r="G39" s="94">
        <f>+'Grants Need-Based'!DI40/'Total State Aid'!AD40</f>
        <v>0.94054464006286587</v>
      </c>
      <c r="H39" s="94">
        <f>+'Grants Need-Based'!DJ40/'Total State Aid'!AE40</f>
        <v>0.97706103009356826</v>
      </c>
      <c r="I39" s="94">
        <f>+'Grants Need-Based'!DK40/'Total State Aid'!AF40</f>
        <v>0.98670952832738823</v>
      </c>
      <c r="J39" s="94">
        <f>+'Grants Need-Based'!DL40/'Total State Aid'!AG40</f>
        <v>0.9859732877090347</v>
      </c>
      <c r="K39" s="94">
        <f>+'Grants Need-Based'!DM40/'Total State Aid'!AH40</f>
        <v>0.99319884317335139</v>
      </c>
      <c r="L39" s="94">
        <f>+'Grants Need-Based'!DN40/'Total State Aid'!AI40</f>
        <v>0.98784486364497726</v>
      </c>
      <c r="M39" s="93">
        <f>+'Grants Non Need-Based '!CT40/'Total State Aid'!O40</f>
        <v>8.6052650114445697E-2</v>
      </c>
      <c r="N39" s="94">
        <f>+'Grants Non Need-Based '!CY40/'Total State Aid'!T40</f>
        <v>5.9943952333381588E-2</v>
      </c>
      <c r="O39" s="94">
        <f>+'Grants Non Need-Based '!DD40/'Total State Aid'!Y40</f>
        <v>6.1492789567153969E-2</v>
      </c>
      <c r="P39" s="94">
        <f>+'Grants Non Need-Based '!DE40/'Total State Aid'!Z40</f>
        <v>5.7216098556102615E-2</v>
      </c>
      <c r="Q39" s="94">
        <f>+'Grants Non Need-Based '!DF40/'Total State Aid'!AA40</f>
        <v>6.0171545472146593E-2</v>
      </c>
      <c r="R39" s="94">
        <f>+'Grants Non Need-Based '!DI40/'Total State Aid'!AD40</f>
        <v>4.4593233232135633E-2</v>
      </c>
      <c r="S39" s="94">
        <f>+'Grants Non Need-Based '!DJ40/'Total State Aid'!AE40</f>
        <v>2.763318722077046E-3</v>
      </c>
      <c r="T39" s="94">
        <f>+'Grants Non Need-Based '!DK40/'Total State Aid'!AF40</f>
        <v>2.7853012418574325E-3</v>
      </c>
      <c r="U39" s="94">
        <f>+'Grants Non Need-Based '!DL40/'Total State Aid'!AG40</f>
        <v>2.8119653402505652E-3</v>
      </c>
      <c r="V39" s="94">
        <f>+'Grants Non Need-Based '!DM40/'Total State Aid'!AH40</f>
        <v>1.5303018040677791E-3</v>
      </c>
      <c r="W39" s="94">
        <f>+'Grants Non Need-Based '!DN40/'Total State Aid'!AI40</f>
        <v>2.797777217352442E-3</v>
      </c>
      <c r="X39" s="93">
        <f>+Other!O40/'Total State Aid'!O40</f>
        <v>1.4020309803852602E-2</v>
      </c>
      <c r="Y39" s="94">
        <f>+Other!T40/'Total State Aid'!T40</f>
        <v>2.6165860279479008E-2</v>
      </c>
      <c r="Z39" s="94">
        <f>+Other!Y40/'Total State Aid'!Y40</f>
        <v>1.6830578485115898E-2</v>
      </c>
      <c r="AA39" s="94">
        <f>+Other!AD40/'Total State Aid'!AD40</f>
        <v>1.4862126704998434E-2</v>
      </c>
      <c r="AB39" s="94">
        <f>+Other!AE40/'Total State Aid'!AE40</f>
        <v>2.0175651184354718E-2</v>
      </c>
      <c r="AC39" s="94">
        <f>+Other!AF40/'Total State Aid'!AF40</f>
        <v>1.050517043075439E-2</v>
      </c>
      <c r="AD39" s="94">
        <f>+Other!AG40/'Total State Aid'!AG40</f>
        <v>1.1214746950714718E-2</v>
      </c>
      <c r="AE39" s="94">
        <f>+Other!AH40/'Total State Aid'!AH40</f>
        <v>5.2708550225809888E-3</v>
      </c>
      <c r="AF39" s="94">
        <f>+Other!AI40/'Total State Aid'!AI40</f>
        <v>9.357359137670291E-3</v>
      </c>
      <c r="AG39" s="93">
        <f t="shared" ref="AG39:AG51" si="25">+B39+M39+X39</f>
        <v>1</v>
      </c>
      <c r="AH39" s="94">
        <f t="shared" ref="AH39:AH51" si="26">+C39+N39+Y39</f>
        <v>1</v>
      </c>
      <c r="AI39" s="94">
        <f t="shared" ref="AI39:AI51" si="27">+D39+O39+Z39</f>
        <v>1</v>
      </c>
      <c r="AJ39" s="94">
        <f t="shared" ref="AJ39:AO42" si="28">+G39+R39+AA39</f>
        <v>0.99999999999999989</v>
      </c>
      <c r="AK39" s="94">
        <f t="shared" si="28"/>
        <v>1</v>
      </c>
      <c r="AL39" s="94">
        <f t="shared" si="28"/>
        <v>1</v>
      </c>
      <c r="AM39" s="94">
        <f t="shared" si="28"/>
        <v>0.99999999999999989</v>
      </c>
      <c r="AN39" s="94">
        <f t="shared" si="28"/>
        <v>1.0000000000000002</v>
      </c>
      <c r="AO39" s="94">
        <f t="shared" si="28"/>
        <v>1</v>
      </c>
    </row>
    <row r="40" spans="1:41">
      <c r="A40" s="87" t="s">
        <v>70</v>
      </c>
      <c r="B40" s="94">
        <f>+'Grants Need-Based'!CT41/'Total State Aid'!O41</f>
        <v>0.62864823184305141</v>
      </c>
      <c r="C40" s="94">
        <f>+'Grants Need-Based'!CY41/'Total State Aid'!T41</f>
        <v>0.82632682016896297</v>
      </c>
      <c r="D40" s="94">
        <f>+'Grants Need-Based'!DD41/'Total State Aid'!Y41</f>
        <v>0.92123542651425905</v>
      </c>
      <c r="E40" s="94">
        <f>+'Grants Need-Based'!DE41/'Total State Aid'!Z41</f>
        <v>0.53627561484412067</v>
      </c>
      <c r="F40" s="94">
        <f>+'Grants Need-Based'!DF41/'Total State Aid'!AA41</f>
        <v>0.87776505765479429</v>
      </c>
      <c r="G40" s="94">
        <f>+'Grants Need-Based'!DI41/'Total State Aid'!AD41</f>
        <v>0.87772132636281086</v>
      </c>
      <c r="H40" s="94">
        <f>+'Grants Need-Based'!DJ41/'Total State Aid'!AE41</f>
        <v>0.88493513500257504</v>
      </c>
      <c r="I40" s="94">
        <f>+'Grants Need-Based'!DK41/'Total State Aid'!AF41</f>
        <v>0.89425761242286328</v>
      </c>
      <c r="J40" s="94">
        <f>+'Grants Need-Based'!DL41/'Total State Aid'!AG41</f>
        <v>0.89662424319614298</v>
      </c>
      <c r="K40" s="94">
        <f>+'Grants Need-Based'!DM41/'Total State Aid'!AH41</f>
        <v>0.89531951619384853</v>
      </c>
      <c r="L40" s="94">
        <f>+'Grants Need-Based'!DN41/'Total State Aid'!AI41</f>
        <v>0.88795158662001683</v>
      </c>
      <c r="M40" s="93">
        <f>+'Grants Non Need-Based '!CT41/'Total State Aid'!O41</f>
        <v>1.0620968020063373E-2</v>
      </c>
      <c r="N40" s="94">
        <f>+'Grants Non Need-Based '!CY41/'Total State Aid'!T41</f>
        <v>8.9256519766361536E-2</v>
      </c>
      <c r="O40" s="94">
        <f>+'Grants Non Need-Based '!DD41/'Total State Aid'!Y41</f>
        <v>2.5285907043482977E-2</v>
      </c>
      <c r="P40" s="94">
        <f>+'Grants Non Need-Based '!DE41/'Total State Aid'!Z41</f>
        <v>2.5226369576732192E-2</v>
      </c>
      <c r="Q40" s="94">
        <f>+'Grants Non Need-Based '!DF41/'Total State Aid'!AA41</f>
        <v>4.1096457864174193E-2</v>
      </c>
      <c r="R40" s="94">
        <f>+'Grants Non Need-Based '!DI41/'Total State Aid'!AD41</f>
        <v>3.0101577483949916E-2</v>
      </c>
      <c r="S40" s="94">
        <f>+'Grants Non Need-Based '!DJ41/'Total State Aid'!AE41</f>
        <v>2.4218834847375449E-2</v>
      </c>
      <c r="T40" s="94">
        <f>+'Grants Non Need-Based '!DK41/'Total State Aid'!AF41</f>
        <v>2.0394953045799018E-2</v>
      </c>
      <c r="U40" s="94">
        <f>+'Grants Non Need-Based '!DL41/'Total State Aid'!AG41</f>
        <v>1.9467992904915302E-2</v>
      </c>
      <c r="V40" s="94">
        <f>+'Grants Non Need-Based '!DM41/'Total State Aid'!AH41</f>
        <v>1.9054248531228762E-2</v>
      </c>
      <c r="W40" s="94">
        <f>+'Grants Non Need-Based '!DN41/'Total State Aid'!AI41</f>
        <v>1.7595022299380716E-2</v>
      </c>
      <c r="X40" s="93">
        <f>+Other!O41/'Total State Aid'!O41</f>
        <v>0.3607308001368853</v>
      </c>
      <c r="Y40" s="94">
        <f>+Other!T41/'Total State Aid'!T41</f>
        <v>8.4416660064675506E-2</v>
      </c>
      <c r="Z40" s="94">
        <f>+Other!Y41/'Total State Aid'!Y41</f>
        <v>5.3478666442258044E-2</v>
      </c>
      <c r="AA40" s="94">
        <f>+Other!AD41/'Total State Aid'!AD41</f>
        <v>9.217709615323931E-2</v>
      </c>
      <c r="AB40" s="94">
        <f>+Other!AE41/'Total State Aid'!AE41</f>
        <v>9.0846030150049592E-2</v>
      </c>
      <c r="AC40" s="94">
        <f>+Other!AF41/'Total State Aid'!AF41</f>
        <v>8.534743453133764E-2</v>
      </c>
      <c r="AD40" s="94">
        <f>+Other!AG41/'Total State Aid'!AG41</f>
        <v>8.390776389894164E-2</v>
      </c>
      <c r="AE40" s="94">
        <f>+Other!AH41/'Total State Aid'!AH41</f>
        <v>8.562623527492276E-2</v>
      </c>
      <c r="AF40" s="94">
        <f>+Other!AI41/'Total State Aid'!AI41</f>
        <v>9.445339108060237E-2</v>
      </c>
      <c r="AG40" s="93">
        <f t="shared" si="25"/>
        <v>1</v>
      </c>
      <c r="AH40" s="94">
        <f t="shared" si="26"/>
        <v>1</v>
      </c>
      <c r="AI40" s="94">
        <f t="shared" si="27"/>
        <v>1</v>
      </c>
      <c r="AJ40" s="94">
        <f t="shared" si="28"/>
        <v>1</v>
      </c>
      <c r="AK40" s="94">
        <f t="shared" si="28"/>
        <v>1</v>
      </c>
      <c r="AL40" s="94">
        <f t="shared" si="28"/>
        <v>0.99999999999999989</v>
      </c>
      <c r="AM40" s="94">
        <f t="shared" si="28"/>
        <v>0.99999999999999989</v>
      </c>
      <c r="AN40" s="94">
        <f t="shared" si="28"/>
        <v>1</v>
      </c>
      <c r="AO40" s="94">
        <f t="shared" si="28"/>
        <v>0.99999999999999989</v>
      </c>
    </row>
    <row r="41" spans="1:41">
      <c r="A41" s="87" t="s">
        <v>71</v>
      </c>
      <c r="B41" s="94">
        <f>+'Grants Need-Based'!CT42/'Total State Aid'!O42</f>
        <v>0.77687653250094024</v>
      </c>
      <c r="C41" s="94">
        <f>+'Grants Need-Based'!CY42/'Total State Aid'!T42</f>
        <v>0.84010568812157427</v>
      </c>
      <c r="D41" s="94">
        <f>+'Grants Need-Based'!DD42/'Total State Aid'!Y42</f>
        <v>0.89576079891378979</v>
      </c>
      <c r="E41" s="94">
        <f>+'Grants Need-Based'!DE42/'Total State Aid'!Z42</f>
        <v>0.89861218781826202</v>
      </c>
      <c r="F41" s="94">
        <f>+'Grants Need-Based'!DF42/'Total State Aid'!AA42</f>
        <v>0.89089846603360112</v>
      </c>
      <c r="G41" s="94">
        <f>+'Grants Need-Based'!DI42/'Total State Aid'!AD42</f>
        <v>0.8947602055624797</v>
      </c>
      <c r="H41" s="94">
        <f>+'Grants Need-Based'!DJ42/'Total State Aid'!AE42</f>
        <v>0.90358705710745491</v>
      </c>
      <c r="I41" s="94">
        <f>+'Grants Need-Based'!DK42/'Total State Aid'!AF42</f>
        <v>0.89350372736954198</v>
      </c>
      <c r="J41" s="94">
        <f>+'Grants Need-Based'!DL42/'Total State Aid'!AG42</f>
        <v>0.9078069245584437</v>
      </c>
      <c r="K41" s="94">
        <f>+'Grants Need-Based'!DM42/'Total State Aid'!AH42</f>
        <v>0.89995535199271814</v>
      </c>
      <c r="L41" s="94">
        <f>+'Grants Need-Based'!DN42/'Total State Aid'!AI42</f>
        <v>0.89708624842276563</v>
      </c>
      <c r="M41" s="93">
        <f>+'Grants Non Need-Based '!CT42/'Total State Aid'!O42</f>
        <v>8.7620439666399128E-3</v>
      </c>
      <c r="N41" s="94">
        <f>+'Grants Non Need-Based '!CY42/'Total State Aid'!T42</f>
        <v>7.8281419240489713E-3</v>
      </c>
      <c r="O41" s="94">
        <f>+'Grants Non Need-Based '!DD42/'Total State Aid'!Y42</f>
        <v>6.6547438353156312E-3</v>
      </c>
      <c r="P41" s="94">
        <f>+'Grants Non Need-Based '!DE42/'Total State Aid'!Z42</f>
        <v>6.9466611944609125E-3</v>
      </c>
      <c r="Q41" s="94">
        <f>+'Grants Non Need-Based '!DF42/'Total State Aid'!AA42</f>
        <v>6.8648648648648641E-2</v>
      </c>
      <c r="R41" s="94">
        <f>+'Grants Non Need-Based '!DI42/'Total State Aid'!AD42</f>
        <v>8.869577094466545E-2</v>
      </c>
      <c r="S41" s="94">
        <f>+'Grants Non Need-Based '!DJ42/'Total State Aid'!AE42</f>
        <v>8.1387141804037208E-2</v>
      </c>
      <c r="T41" s="94">
        <f>+'Grants Non Need-Based '!DK42/'Total State Aid'!AF42</f>
        <v>7.2027479038233644E-2</v>
      </c>
      <c r="U41" s="94">
        <f>+'Grants Non Need-Based '!DL42/'Total State Aid'!AG42</f>
        <v>7.1992714134280891E-2</v>
      </c>
      <c r="V41" s="94">
        <f>+'Grants Non Need-Based '!DM42/'Total State Aid'!AH42</f>
        <v>7.1661070165557436E-2</v>
      </c>
      <c r="W41" s="94">
        <f>+'Grants Non Need-Based '!DN42/'Total State Aid'!AI42</f>
        <v>7.6486338172947088E-2</v>
      </c>
      <c r="X41" s="93">
        <f>+Other!O42/'Total State Aid'!O42</f>
        <v>0.21436142353241988</v>
      </c>
      <c r="Y41" s="94">
        <f>+Other!T42/'Total State Aid'!T42</f>
        <v>0.15206616995437688</v>
      </c>
      <c r="Z41" s="94">
        <f>+Other!Y42/'Total State Aid'!Y42</f>
        <v>9.7584457250894541E-2</v>
      </c>
      <c r="AA41" s="94">
        <f>+Other!AD42/'Total State Aid'!AD42</f>
        <v>1.6544023492854824E-2</v>
      </c>
      <c r="AB41" s="94">
        <f>+Other!AE42/'Total State Aid'!AE42</f>
        <v>1.5025801088507929E-2</v>
      </c>
      <c r="AC41" s="94">
        <f>+Other!AF42/'Total State Aid'!AF42</f>
        <v>3.4468793592224267E-2</v>
      </c>
      <c r="AD41" s="94">
        <f>+Other!AG42/'Total State Aid'!AG42</f>
        <v>2.0200361307275413E-2</v>
      </c>
      <c r="AE41" s="94">
        <f>+Other!AH42/'Total State Aid'!AH42</f>
        <v>2.838357784172434E-2</v>
      </c>
      <c r="AF41" s="94">
        <f>+Other!AI42/'Total State Aid'!AI42</f>
        <v>2.642741340428726E-2</v>
      </c>
      <c r="AG41" s="93">
        <f t="shared" si="25"/>
        <v>1</v>
      </c>
      <c r="AH41" s="94">
        <f t="shared" si="26"/>
        <v>1.0000000000000002</v>
      </c>
      <c r="AI41" s="94">
        <f t="shared" si="27"/>
        <v>1</v>
      </c>
      <c r="AJ41" s="94">
        <f t="shared" si="28"/>
        <v>0.99999999999999989</v>
      </c>
      <c r="AK41" s="94">
        <f t="shared" si="28"/>
        <v>1</v>
      </c>
      <c r="AL41" s="94">
        <f t="shared" si="28"/>
        <v>1</v>
      </c>
      <c r="AM41" s="94">
        <f t="shared" si="28"/>
        <v>1</v>
      </c>
      <c r="AN41" s="94">
        <f t="shared" si="28"/>
        <v>0.99999999999999989</v>
      </c>
      <c r="AO41" s="94">
        <f t="shared" si="28"/>
        <v>1</v>
      </c>
    </row>
    <row r="42" spans="1:41">
      <c r="A42" s="87" t="s">
        <v>72</v>
      </c>
      <c r="B42" s="94">
        <f>+'Grants Need-Based'!CT43/'Total State Aid'!O43</f>
        <v>0.7799770447814407</v>
      </c>
      <c r="C42" s="94">
        <f>+'Grants Need-Based'!CY43/'Total State Aid'!T43</f>
        <v>0.81731132669774476</v>
      </c>
      <c r="D42" s="94">
        <f>+'Grants Need-Based'!DD43/'Total State Aid'!Y43</f>
        <v>0.79006271104679204</v>
      </c>
      <c r="E42" s="94">
        <f>+'Grants Need-Based'!DE43/'Total State Aid'!Z43</f>
        <v>0.7960708588699521</v>
      </c>
      <c r="F42" s="94">
        <f>+'Grants Need-Based'!DF43/'Total State Aid'!AA43</f>
        <v>0.79373659373659378</v>
      </c>
      <c r="G42" s="94">
        <f>+'Grants Need-Based'!DI43/'Total State Aid'!AD43</f>
        <v>0.80883887653704789</v>
      </c>
      <c r="H42" s="94">
        <f>+'Grants Need-Based'!DJ43/'Total State Aid'!AE43</f>
        <v>0.81736018718172232</v>
      </c>
      <c r="I42" s="94">
        <f>+'Grants Need-Based'!DK43/'Total State Aid'!AF43</f>
        <v>0.82135095979717487</v>
      </c>
      <c r="J42" s="94">
        <f>+'Grants Need-Based'!DL43/'Total State Aid'!AG43</f>
        <v>0.81921230440967285</v>
      </c>
      <c r="K42" s="94">
        <f>+'Grants Need-Based'!DM43/'Total State Aid'!AH43</f>
        <v>0.82066363313009782</v>
      </c>
      <c r="L42" s="94">
        <f>+'Grants Need-Based'!DN43/'Total State Aid'!AI43</f>
        <v>0.84248630717990736</v>
      </c>
      <c r="M42" s="93">
        <f>+'Grants Non Need-Based '!CT43/'Total State Aid'!O43</f>
        <v>4.8037078620059865E-3</v>
      </c>
      <c r="N42" s="94">
        <f>+'Grants Non Need-Based '!CY43/'Total State Aid'!T43</f>
        <v>7.8745117802696222E-3</v>
      </c>
      <c r="O42" s="94">
        <f>+'Grants Non Need-Based '!DD43/'Total State Aid'!Y43</f>
        <v>5.7404727448142788E-3</v>
      </c>
      <c r="P42" s="94">
        <f>+'Grants Non Need-Based '!DE43/'Total State Aid'!Z43</f>
        <v>5.2892284442951892E-3</v>
      </c>
      <c r="Q42" s="94">
        <f>+'Grants Non Need-Based '!DF43/'Total State Aid'!AA43</f>
        <v>6.8640068640068632E-3</v>
      </c>
      <c r="R42" s="94">
        <f>+'Grants Non Need-Based '!DI43/'Total State Aid'!AD43</f>
        <v>5.3995190344389484E-3</v>
      </c>
      <c r="S42" s="94">
        <f>+'Grants Non Need-Based '!DJ43/'Total State Aid'!AE43</f>
        <v>3.7161077212460431E-3</v>
      </c>
      <c r="T42" s="94">
        <f>+'Grants Non Need-Based '!DK43/'Total State Aid'!AF43</f>
        <v>0</v>
      </c>
      <c r="U42" s="94">
        <f>+'Grants Non Need-Based '!DL43/'Total State Aid'!AG43</f>
        <v>0</v>
      </c>
      <c r="V42" s="94">
        <f>+'Grants Non Need-Based '!DM43/'Total State Aid'!AH43</f>
        <v>0</v>
      </c>
      <c r="W42" s="94">
        <f>+'Grants Non Need-Based '!DN43/'Total State Aid'!AI43</f>
        <v>0</v>
      </c>
      <c r="X42" s="93">
        <f>+Other!O43/'Total State Aid'!O43</f>
        <v>0.21521924735655337</v>
      </c>
      <c r="Y42" s="94">
        <f>+Other!T43/'Total State Aid'!T43</f>
        <v>0.17481416152198562</v>
      </c>
      <c r="Z42" s="94">
        <f>+Other!Y43/'Total State Aid'!Y43</f>
        <v>0.20419681620839361</v>
      </c>
      <c r="AA42" s="94">
        <f>+Other!AD43/'Total State Aid'!AD43</f>
        <v>0.18576160442851308</v>
      </c>
      <c r="AB42" s="94">
        <f>+Other!AE43/'Total State Aid'!AE43</f>
        <v>0.1789237050970317</v>
      </c>
      <c r="AC42" s="94">
        <f>+Other!AF43/'Total State Aid'!AF43</f>
        <v>0.17864904020282507</v>
      </c>
      <c r="AD42" s="94">
        <f>+Other!AG43/'Total State Aid'!AG43</f>
        <v>0.18078769559032717</v>
      </c>
      <c r="AE42" s="94">
        <f>+Other!AH43/'Total State Aid'!AH43</f>
        <v>0.17933636686990209</v>
      </c>
      <c r="AF42" s="94">
        <f>+Other!AI43/'Total State Aid'!AI43</f>
        <v>0.15751369282009264</v>
      </c>
      <c r="AG42" s="93">
        <f t="shared" si="25"/>
        <v>1</v>
      </c>
      <c r="AH42" s="94">
        <f t="shared" si="26"/>
        <v>1</v>
      </c>
      <c r="AI42" s="94">
        <f t="shared" si="27"/>
        <v>0.99999999999999989</v>
      </c>
      <c r="AJ42" s="94">
        <f t="shared" si="28"/>
        <v>0.99999999999999989</v>
      </c>
      <c r="AK42" s="94">
        <f t="shared" si="28"/>
        <v>1</v>
      </c>
      <c r="AL42" s="94">
        <f t="shared" si="28"/>
        <v>1</v>
      </c>
      <c r="AM42" s="94">
        <f t="shared" si="28"/>
        <v>1</v>
      </c>
      <c r="AN42" s="94">
        <f t="shared" si="28"/>
        <v>0.99999999999999989</v>
      </c>
      <c r="AO42" s="94">
        <f t="shared" si="28"/>
        <v>1</v>
      </c>
    </row>
    <row r="43" spans="1:41">
      <c r="A43" s="87" t="s">
        <v>73</v>
      </c>
      <c r="B43" s="94">
        <f>+'Grants Need-Based'!CT44/'Total State Aid'!O44</f>
        <v>0.79170085061116213</v>
      </c>
      <c r="C43" s="94">
        <f>+'Grants Need-Based'!CY44/'Total State Aid'!T44</f>
        <v>0.41587267992728455</v>
      </c>
      <c r="D43" s="94">
        <f>+'Grants Need-Based'!DD44/'Total State Aid'!Y44</f>
        <v>0.29388345082923367</v>
      </c>
      <c r="E43" s="94">
        <f>+'Grants Need-Based'!DE44/'Total State Aid'!Z44</f>
        <v>0.39504815680003996</v>
      </c>
      <c r="F43" s="94">
        <f>+'Grants Need-Based'!DF44/'Total State Aid'!AA44</f>
        <v>0.46372081583229274</v>
      </c>
      <c r="G43" s="94">
        <f>+'Grants Need-Based'!DI44/'Total State Aid'!AD44</f>
        <v>0.98856288713494656</v>
      </c>
      <c r="H43" s="94">
        <f>+'Grants Need-Based'!DJ44/'Total State Aid'!AE44</f>
        <v>0.98839164457091122</v>
      </c>
      <c r="I43" s="94">
        <f>+'Grants Need-Based'!DK44/'Total State Aid'!AF44</f>
        <v>0.98852091167854406</v>
      </c>
      <c r="J43" s="94">
        <f>+'Grants Need-Based'!DL44/'Total State Aid'!AG44</f>
        <v>0.98861833482789552</v>
      </c>
      <c r="K43" s="94">
        <f>+'Grants Need-Based'!DM44/'Total State Aid'!AH44</f>
        <v>0.98875008390284946</v>
      </c>
      <c r="L43" s="94">
        <f>+'Grants Need-Based'!DN44/'Total State Aid'!AI44</f>
        <v>0.98928564935097463</v>
      </c>
      <c r="M43" s="93">
        <f>+'Grants Non Need-Based '!CT44/'Total State Aid'!O44</f>
        <v>0</v>
      </c>
      <c r="N43" s="94">
        <f>+'Grants Non Need-Based '!CY44/'Total State Aid'!T44</f>
        <v>0</v>
      </c>
      <c r="O43" s="94">
        <f>+'Grants Non Need-Based '!DD44/'Total State Aid'!Y44</f>
        <v>0.37258457168940512</v>
      </c>
      <c r="P43" s="94">
        <f>+'Grants Non Need-Based '!DE44/'Total State Aid'!Z44</f>
        <v>0.40973046349618786</v>
      </c>
      <c r="Q43" s="94">
        <f>+'Grants Non Need-Based '!DF44/'Total State Aid'!AA44</f>
        <v>0.35611306618231348</v>
      </c>
      <c r="R43" s="94">
        <f>+'Grants Non Need-Based '!DI44/'Total State Aid'!AD44</f>
        <v>1.1437112865053391E-2</v>
      </c>
      <c r="S43" s="94">
        <f>+'Grants Non Need-Based '!DJ44/'Total State Aid'!AE44</f>
        <v>1.048740003017957E-2</v>
      </c>
      <c r="T43" s="94">
        <f>+'Grants Non Need-Based '!DK44/'Total State Aid'!AF44</f>
        <v>1.0533751636159648E-2</v>
      </c>
      <c r="U43" s="94">
        <f>+'Grants Non Need-Based '!DL44/'Total State Aid'!AG44</f>
        <v>1.0514490682801369E-2</v>
      </c>
      <c r="V43" s="94">
        <f>+'Grants Non Need-Based '!DM44/'Total State Aid'!AH44</f>
        <v>1.0541653059322573E-2</v>
      </c>
      <c r="W43" s="94">
        <f>+'Grants Non Need-Based '!DN44/'Total State Aid'!AI44</f>
        <v>1.0144942496159997E-2</v>
      </c>
      <c r="X43" s="93">
        <f>+Other!O44/'Total State Aid'!O44</f>
        <v>0.20829914938883784</v>
      </c>
      <c r="Y43" s="94">
        <f>+Other!T44/'Total State Aid'!T44</f>
        <v>0.58412732007271551</v>
      </c>
      <c r="Z43" s="94">
        <f>+Other!Y44/'Total State Aid'!Y44</f>
        <v>0.33353197748136126</v>
      </c>
      <c r="AA43" s="94" t="str">
        <f>IF(Other!AD44="—","—",Other!AD44/'Total State Aid'!AD44)</f>
        <v>—</v>
      </c>
      <c r="AB43" s="94">
        <f>IF(Other!AE44="NA","NA",Other!AE44/'Total State Aid'!AE44)</f>
        <v>1.1209553989092243E-3</v>
      </c>
      <c r="AC43" s="94">
        <f>IF(Other!AF44="NA","NA",Other!AF44/'Total State Aid'!AF44)</f>
        <v>9.4533668529637874E-4</v>
      </c>
      <c r="AD43" s="94">
        <f>IF(Other!AG44="NA","NA",Other!AG44/'Total State Aid'!AG44)</f>
        <v>8.6717448930320566E-4</v>
      </c>
      <c r="AE43" s="94">
        <f>IF(Other!AH44="NA","NA",Other!AH44/'Total State Aid'!AH44)</f>
        <v>7.0826303782803215E-4</v>
      </c>
      <c r="AF43" s="94">
        <f>IF(Other!AI44="NA","NA",Other!AI44/'Total State Aid'!AI44)</f>
        <v>5.694081528653935E-4</v>
      </c>
      <c r="AG43" s="93">
        <f t="shared" si="25"/>
        <v>1</v>
      </c>
      <c r="AH43" s="94">
        <f t="shared" si="26"/>
        <v>1</v>
      </c>
      <c r="AI43" s="94">
        <f t="shared" si="27"/>
        <v>1</v>
      </c>
      <c r="AJ43" s="94">
        <f>+G43+R43</f>
        <v>1</v>
      </c>
      <c r="AK43" s="94">
        <f t="shared" ref="AK43:AO44" si="29">+H43+S43+AB43</f>
        <v>1</v>
      </c>
      <c r="AL43" s="94">
        <f t="shared" si="29"/>
        <v>1</v>
      </c>
      <c r="AM43" s="94">
        <f t="shared" si="29"/>
        <v>1.0000000000000002</v>
      </c>
      <c r="AN43" s="94">
        <f t="shared" si="29"/>
        <v>1</v>
      </c>
      <c r="AO43" s="94">
        <f t="shared" si="29"/>
        <v>1</v>
      </c>
    </row>
    <row r="44" spans="1:41">
      <c r="A44" s="87" t="s">
        <v>74</v>
      </c>
      <c r="B44" s="94">
        <f>+'Grants Need-Based'!CT45/'Total State Aid'!O45</f>
        <v>0.73272398326989452</v>
      </c>
      <c r="C44" s="94">
        <f>+'Grants Need-Based'!CY45/'Total State Aid'!T45</f>
        <v>0.52321708070795037</v>
      </c>
      <c r="D44" s="94">
        <f>+'Grants Need-Based'!DD45/'Total State Aid'!Y45</f>
        <v>0.52048412077472095</v>
      </c>
      <c r="E44" s="94">
        <f>+'Grants Need-Based'!DE45/'Total State Aid'!Z45</f>
        <v>0.50339967579250722</v>
      </c>
      <c r="F44" s="94">
        <f>+'Grants Need-Based'!DF45/'Total State Aid'!AA45</f>
        <v>0.52743120716559089</v>
      </c>
      <c r="G44" s="94">
        <f>+'Grants Need-Based'!DI45/'Total State Aid'!AD45</f>
        <v>0.59879833934960514</v>
      </c>
      <c r="H44" s="94">
        <f>+'Grants Need-Based'!DJ45/'Total State Aid'!AE45</f>
        <v>0.6684009151151783</v>
      </c>
      <c r="I44" s="94">
        <f>+'Grants Need-Based'!DK45/'Total State Aid'!AF45</f>
        <v>0.70436141941535091</v>
      </c>
      <c r="J44" s="94">
        <f>+'Grants Need-Based'!DL45/'Total State Aid'!AG45</f>
        <v>0.723497131938592</v>
      </c>
      <c r="K44" s="94">
        <f>+'Grants Need-Based'!DM45/'Total State Aid'!AH45</f>
        <v>0.68696628857419073</v>
      </c>
      <c r="L44" s="94">
        <f>+'Grants Need-Based'!DN45/'Total State Aid'!AI45</f>
        <v>0.70381612666779014</v>
      </c>
      <c r="M44" s="93">
        <f>+'Grants Non Need-Based '!CT45/'Total State Aid'!O45</f>
        <v>3.0824247734826808E-4</v>
      </c>
      <c r="N44" s="94">
        <f>+'Grants Non Need-Based '!CY45/'Total State Aid'!T45</f>
        <v>1.5250632098567243E-4</v>
      </c>
      <c r="O44" s="94">
        <f>+'Grants Non Need-Based '!DD45/'Total State Aid'!Y45</f>
        <v>2.5227929553401778E-4</v>
      </c>
      <c r="P44" s="94">
        <f>+'Grants Non Need-Based '!DE45/'Total State Aid'!Z45</f>
        <v>1.5438452037875666E-4</v>
      </c>
      <c r="Q44" s="94">
        <f>+'Grants Non Need-Based '!DF45/'Total State Aid'!AA45</f>
        <v>1.9591264358334535E-4</v>
      </c>
      <c r="R44" s="94">
        <f>+'Grants Non Need-Based '!DI45/'Total State Aid'!AD45</f>
        <v>3.585857378499199E-3</v>
      </c>
      <c r="S44" s="94">
        <f>+'Grants Non Need-Based '!DJ45/'Total State Aid'!AE45</f>
        <v>3.48295992426633E-3</v>
      </c>
      <c r="T44" s="94">
        <f>+'Grants Non Need-Based '!DK45/'Total State Aid'!AF45</f>
        <v>5.6979834297326871E-3</v>
      </c>
      <c r="U44" s="94">
        <f>+'Grants Non Need-Based '!DL45/'Total State Aid'!AG45</f>
        <v>5.8720498968896006E-3</v>
      </c>
      <c r="V44" s="94">
        <f>+'Grants Non Need-Based '!DM45/'Total State Aid'!AH45</f>
        <v>6.0562845081028431E-3</v>
      </c>
      <c r="W44" s="94">
        <f>+'Grants Non Need-Based '!DN45/'Total State Aid'!AI45</f>
        <v>5.6428793023590726E-3</v>
      </c>
      <c r="X44" s="93">
        <f>+Other!O45/'Total State Aid'!O45</f>
        <v>0.26696777425275725</v>
      </c>
      <c r="Y44" s="94">
        <f>+Other!T45/'Total State Aid'!T45</f>
        <v>0.4766304129710639</v>
      </c>
      <c r="Z44" s="94">
        <f>+Other!Y45/'Total State Aid'!Y45</f>
        <v>0.47926359992974504</v>
      </c>
      <c r="AA44" s="94">
        <f>+Other!AD45/'Total State Aid'!AD45</f>
        <v>0.39761580327189566</v>
      </c>
      <c r="AB44" s="94">
        <f>+Other!AE45/'Total State Aid'!AE45</f>
        <v>0.32811612496055537</v>
      </c>
      <c r="AC44" s="94">
        <f>+Other!AF45/'Total State Aid'!AF45</f>
        <v>0.28994059715491638</v>
      </c>
      <c r="AD44" s="94">
        <f>+Other!AG45/'Total State Aid'!AG45</f>
        <v>0.27063081816451839</v>
      </c>
      <c r="AE44" s="94">
        <f>+Other!AH45/'Total State Aid'!AH45</f>
        <v>0.30697742691770641</v>
      </c>
      <c r="AF44" s="94">
        <f>+Other!AI45/'Total State Aid'!AI45</f>
        <v>0.29054099402985084</v>
      </c>
      <c r="AG44" s="93">
        <f t="shared" si="25"/>
        <v>1</v>
      </c>
      <c r="AH44" s="94">
        <f t="shared" si="26"/>
        <v>0.99999999999999989</v>
      </c>
      <c r="AI44" s="94">
        <f t="shared" si="27"/>
        <v>1</v>
      </c>
      <c r="AJ44" s="94">
        <f t="shared" ref="AJ44:AJ51" si="30">+G44+R44+AA44</f>
        <v>1</v>
      </c>
      <c r="AK44" s="94">
        <f t="shared" si="29"/>
        <v>1</v>
      </c>
      <c r="AL44" s="94">
        <f t="shared" si="29"/>
        <v>1</v>
      </c>
      <c r="AM44" s="94">
        <f t="shared" si="29"/>
        <v>1</v>
      </c>
      <c r="AN44" s="94">
        <f t="shared" si="29"/>
        <v>1</v>
      </c>
      <c r="AO44" s="94">
        <f t="shared" si="29"/>
        <v>1</v>
      </c>
    </row>
    <row r="45" spans="1:41">
      <c r="A45" s="87" t="s">
        <v>75</v>
      </c>
      <c r="B45" s="94">
        <f>+'Grants Need-Based'!CT46/'Total State Aid'!O46</f>
        <v>0.17547205201309188</v>
      </c>
      <c r="C45" s="94">
        <f>+'Grants Need-Based'!CY46/'Total State Aid'!T46</f>
        <v>0.44617307291750119</v>
      </c>
      <c r="D45" s="94">
        <f>+'Grants Need-Based'!DD46/'Total State Aid'!Y46</f>
        <v>0.35205329285774511</v>
      </c>
      <c r="E45" s="94">
        <f>+'Grants Need-Based'!DE46/'Total State Aid'!Z46</f>
        <v>0.6010911345319282</v>
      </c>
      <c r="F45" s="94">
        <f>+'Grants Need-Based'!DF46/'Total State Aid'!AA46</f>
        <v>0.6614618531033255</v>
      </c>
      <c r="G45" s="94">
        <f>+'Grants Need-Based'!DI46/'Total State Aid'!AD46</f>
        <v>0.54477883182495557</v>
      </c>
      <c r="H45" s="94">
        <f>+'Grants Need-Based'!DJ46/'Total State Aid'!AE46</f>
        <v>0.61015144684973288</v>
      </c>
      <c r="I45" s="94">
        <f>+'Grants Need-Based'!DK46/'Total State Aid'!AF46</f>
        <v>0.5636974696035898</v>
      </c>
      <c r="J45" s="94">
        <f>+'Grants Need-Based'!DL46/'Total State Aid'!AG46</f>
        <v>0.5376946704747535</v>
      </c>
      <c r="K45" s="94">
        <f>+'Grants Need-Based'!DM46/'Total State Aid'!AH46</f>
        <v>0.56780132528455596</v>
      </c>
      <c r="L45" s="94">
        <f>+'Grants Need-Based'!DN46/'Total State Aid'!AI46</f>
        <v>0.5793473858035092</v>
      </c>
      <c r="M45" s="93">
        <f>+'Grants Non Need-Based '!CT46/'Total State Aid'!O46</f>
        <v>0.16639126750718816</v>
      </c>
      <c r="N45" s="94">
        <f>+'Grants Non Need-Based '!CY46/'Total State Aid'!T46</f>
        <v>0.25060484193998045</v>
      </c>
      <c r="O45" s="94">
        <f>+'Grants Non Need-Based '!DD46/'Total State Aid'!Y46</f>
        <v>0.48840543047474488</v>
      </c>
      <c r="P45" s="94">
        <f>+'Grants Non Need-Based '!DE46/'Total State Aid'!Z46</f>
        <v>0.30826203761107668</v>
      </c>
      <c r="Q45" s="94">
        <f>+'Grants Non Need-Based '!DF46/'Total State Aid'!AA46</f>
        <v>0.25812555575315665</v>
      </c>
      <c r="R45" s="94">
        <f>+'Grants Non Need-Based '!DI46/'Total State Aid'!AD46</f>
        <v>0.33656816777523352</v>
      </c>
      <c r="S45" s="94">
        <f>+'Grants Non Need-Based '!DJ46/'Total State Aid'!AE46</f>
        <v>0.38984855315026712</v>
      </c>
      <c r="T45" s="94">
        <f>+'Grants Non Need-Based '!DK46/'Total State Aid'!AF46</f>
        <v>0.43630253039641015</v>
      </c>
      <c r="U45" s="94">
        <f>+'Grants Non Need-Based '!DL46/'Total State Aid'!AG46</f>
        <v>0.4623053295252465</v>
      </c>
      <c r="V45" s="94">
        <f>+'Grants Non Need-Based '!DM46/'Total State Aid'!AH46</f>
        <v>0.43219867471544404</v>
      </c>
      <c r="W45" s="94">
        <f>+'Grants Non Need-Based '!DN46/'Total State Aid'!AI46</f>
        <v>0.42065261419649097</v>
      </c>
      <c r="X45" s="93">
        <f>+Other!O46/'Total State Aid'!O46</f>
        <v>0.65813668047971996</v>
      </c>
      <c r="Y45" s="94">
        <f>+Other!T46/'Total State Aid'!T46</f>
        <v>0.30322208514251842</v>
      </c>
      <c r="Z45" s="94">
        <f>+Other!Y46/'Total State Aid'!Y46</f>
        <v>0.15954127666750989</v>
      </c>
      <c r="AA45" s="94">
        <f>+Other!AD46/'Total State Aid'!AD46</f>
        <v>0.118653000399811</v>
      </c>
      <c r="AB45" s="94" t="str">
        <f>IF(Other!AE46="—","—",Other!AE46/'Total State Aid'!AE46)</f>
        <v>—</v>
      </c>
      <c r="AC45" s="94" t="str">
        <f>IF(Other!AF46="—","—",Other!AF46/'Total State Aid'!AF46)</f>
        <v>—</v>
      </c>
      <c r="AD45" s="94" t="str">
        <f>IF(Other!AG46="—","—",Other!AG46/'Total State Aid'!AG46)</f>
        <v>—</v>
      </c>
      <c r="AE45" s="94" t="str">
        <f>IF(Other!AH46="—","—",Other!AH46/'Total State Aid'!AH46)</f>
        <v>—</v>
      </c>
      <c r="AF45" s="94" t="str">
        <f>IF(Other!AI46="—","—",Other!AI46/'Total State Aid'!AI46)</f>
        <v>—</v>
      </c>
      <c r="AG45" s="93">
        <f t="shared" si="25"/>
        <v>1</v>
      </c>
      <c r="AH45" s="94">
        <f t="shared" si="26"/>
        <v>1</v>
      </c>
      <c r="AI45" s="94">
        <f t="shared" si="27"/>
        <v>1</v>
      </c>
      <c r="AJ45" s="94">
        <f t="shared" si="30"/>
        <v>1</v>
      </c>
      <c r="AK45" s="94">
        <f>+H45+S45</f>
        <v>1</v>
      </c>
      <c r="AL45" s="94">
        <f>+I45+T45</f>
        <v>1</v>
      </c>
      <c r="AM45" s="94">
        <f>+J45+U45</f>
        <v>1</v>
      </c>
      <c r="AN45" s="94">
        <f>+K45+V45</f>
        <v>1</v>
      </c>
      <c r="AO45" s="94">
        <f>+L45+W45</f>
        <v>1.0000000000000002</v>
      </c>
    </row>
    <row r="46" spans="1:41">
      <c r="A46" s="87" t="s">
        <v>76</v>
      </c>
      <c r="B46" s="94">
        <f>+'Grants Need-Based'!CT47/'Total State Aid'!O47</f>
        <v>0.72234830010816109</v>
      </c>
      <c r="C46" s="94">
        <f>+'Grants Need-Based'!CY47/'Total State Aid'!T47</f>
        <v>0.16837148521989906</v>
      </c>
      <c r="D46" s="94">
        <f>+'Grants Need-Based'!DD47/'Total State Aid'!Y47</f>
        <v>0.12173199742192534</v>
      </c>
      <c r="E46" s="94">
        <f>+'Grants Need-Based'!DE47/'Total State Aid'!Z47</f>
        <v>0.1064876159412904</v>
      </c>
      <c r="F46" s="94">
        <f>+'Grants Need-Based'!DF47/'Total State Aid'!AA47</f>
        <v>0.10581364656196385</v>
      </c>
      <c r="G46" s="94">
        <f>+'Grants Need-Based'!DI47/'Total State Aid'!AD47</f>
        <v>0.11749377013310643</v>
      </c>
      <c r="H46" s="94">
        <f>+'Grants Need-Based'!DJ47/'Total State Aid'!AE47</f>
        <v>0.12711541211803404</v>
      </c>
      <c r="I46" s="94">
        <f>+'Grants Need-Based'!DK47/'Total State Aid'!AF47</f>
        <v>0.13866033375712652</v>
      </c>
      <c r="J46" s="94">
        <f>+'Grants Need-Based'!DL47/'Total State Aid'!AG47</f>
        <v>0.11613974929451557</v>
      </c>
      <c r="K46" s="94">
        <f>+'Grants Need-Based'!DM47/'Total State Aid'!AH47</f>
        <v>0.1171476926531797</v>
      </c>
      <c r="L46" s="94">
        <f>+'Grants Need-Based'!DN47/'Total State Aid'!AI47</f>
        <v>0.11035106753384312</v>
      </c>
      <c r="M46" s="93">
        <f>+'Grants Non Need-Based '!CT47/'Total State Aid'!O47</f>
        <v>0</v>
      </c>
      <c r="N46" s="94">
        <f>+'Grants Non Need-Based '!CY47/'Total State Aid'!T47</f>
        <v>0.30087418889689976</v>
      </c>
      <c r="O46" s="94">
        <f>+'Grants Non Need-Based '!DD47/'Total State Aid'!Y47</f>
        <v>0</v>
      </c>
      <c r="P46" s="94">
        <f>+'Grants Non Need-Based '!DE47/'Total State Aid'!Z47</f>
        <v>0</v>
      </c>
      <c r="Q46" s="94">
        <f>+'Grants Non Need-Based '!DF47/'Total State Aid'!AA47</f>
        <v>0</v>
      </c>
      <c r="R46" s="94">
        <f>+'Grants Non Need-Based '!DI47/'Total State Aid'!AD47</f>
        <v>0</v>
      </c>
      <c r="S46" s="94">
        <f>+'Grants Non Need-Based '!DJ47/'Total State Aid'!AE47</f>
        <v>0</v>
      </c>
      <c r="T46" s="94">
        <f>+'Grants Non Need-Based '!DK47/'Total State Aid'!AF47</f>
        <v>0</v>
      </c>
      <c r="U46" s="94">
        <f>+'Grants Non Need-Based '!DL47/'Total State Aid'!AG47</f>
        <v>0</v>
      </c>
      <c r="V46" s="94">
        <f>+'Grants Non Need-Based '!DM47/'Total State Aid'!AH47</f>
        <v>1.4892883258428616E-2</v>
      </c>
      <c r="W46" s="94">
        <f>+'Grants Non Need-Based '!DN47/'Total State Aid'!AI47</f>
        <v>1.5961183212933255E-2</v>
      </c>
      <c r="X46" s="93">
        <f>+Other!O47/'Total State Aid'!O47</f>
        <v>0.27765169989183897</v>
      </c>
      <c r="Y46" s="94">
        <f>+Other!T47/'Total State Aid'!T47</f>
        <v>0.53075432588320115</v>
      </c>
      <c r="Z46" s="94">
        <f>+Other!Y47/'Total State Aid'!Y47</f>
        <v>0.87826800257807458</v>
      </c>
      <c r="AA46" s="94">
        <f>+Other!AD47/'Total State Aid'!AD47</f>
        <v>0.88250622986689364</v>
      </c>
      <c r="AB46" s="94">
        <f>+Other!AE47/'Total State Aid'!AE47</f>
        <v>0.87288458788196599</v>
      </c>
      <c r="AC46" s="94">
        <f>+Other!AF47/'Total State Aid'!AF47</f>
        <v>0.86133966624287339</v>
      </c>
      <c r="AD46" s="94">
        <f>+Other!AG47/'Total State Aid'!AG47</f>
        <v>0.88386025070548446</v>
      </c>
      <c r="AE46" s="94">
        <f>+Other!AH47/'Total State Aid'!AH47</f>
        <v>0.86795942408839177</v>
      </c>
      <c r="AF46" s="94">
        <f>+Other!AI47/'Total State Aid'!AI47</f>
        <v>0.87368774925322368</v>
      </c>
      <c r="AG46" s="93">
        <f t="shared" si="25"/>
        <v>1</v>
      </c>
      <c r="AH46" s="94">
        <f t="shared" si="26"/>
        <v>1</v>
      </c>
      <c r="AI46" s="94">
        <f t="shared" si="27"/>
        <v>0.99999999999999989</v>
      </c>
      <c r="AJ46" s="94">
        <f t="shared" si="30"/>
        <v>1</v>
      </c>
      <c r="AK46" s="94">
        <f t="shared" ref="AK46:AO51" si="31">+H46+S46+AB46</f>
        <v>1</v>
      </c>
      <c r="AL46" s="94">
        <f t="shared" si="31"/>
        <v>0.99999999999999989</v>
      </c>
      <c r="AM46" s="94">
        <f t="shared" si="31"/>
        <v>1</v>
      </c>
      <c r="AN46" s="94">
        <f t="shared" si="31"/>
        <v>1</v>
      </c>
      <c r="AO46" s="94">
        <f t="shared" si="31"/>
        <v>1</v>
      </c>
    </row>
    <row r="47" spans="1:41">
      <c r="A47" s="87" t="s">
        <v>77</v>
      </c>
      <c r="B47" s="94">
        <f>+'Grants Need-Based'!CT48/'Total State Aid'!O48</f>
        <v>0.89731051344743284</v>
      </c>
      <c r="C47" s="94">
        <f>+'Grants Need-Based'!CY48/'Total State Aid'!T48</f>
        <v>0.30315478146565894</v>
      </c>
      <c r="D47" s="94">
        <f>+'Grants Need-Based'!DD48/'Total State Aid'!Y48</f>
        <v>0.70137597619933056</v>
      </c>
      <c r="E47" s="94">
        <f>+'Grants Need-Based'!DE48/'Total State Aid'!Z48</f>
        <v>0.71717625899280568</v>
      </c>
      <c r="F47" s="94">
        <f>+'Grants Need-Based'!DF48/'Total State Aid'!AA48</f>
        <v>0.65972540045766592</v>
      </c>
      <c r="G47" s="94">
        <f>+'Grants Need-Based'!DI48/'Total State Aid'!AD48</f>
        <v>0.62223542615699479</v>
      </c>
      <c r="H47" s="94">
        <f>+'Grants Need-Based'!DJ48/'Total State Aid'!AE48</f>
        <v>0.55521612952497323</v>
      </c>
      <c r="I47" s="94">
        <f>+'Grants Need-Based'!DK48/'Total State Aid'!AF48</f>
        <v>0.49977376703031523</v>
      </c>
      <c r="J47" s="94">
        <f>+'Grants Need-Based'!DL48/'Total State Aid'!AG48</f>
        <v>0.46946212276739885</v>
      </c>
      <c r="K47" s="94">
        <f>+'Grants Need-Based'!DM48/'Total State Aid'!AH48</f>
        <v>0.51627999352723852</v>
      </c>
      <c r="L47" s="94">
        <f>+'Grants Need-Based'!DN48/'Total State Aid'!AI48</f>
        <v>0.50782693723923755</v>
      </c>
      <c r="M47" s="93">
        <f>+'Grants Non Need-Based '!CT48/'Total State Aid'!O48</f>
        <v>0.10268948655256725</v>
      </c>
      <c r="N47" s="94">
        <f>+'Grants Non Need-Based '!CY48/'Total State Aid'!T48</f>
        <v>0</v>
      </c>
      <c r="O47" s="94">
        <f>+'Grants Non Need-Based '!DD48/'Total State Aid'!Y48</f>
        <v>0.1312755671253254</v>
      </c>
      <c r="P47" s="94">
        <f>+'Grants Non Need-Based '!DE48/'Total State Aid'!Z48</f>
        <v>0.13219424460431653</v>
      </c>
      <c r="Q47" s="94">
        <f>+'Grants Non Need-Based '!DF48/'Total State Aid'!AA48</f>
        <v>0.16750572082379861</v>
      </c>
      <c r="R47" s="94">
        <f>+'Grants Non Need-Based '!DI48/'Total State Aid'!AD48</f>
        <v>0.26513501023304947</v>
      </c>
      <c r="S47" s="94">
        <f>+'Grants Non Need-Based '!DJ48/'Total State Aid'!AE48</f>
        <v>0.36159055037930865</v>
      </c>
      <c r="T47" s="94">
        <f>+'Grants Non Need-Based '!DK48/'Total State Aid'!AF48</f>
        <v>0.42456387310844096</v>
      </c>
      <c r="U47" s="94">
        <f>+'Grants Non Need-Based '!DL48/'Total State Aid'!AG48</f>
        <v>0.448778484910696</v>
      </c>
      <c r="V47" s="94">
        <f>+'Grants Non Need-Based '!DM48/'Total State Aid'!AH48</f>
        <v>0.41468381378775548</v>
      </c>
      <c r="W47" s="94">
        <f>+'Grants Non Need-Based '!DN48/'Total State Aid'!AI48</f>
        <v>0.42147935076169896</v>
      </c>
      <c r="X47" s="93">
        <f>+Other!O48/'Total State Aid'!O48</f>
        <v>0</v>
      </c>
      <c r="Y47" s="94">
        <f>+Other!T48/'Total State Aid'!T48</f>
        <v>0.69684521853434112</v>
      </c>
      <c r="Z47" s="94">
        <f>+Other!Y48/'Total State Aid'!Y48</f>
        <v>0.16734845667534398</v>
      </c>
      <c r="AA47" s="94">
        <f>+Other!AD48/'Total State Aid'!AD48</f>
        <v>0.11262956360995577</v>
      </c>
      <c r="AB47" s="94">
        <f>+Other!AE48/'Total State Aid'!AE48</f>
        <v>8.3193320095718143E-2</v>
      </c>
      <c r="AC47" s="94">
        <f>+Other!AF48/'Total State Aid'!AF48</f>
        <v>7.5662359861243769E-2</v>
      </c>
      <c r="AD47" s="94">
        <f>+Other!AG48/'Total State Aid'!AG48</f>
        <v>8.1759392321905155E-2</v>
      </c>
      <c r="AE47" s="94">
        <f>+Other!AH48/'Total State Aid'!AH48</f>
        <v>6.9036192685005979E-2</v>
      </c>
      <c r="AF47" s="94">
        <f>+Other!AI48/'Total State Aid'!AI48</f>
        <v>7.0693711999063352E-2</v>
      </c>
      <c r="AG47" s="93">
        <f t="shared" si="25"/>
        <v>1</v>
      </c>
      <c r="AH47" s="94">
        <f t="shared" si="26"/>
        <v>1</v>
      </c>
      <c r="AI47" s="94">
        <f t="shared" si="27"/>
        <v>1</v>
      </c>
      <c r="AJ47" s="94">
        <f t="shared" si="30"/>
        <v>1</v>
      </c>
      <c r="AK47" s="94">
        <f t="shared" si="31"/>
        <v>1</v>
      </c>
      <c r="AL47" s="94">
        <f t="shared" si="31"/>
        <v>1</v>
      </c>
      <c r="AM47" s="94">
        <f t="shared" si="31"/>
        <v>1</v>
      </c>
      <c r="AN47" s="94">
        <f t="shared" si="31"/>
        <v>0.99999999999999989</v>
      </c>
      <c r="AO47" s="94">
        <f t="shared" si="31"/>
        <v>0.99999999999999989</v>
      </c>
    </row>
    <row r="48" spans="1:41">
      <c r="A48" s="87" t="s">
        <v>78</v>
      </c>
      <c r="B48" s="94">
        <f>+'Grants Need-Based'!CT49/'Total State Aid'!O49</f>
        <v>0.65426660167382167</v>
      </c>
      <c r="C48" s="94">
        <f>+'Grants Need-Based'!CY49/'Total State Aid'!T49</f>
        <v>0.54239056913711459</v>
      </c>
      <c r="D48" s="94">
        <f>+'Grants Need-Based'!DD49/'Total State Aid'!Y49</f>
        <v>0.69223511799174264</v>
      </c>
      <c r="E48" s="94">
        <f>+'Grants Need-Based'!DE49/'Total State Aid'!Z49</f>
        <v>0.74969143517795211</v>
      </c>
      <c r="F48" s="94">
        <f>+'Grants Need-Based'!DF49/'Total State Aid'!AA49</f>
        <v>0.78977755613775069</v>
      </c>
      <c r="G48" s="94">
        <f>+'Grants Need-Based'!DI49/'Total State Aid'!AD49</f>
        <v>0.68474536000511754</v>
      </c>
      <c r="H48" s="94">
        <f>+'Grants Need-Based'!DJ49/'Total State Aid'!AE49</f>
        <v>0.70493589481014218</v>
      </c>
      <c r="I48" s="94">
        <f>+'Grants Need-Based'!DK49/'Total State Aid'!AF49</f>
        <v>0.67270125461745811</v>
      </c>
      <c r="J48" s="94">
        <f>+'Grants Need-Based'!DL49/'Total State Aid'!AG49</f>
        <v>0.69598524169845544</v>
      </c>
      <c r="K48" s="94">
        <f>+'Grants Need-Based'!DM49/'Total State Aid'!AH49</f>
        <v>0.70880877399639164</v>
      </c>
      <c r="L48" s="94">
        <f>+'Grants Need-Based'!DN49/'Total State Aid'!AI49</f>
        <v>0.71226148484307339</v>
      </c>
      <c r="M48" s="93">
        <f>+'Grants Non Need-Based '!CT49/'Total State Aid'!O49</f>
        <v>0.31858266897914767</v>
      </c>
      <c r="N48" s="94">
        <f>+'Grants Non Need-Based '!CY49/'Total State Aid'!T49</f>
        <v>0.3966566818050053</v>
      </c>
      <c r="O48" s="94">
        <f>+'Grants Non Need-Based '!DD49/'Total State Aid'!Y49</f>
        <v>0.30557385741186194</v>
      </c>
      <c r="P48" s="94">
        <f>+'Grants Non Need-Based '!DE49/'Total State Aid'!Z49</f>
        <v>0.24673077523982126</v>
      </c>
      <c r="Q48" s="94">
        <f>+'Grants Non Need-Based '!DF49/'Total State Aid'!AA49</f>
        <v>0.20834357638035297</v>
      </c>
      <c r="R48" s="94">
        <f>+'Grants Non Need-Based '!DI49/'Total State Aid'!AD49</f>
        <v>0.30941523727713865</v>
      </c>
      <c r="S48" s="94">
        <f>+'Grants Non Need-Based '!DJ49/'Total State Aid'!AE49</f>
        <v>0.28960799573997459</v>
      </c>
      <c r="T48" s="94">
        <f>+'Grants Non Need-Based '!DK49/'Total State Aid'!AF49</f>
        <v>0.3206263103597457</v>
      </c>
      <c r="U48" s="94">
        <f>+'Grants Non Need-Based '!DL49/'Total State Aid'!AG49</f>
        <v>0.29517384778938155</v>
      </c>
      <c r="V48" s="94">
        <f>+'Grants Non Need-Based '!DM49/'Total State Aid'!AH49</f>
        <v>0.28419202642994823</v>
      </c>
      <c r="W48" s="94">
        <f>+'Grants Non Need-Based '!DN49/'Total State Aid'!AI49</f>
        <v>0.28098280009621968</v>
      </c>
      <c r="X48" s="93">
        <f>+Other!O49/'Total State Aid'!O49</f>
        <v>2.7150729347030778E-2</v>
      </c>
      <c r="Y48" s="94">
        <f>+Other!T49/'Total State Aid'!T49</f>
        <v>6.0952749057879979E-2</v>
      </c>
      <c r="Z48" s="94">
        <f>+Other!Y49/'Total State Aid'!Y49</f>
        <v>2.1910245963953356E-3</v>
      </c>
      <c r="AA48" s="94">
        <f>+Other!AD49/'Total State Aid'!AD49</f>
        <v>5.8394027177439264E-3</v>
      </c>
      <c r="AB48" s="94">
        <f>+Other!AE49/'Total State Aid'!AE49</f>
        <v>5.4561094498832589E-3</v>
      </c>
      <c r="AC48" s="94">
        <f>+Other!AF49/'Total State Aid'!AF49</f>
        <v>6.6724350227961001E-3</v>
      </c>
      <c r="AD48" s="94">
        <f>+Other!AG49/'Total State Aid'!AG49</f>
        <v>8.8409105121630919E-3</v>
      </c>
      <c r="AE48" s="94">
        <f>+Other!AH49/'Total State Aid'!AH49</f>
        <v>6.9991995736600225E-3</v>
      </c>
      <c r="AF48" s="94">
        <f>+Other!AI49/'Total State Aid'!AI49</f>
        <v>6.755715060707026E-3</v>
      </c>
      <c r="AG48" s="93">
        <f t="shared" si="25"/>
        <v>1</v>
      </c>
      <c r="AH48" s="94">
        <f t="shared" si="26"/>
        <v>0.99999999999999989</v>
      </c>
      <c r="AI48" s="94">
        <f t="shared" si="27"/>
        <v>0.99999999999999989</v>
      </c>
      <c r="AJ48" s="94">
        <f t="shared" si="30"/>
        <v>1.0000000000000002</v>
      </c>
      <c r="AK48" s="94">
        <f t="shared" si="31"/>
        <v>1</v>
      </c>
      <c r="AL48" s="94">
        <f t="shared" si="31"/>
        <v>0.99999999999999989</v>
      </c>
      <c r="AM48" s="94">
        <f t="shared" si="31"/>
        <v>1.0000000000000002</v>
      </c>
      <c r="AN48" s="94">
        <f t="shared" si="31"/>
        <v>0.99999999999999989</v>
      </c>
      <c r="AO48" s="94">
        <f t="shared" si="31"/>
        <v>1</v>
      </c>
    </row>
    <row r="49" spans="1:41">
      <c r="A49" s="87" t="s">
        <v>79</v>
      </c>
      <c r="B49" s="94">
        <f>+'Grants Need-Based'!CT50/'Total State Aid'!O50</f>
        <v>0.7900950397559382</v>
      </c>
      <c r="C49" s="94">
        <f>+'Grants Need-Based'!CY50/'Total State Aid'!T50</f>
        <v>0</v>
      </c>
      <c r="D49" s="94">
        <f>+'Grants Need-Based'!DD50/'Total State Aid'!Y50</f>
        <v>0</v>
      </c>
      <c r="E49" s="94">
        <f>+'Grants Need-Based'!DE50/'Total State Aid'!Z50</f>
        <v>0</v>
      </c>
      <c r="F49" s="94">
        <f>+'Grants Need-Based'!DF50/'Total State Aid'!AA50</f>
        <v>4.343582235236701E-2</v>
      </c>
      <c r="G49" s="94">
        <f>+'Grants Need-Based'!DI50/'Total State Aid'!AD50</f>
        <v>0</v>
      </c>
      <c r="H49" s="94">
        <f>+'Grants Need-Based'!DJ50/'Total State Aid'!AE50</f>
        <v>0</v>
      </c>
      <c r="I49" s="94">
        <f>+'Grants Need-Based'!DK50/'Total State Aid'!AF50</f>
        <v>3.7929072634174096E-2</v>
      </c>
      <c r="J49" s="94">
        <f>+'Grants Need-Based'!DL50/'Total State Aid'!AG50</f>
        <v>4.1704942127503211E-2</v>
      </c>
      <c r="K49" s="94">
        <f>+'Grants Need-Based'!DM50/'Total State Aid'!AH50</f>
        <v>3.3060119336917299E-2</v>
      </c>
      <c r="L49" s="94">
        <f>+'Grants Need-Based'!DN50/'Total State Aid'!AI50</f>
        <v>3.6743263088428242E-2</v>
      </c>
      <c r="M49" s="93">
        <f>+'Grants Non Need-Based '!CT50/'Total State Aid'!O50</f>
        <v>0</v>
      </c>
      <c r="N49" s="94">
        <f>+'Grants Non Need-Based '!CY50/'Total State Aid'!T50</f>
        <v>0</v>
      </c>
      <c r="O49" s="94">
        <f>+'Grants Non Need-Based '!DD50/'Total State Aid'!Y50</f>
        <v>0.81710576555937375</v>
      </c>
      <c r="P49" s="94">
        <f>+'Grants Non Need-Based '!DE50/'Total State Aid'!Z50</f>
        <v>0.8468279004556607</v>
      </c>
      <c r="Q49" s="94">
        <f>+'Grants Non Need-Based '!DF50/'Total State Aid'!AA50</f>
        <v>0.86627623230844308</v>
      </c>
      <c r="R49" s="94">
        <f>+'Grants Non Need-Based '!DI50/'Total State Aid'!AD50</f>
        <v>0.89822718319107031</v>
      </c>
      <c r="S49" s="94">
        <f>+'Grants Non Need-Based '!DJ50/'Total State Aid'!AE50</f>
        <v>0.88779688779688781</v>
      </c>
      <c r="T49" s="94">
        <f>+'Grants Non Need-Based '!DK50/'Total State Aid'!AF50</f>
        <v>0.85492129717428411</v>
      </c>
      <c r="U49" s="94">
        <f>+'Grants Non Need-Based '!DL50/'Total State Aid'!AG50</f>
        <v>0.85871761896013232</v>
      </c>
      <c r="V49" s="94">
        <f>+'Grants Non Need-Based '!DM50/'Total State Aid'!AH50</f>
        <v>0.89339364607631755</v>
      </c>
      <c r="W49" s="94">
        <f>+'Grants Non Need-Based '!DN50/'Total State Aid'!AI50</f>
        <v>0.87008116116680101</v>
      </c>
      <c r="X49" s="93">
        <f>+Other!O50/'Total State Aid'!O50</f>
        <v>0.20990496024406174</v>
      </c>
      <c r="Y49" s="94">
        <f>+Other!T50/'Total State Aid'!T50</f>
        <v>1</v>
      </c>
      <c r="Z49" s="94">
        <f>IF(Other!Y50="NA",,Other!Y50/'Total State Aid'!Y50)</f>
        <v>0.18289423444062616</v>
      </c>
      <c r="AA49" s="94">
        <f>+Other!AD50/'Total State Aid'!AD50</f>
        <v>0.10177281680892974</v>
      </c>
      <c r="AB49" s="94">
        <f>+Other!AE50/'Total State Aid'!AE50</f>
        <v>0.1122031122031122</v>
      </c>
      <c r="AC49" s="94">
        <f>+Other!AF50/'Total State Aid'!AF50</f>
        <v>0.10714963019154182</v>
      </c>
      <c r="AD49" s="94">
        <f>+Other!AG50/'Total State Aid'!AG50</f>
        <v>9.9577438912364508E-2</v>
      </c>
      <c r="AE49" s="94">
        <f>+Other!AH50/'Total State Aid'!AH50</f>
        <v>7.3546234586765277E-2</v>
      </c>
      <c r="AF49" s="94">
        <f>+Other!AI50/'Total State Aid'!AI50</f>
        <v>9.3175575744770769E-2</v>
      </c>
      <c r="AG49" s="93">
        <f t="shared" si="25"/>
        <v>1</v>
      </c>
      <c r="AH49" s="94">
        <f t="shared" si="26"/>
        <v>1</v>
      </c>
      <c r="AI49" s="94">
        <f t="shared" si="27"/>
        <v>0.99999999999999989</v>
      </c>
      <c r="AJ49" s="94">
        <f t="shared" si="30"/>
        <v>1</v>
      </c>
      <c r="AK49" s="94">
        <f t="shared" si="31"/>
        <v>1</v>
      </c>
      <c r="AL49" s="94">
        <f t="shared" si="31"/>
        <v>1</v>
      </c>
      <c r="AM49" s="94">
        <f t="shared" si="31"/>
        <v>1</v>
      </c>
      <c r="AN49" s="94">
        <f t="shared" si="31"/>
        <v>1.0000000000000002</v>
      </c>
      <c r="AO49" s="94">
        <f t="shared" si="31"/>
        <v>1</v>
      </c>
    </row>
    <row r="50" spans="1:41">
      <c r="A50" s="96" t="s">
        <v>80</v>
      </c>
      <c r="B50" s="98">
        <f>+'Grants Need-Based'!CT51/'Total State Aid'!O51</f>
        <v>0.8059635116334094</v>
      </c>
      <c r="C50" s="98">
        <f>+'Grants Need-Based'!CY51/'Total State Aid'!T51</f>
        <v>0.80387158551260984</v>
      </c>
      <c r="D50" s="98">
        <f>+'Grants Need-Based'!DD51/'Total State Aid'!Y51</f>
        <v>0.89291800888573647</v>
      </c>
      <c r="E50" s="98">
        <f>+'Grants Need-Based'!DE51/'Total State Aid'!Z51</f>
        <v>0.90116996190821685</v>
      </c>
      <c r="F50" s="98">
        <f>+'Grants Need-Based'!DF51/'Total State Aid'!AA51</f>
        <v>0.90812178459981441</v>
      </c>
      <c r="G50" s="98">
        <f>+'Grants Need-Based'!DI51/'Total State Aid'!AD51</f>
        <v>0.917654076846389</v>
      </c>
      <c r="H50" s="98">
        <f>+'Grants Need-Based'!DJ51/'Total State Aid'!AE51</f>
        <v>0.92336260058228836</v>
      </c>
      <c r="I50" s="98">
        <f>+'Grants Need-Based'!DK51/'Total State Aid'!AF51</f>
        <v>0.92511048909840909</v>
      </c>
      <c r="J50" s="98">
        <f>+'Grants Need-Based'!DL51/'Total State Aid'!AG51</f>
        <v>0.9131574171536424</v>
      </c>
      <c r="K50" s="98">
        <f>+'Grants Need-Based'!DM51/'Total State Aid'!AH51</f>
        <v>0.9134391278820656</v>
      </c>
      <c r="L50" s="98">
        <f>+'Grants Need-Based'!DN51/'Total State Aid'!AI51</f>
        <v>0.90743307058116107</v>
      </c>
      <c r="M50" s="97">
        <f>+'Grants Non Need-Based '!CT51/'Total State Aid'!O51</f>
        <v>0.13711477265433297</v>
      </c>
      <c r="N50" s="98">
        <f>+'Grants Non Need-Based '!CY51/'Total State Aid'!T51</f>
        <v>0.1455855902485734</v>
      </c>
      <c r="O50" s="98">
        <f>+'Grants Non Need-Based '!DD51/'Total State Aid'!Y51</f>
        <v>3.1198589315443642E-2</v>
      </c>
      <c r="P50" s="98">
        <f>+'Grants Non Need-Based '!DE51/'Total State Aid'!Z51</f>
        <v>2.8750226736803917E-2</v>
      </c>
      <c r="Q50" s="98">
        <f>+'Grants Non Need-Based '!DF51/'Total State Aid'!AA51</f>
        <v>2.6338871552669313E-2</v>
      </c>
      <c r="R50" s="98">
        <f>+'Grants Non Need-Based '!DI51/'Total State Aid'!AD51</f>
        <v>2.507068494941736E-2</v>
      </c>
      <c r="S50" s="98">
        <f>+'Grants Non Need-Based '!DJ51/'Total State Aid'!AE51</f>
        <v>2.2871247029336024E-2</v>
      </c>
      <c r="T50" s="98">
        <f>+'Grants Non Need-Based '!DK51/'Total State Aid'!AF51</f>
        <v>2.1987330583382439E-2</v>
      </c>
      <c r="U50" s="98">
        <f>+'Grants Non Need-Based '!DL51/'Total State Aid'!AG51</f>
        <v>2.1334978766650938E-2</v>
      </c>
      <c r="V50" s="98">
        <f>+'Grants Non Need-Based '!DM51/'Total State Aid'!AH51</f>
        <v>2.1566923182515216E-2</v>
      </c>
      <c r="W50" s="98">
        <f>+'Grants Non Need-Based '!DN51/'Total State Aid'!AI51</f>
        <v>2.7038362828732596E-2</v>
      </c>
      <c r="X50" s="97">
        <f>+Other!O51/'Total State Aid'!O51</f>
        <v>5.6921715712257674E-2</v>
      </c>
      <c r="Y50" s="98">
        <f>+Other!T51/'Total State Aid'!T51</f>
        <v>5.0542824238816786E-2</v>
      </c>
      <c r="Z50" s="98">
        <f>+Other!Y51/'Total State Aid'!Y51</f>
        <v>7.5883401798819833E-2</v>
      </c>
      <c r="AA50" s="98">
        <f>+Other!AD51/'Total State Aid'!AD51</f>
        <v>5.7275238204193703E-2</v>
      </c>
      <c r="AB50" s="98">
        <f>+Other!AE51/'Total State Aid'!AE51</f>
        <v>5.3766152388375628E-2</v>
      </c>
      <c r="AC50" s="98">
        <f>+Other!AF51/'Total State Aid'!AF51</f>
        <v>5.2902180318208612E-2</v>
      </c>
      <c r="AD50" s="98">
        <f>+Other!AG51/'Total State Aid'!AG51</f>
        <v>6.5507604079706724E-2</v>
      </c>
      <c r="AE50" s="98">
        <f>+Other!AH51/'Total State Aid'!AH51</f>
        <v>6.4993948935419127E-2</v>
      </c>
      <c r="AF50" s="98">
        <f>+Other!AI51/'Total State Aid'!AI51</f>
        <v>6.5528566590106363E-2</v>
      </c>
      <c r="AG50" s="97">
        <f t="shared" si="25"/>
        <v>1</v>
      </c>
      <c r="AH50" s="98">
        <f t="shared" si="26"/>
        <v>1</v>
      </c>
      <c r="AI50" s="98">
        <f t="shared" si="27"/>
        <v>0.99999999999999989</v>
      </c>
      <c r="AJ50" s="98">
        <f t="shared" si="30"/>
        <v>1</v>
      </c>
      <c r="AK50" s="98">
        <f t="shared" si="31"/>
        <v>1</v>
      </c>
      <c r="AL50" s="98">
        <f t="shared" si="31"/>
        <v>1.0000000000000002</v>
      </c>
      <c r="AM50" s="98">
        <f t="shared" si="31"/>
        <v>1</v>
      </c>
      <c r="AN50" s="98">
        <f t="shared" si="31"/>
        <v>0.99999999999999989</v>
      </c>
      <c r="AO50" s="98">
        <f t="shared" si="31"/>
        <v>1</v>
      </c>
    </row>
    <row r="51" spans="1:41">
      <c r="A51" s="87" t="s">
        <v>81</v>
      </c>
      <c r="B51" s="94">
        <f>+'Grants Need-Based'!CT52/'Total State Aid'!O52</f>
        <v>0.80540067588153563</v>
      </c>
      <c r="C51" s="94">
        <f>+'Grants Need-Based'!CY52/'Total State Aid'!T52</f>
        <v>0.72976810668168313</v>
      </c>
      <c r="D51" s="94">
        <f>+'Grants Need-Based'!DD52/'Total State Aid'!Y52</f>
        <v>0.77433522055469217</v>
      </c>
      <c r="E51" s="94">
        <f>+'Grants Need-Based'!DE52/'Total State Aid'!Z52</f>
        <v>0.74349370813110183</v>
      </c>
      <c r="F51" s="94">
        <f>+'Grants Need-Based'!DF52/'Total State Aid'!AA52</f>
        <v>0.72538842578916052</v>
      </c>
      <c r="G51" s="94">
        <f>+'Grants Need-Based'!DI52/'Total State Aid'!AD52</f>
        <v>0.77976912813021537</v>
      </c>
      <c r="H51" s="94">
        <f>+'Grants Need-Based'!DJ52/'Total State Aid'!AE52</f>
        <v>0.80579540824387363</v>
      </c>
      <c r="I51" s="94">
        <f>+'Grants Need-Based'!DK52/'Total State Aid'!AF52</f>
        <v>0.79836726188320029</v>
      </c>
      <c r="J51" s="94">
        <f>+'Grants Need-Based'!DL52/'Total State Aid'!AG52</f>
        <v>0.80897100321614301</v>
      </c>
      <c r="K51" s="94">
        <f>+'Grants Need-Based'!DM52/'Total State Aid'!AH52</f>
        <v>0.79719359281476299</v>
      </c>
      <c r="L51" s="94">
        <f>+'Grants Need-Based'!DN52/'Total State Aid'!AI52</f>
        <v>0.78859040384520174</v>
      </c>
      <c r="M51" s="93">
        <f>+'Grants Non Need-Based '!CT52/'Total State Aid'!O52</f>
        <v>1.1816290350491431E-2</v>
      </c>
      <c r="N51" s="94">
        <f>+'Grants Non Need-Based '!CY52/'Total State Aid'!T52</f>
        <v>5.6351010755065427E-2</v>
      </c>
      <c r="O51" s="94">
        <f>+'Grants Non Need-Based '!DD52/'Total State Aid'!Y52</f>
        <v>2.3581105466470253E-2</v>
      </c>
      <c r="P51" s="94">
        <f>+'Grants Non Need-Based '!DE52/'Total State Aid'!Z52</f>
        <v>2.1842013533384847E-2</v>
      </c>
      <c r="Q51" s="94">
        <f>+'Grants Non Need-Based '!DF52/'Total State Aid'!AA52</f>
        <v>2.874415060088795E-2</v>
      </c>
      <c r="R51" s="94">
        <f>+'Grants Non Need-Based '!DI52/'Total State Aid'!AD52</f>
        <v>2.1987913706640116E-2</v>
      </c>
      <c r="S51" s="94">
        <f>+'Grants Non Need-Based '!DJ52/'Total State Aid'!AE52</f>
        <v>2.0753124506273958E-2</v>
      </c>
      <c r="T51" s="94">
        <f>+'Grants Non Need-Based '!DK52/'Total State Aid'!AF52</f>
        <v>1.8095814490733938E-2</v>
      </c>
      <c r="U51" s="94">
        <f>+'Grants Non Need-Based '!DL52/'Total State Aid'!AG52</f>
        <v>1.8766198393457317E-2</v>
      </c>
      <c r="V51" s="94">
        <f>+'Grants Non Need-Based '!DM52/'Total State Aid'!AH52</f>
        <v>2.0688555622710558E-2</v>
      </c>
      <c r="W51" s="94">
        <f>+'Grants Non Need-Based '!DN52/'Total State Aid'!AI52</f>
        <v>2.2059830617632063E-2</v>
      </c>
      <c r="X51" s="93">
        <f>+Other!O52/'Total State Aid'!O52</f>
        <v>0.18278303376797284</v>
      </c>
      <c r="Y51" s="94">
        <f>+Other!T52/'Total State Aid'!T52</f>
        <v>0.21388088256325138</v>
      </c>
      <c r="Z51" s="94">
        <f>+Other!Y52/'Total State Aid'!Y52</f>
        <v>0.20208367397883753</v>
      </c>
      <c r="AA51" s="94">
        <f>+Other!AD52/'Total State Aid'!AD52</f>
        <v>0.19824295816314455</v>
      </c>
      <c r="AB51" s="94">
        <f>+Other!AE52/'Total State Aid'!AE52</f>
        <v>0.17345146724985241</v>
      </c>
      <c r="AC51" s="94">
        <f>+Other!AF52/'Total State Aid'!AF52</f>
        <v>0.18353692362606566</v>
      </c>
      <c r="AD51" s="94">
        <f>+Other!AG52/'Total State Aid'!AG52</f>
        <v>0.17226279839039968</v>
      </c>
      <c r="AE51" s="94">
        <f>+Other!AH52/'Total State Aid'!AH52</f>
        <v>0.18211785156252638</v>
      </c>
      <c r="AF51" s="94">
        <f>+Other!AI52/'Total State Aid'!AI52</f>
        <v>0.18934976553716612</v>
      </c>
      <c r="AG51" s="93">
        <f t="shared" si="25"/>
        <v>1</v>
      </c>
      <c r="AH51" s="94">
        <f t="shared" si="26"/>
        <v>1</v>
      </c>
      <c r="AI51" s="94">
        <f t="shared" si="27"/>
        <v>1</v>
      </c>
      <c r="AJ51" s="94">
        <f t="shared" si="30"/>
        <v>1</v>
      </c>
      <c r="AK51" s="94">
        <f t="shared" si="31"/>
        <v>1</v>
      </c>
      <c r="AL51" s="94">
        <f t="shared" si="31"/>
        <v>0.99999999999999989</v>
      </c>
      <c r="AM51" s="94">
        <f t="shared" si="31"/>
        <v>1</v>
      </c>
      <c r="AN51" s="94">
        <f t="shared" si="31"/>
        <v>0.99999999999999989</v>
      </c>
      <c r="AO51" s="94">
        <f t="shared" si="31"/>
        <v>0.99999999999999989</v>
      </c>
    </row>
    <row r="52" spans="1:41">
      <c r="A52" s="99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3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3"/>
      <c r="Y52" s="94"/>
      <c r="Z52" s="94"/>
      <c r="AA52" s="94"/>
      <c r="AB52" s="94"/>
      <c r="AC52" s="94"/>
      <c r="AD52" s="94"/>
      <c r="AE52" s="94"/>
      <c r="AF52" s="94"/>
      <c r="AG52" s="93"/>
      <c r="AH52" s="94"/>
      <c r="AI52" s="94"/>
      <c r="AJ52" s="94"/>
      <c r="AK52" s="94"/>
      <c r="AL52" s="94"/>
      <c r="AM52" s="94"/>
      <c r="AN52" s="94"/>
      <c r="AO52" s="94"/>
    </row>
    <row r="53" spans="1:41">
      <c r="A53" s="87" t="s">
        <v>82</v>
      </c>
      <c r="B53" s="94">
        <f>+'Grants Need-Based'!CT54/'Total State Aid'!O54</f>
        <v>0.4332422507866644</v>
      </c>
      <c r="C53" s="94">
        <f>+'Grants Need-Based'!CY54/'Total State Aid'!T54</f>
        <v>0.60143313383967156</v>
      </c>
      <c r="D53" s="94">
        <f>+'Grants Need-Based'!DD54/'Total State Aid'!Y54</f>
        <v>0.41379224661516939</v>
      </c>
      <c r="E53" s="94">
        <f>+'Grants Need-Based'!DE54/'Total State Aid'!Z54</f>
        <v>0.50828428276042381</v>
      </c>
      <c r="F53" s="94">
        <f>+'Grants Need-Based'!DF54/'Total State Aid'!AA54</f>
        <v>0.49642411348631271</v>
      </c>
      <c r="G53" s="94">
        <f>+'Grants Need-Based'!DI54/'Total State Aid'!AD54</f>
        <v>0.37152127969943</v>
      </c>
      <c r="H53" s="94">
        <f>+'Grants Need-Based'!DJ54/'Total State Aid'!AE54</f>
        <v>0.32812026603955968</v>
      </c>
      <c r="I53" s="94">
        <f>+'Grants Need-Based'!DK54/'Total State Aid'!AF54</f>
        <v>0.27082156829392751</v>
      </c>
      <c r="J53" s="94">
        <f>+'Grants Need-Based'!DL54/'Total State Aid'!AG54</f>
        <v>0.2773768520037177</v>
      </c>
      <c r="K53" s="94">
        <f>+'Grants Need-Based'!DM54/'Total State Aid'!AH54</f>
        <v>0.27974930480514859</v>
      </c>
      <c r="L53" s="94">
        <f>+'Grants Need-Based'!DN54/'Total State Aid'!AI54</f>
        <v>0.24306068930592695</v>
      </c>
      <c r="M53" s="93">
        <f>+'Grants Non Need-Based '!CT54/'Total State Aid'!O54</f>
        <v>4.2690274502307176E-5</v>
      </c>
      <c r="N53" s="94">
        <f>+'Grants Non Need-Based '!CY54/'Total State Aid'!T54</f>
        <v>4.7636939427283219E-3</v>
      </c>
      <c r="O53" s="94">
        <f>+'Grants Non Need-Based '!DD54/'Total State Aid'!Y54</f>
        <v>4.7627836010364659E-3</v>
      </c>
      <c r="P53" s="94">
        <f>+'Grants Non Need-Based '!DE54/'Total State Aid'!Z54</f>
        <v>2.2693844198102306E-3</v>
      </c>
      <c r="Q53" s="94">
        <f>+'Grants Non Need-Based '!DF54/'Total State Aid'!AA54</f>
        <v>2.2530832698754132E-3</v>
      </c>
      <c r="R53" s="94">
        <f>+'Grants Non Need-Based '!DI54/'Total State Aid'!AD54</f>
        <v>2.2058875851223552E-3</v>
      </c>
      <c r="S53" s="94">
        <f>+'Grants Non Need-Based '!DJ54/'Total State Aid'!AE54</f>
        <v>2.4454287074574758E-3</v>
      </c>
      <c r="T53" s="94">
        <f>+'Grants Non Need-Based '!DK54/'Total State Aid'!AF54</f>
        <v>1.823439360435448E-3</v>
      </c>
      <c r="U53" s="94">
        <f>+'Grants Non Need-Based '!DL54/'Total State Aid'!AG54</f>
        <v>2.0160188070635836E-3</v>
      </c>
      <c r="V53" s="94">
        <f>+'Grants Non Need-Based '!DM54/'Total State Aid'!AH54</f>
        <v>7.7867583711143263E-3</v>
      </c>
      <c r="W53" s="94">
        <f>+'Grants Non Need-Based '!DN54/'Total State Aid'!AI54</f>
        <v>1.4685853435783863E-3</v>
      </c>
      <c r="X53" s="93">
        <f>+Other!O54/'Total State Aid'!O54</f>
        <v>0.56671505893883334</v>
      </c>
      <c r="Y53" s="94">
        <f>+Other!T54/'Total State Aid'!T54</f>
        <v>0.39380317221760025</v>
      </c>
      <c r="Z53" s="94">
        <f>+Other!Y54/'Total State Aid'!Y54</f>
        <v>0.58144496978379412</v>
      </c>
      <c r="AA53" s="94">
        <f>+Other!AD54/'Total State Aid'!AD54</f>
        <v>0.62627283271544754</v>
      </c>
      <c r="AB53" s="94">
        <f>+Other!AE54/'Total State Aid'!AE54</f>
        <v>0.66943430525298286</v>
      </c>
      <c r="AC53" s="94">
        <f>+Other!AF54/'Total State Aid'!AF54</f>
        <v>0.72735499234563694</v>
      </c>
      <c r="AD53" s="94">
        <f>+Other!AG54/'Total State Aid'!AG54</f>
        <v>0.72060712918921888</v>
      </c>
      <c r="AE53" s="94">
        <f>+Other!AH54/'Total State Aid'!AH54</f>
        <v>0.7124639368237371</v>
      </c>
      <c r="AF53" s="94">
        <f>+Other!AI54/'Total State Aid'!AI54</f>
        <v>0.75547072535049475</v>
      </c>
      <c r="AG53" s="93">
        <f t="shared" ref="AG53:AI59" si="32">+B53+M53+X53</f>
        <v>1</v>
      </c>
      <c r="AH53" s="94">
        <f t="shared" si="32"/>
        <v>1.0000000000000002</v>
      </c>
      <c r="AI53" s="94">
        <f t="shared" si="32"/>
        <v>1</v>
      </c>
      <c r="AJ53" s="94">
        <f t="shared" ref="AJ53:AO55" si="33">+G53+R53+AA53</f>
        <v>0.99999999999999989</v>
      </c>
      <c r="AK53" s="94">
        <f t="shared" si="33"/>
        <v>1</v>
      </c>
      <c r="AL53" s="94">
        <f t="shared" si="33"/>
        <v>0.99999999999999989</v>
      </c>
      <c r="AM53" s="94">
        <f t="shared" si="33"/>
        <v>1.0000000000000002</v>
      </c>
      <c r="AN53" s="94">
        <f t="shared" si="33"/>
        <v>1</v>
      </c>
      <c r="AO53" s="94">
        <f t="shared" si="33"/>
        <v>1</v>
      </c>
    </row>
    <row r="54" spans="1:41">
      <c r="A54" s="87" t="s">
        <v>83</v>
      </c>
      <c r="B54" s="94">
        <f>+'Grants Need-Based'!CT55/'Total State Aid'!O55</f>
        <v>0.85945490644365552</v>
      </c>
      <c r="C54" s="94">
        <f>+'Grants Need-Based'!CY55/'Total State Aid'!T55</f>
        <v>0.8235060025203953</v>
      </c>
      <c r="D54" s="94">
        <f>+'Grants Need-Based'!DD55/'Total State Aid'!Y55</f>
        <v>0.8238970393517292</v>
      </c>
      <c r="E54" s="94">
        <f>+'Grants Need-Based'!DE55/'Total State Aid'!Z55</f>
        <v>0.84665185955295119</v>
      </c>
      <c r="F54" s="94">
        <f>+'Grants Need-Based'!DF55/'Total State Aid'!AA55</f>
        <v>0.84133870467926875</v>
      </c>
      <c r="G54" s="94">
        <f>+'Grants Need-Based'!DI55/'Total State Aid'!AD55</f>
        <v>0.90139529452974498</v>
      </c>
      <c r="H54" s="94">
        <f>+'Grants Need-Based'!DJ55/'Total State Aid'!AE55</f>
        <v>0.89758739537173804</v>
      </c>
      <c r="I54" s="94">
        <f>+'Grants Need-Based'!DK55/'Total State Aid'!AF55</f>
        <v>0.85555240391433829</v>
      </c>
      <c r="J54" s="94">
        <f>+'Grants Need-Based'!DL55/'Total State Aid'!AG55</f>
        <v>0.86518033596837951</v>
      </c>
      <c r="K54" s="94">
        <f>+'Grants Need-Based'!DM55/'Total State Aid'!AH55</f>
        <v>0.88781086888883498</v>
      </c>
      <c r="L54" s="94">
        <f>+'Grants Need-Based'!DN55/'Total State Aid'!AI55</f>
        <v>0.89728640953064032</v>
      </c>
      <c r="M54" s="93">
        <f>+'Grants Non Need-Based '!CT55/'Total State Aid'!O55</f>
        <v>4.8131881354912455E-2</v>
      </c>
      <c r="N54" s="94">
        <f>+'Grants Non Need-Based '!CY55/'Total State Aid'!T55</f>
        <v>0</v>
      </c>
      <c r="O54" s="94">
        <f>+'Grants Non Need-Based '!DD55/'Total State Aid'!Y55</f>
        <v>0</v>
      </c>
      <c r="P54" s="94">
        <f>+'Grants Non Need-Based '!DE55/'Total State Aid'!Z55</f>
        <v>0</v>
      </c>
      <c r="Q54" s="94">
        <f>+'Grants Non Need-Based '!DF55/'Total State Aid'!AA55</f>
        <v>0</v>
      </c>
      <c r="R54" s="94">
        <f>+'Grants Non Need-Based '!DI55/'Total State Aid'!AD55</f>
        <v>0</v>
      </c>
      <c r="S54" s="94">
        <f>+'Grants Non Need-Based '!DJ55/'Total State Aid'!AE55</f>
        <v>0</v>
      </c>
      <c r="T54" s="94">
        <f>+'Grants Non Need-Based '!DK55/'Total State Aid'!AF55</f>
        <v>0</v>
      </c>
      <c r="U54" s="94">
        <f>+'Grants Non Need-Based '!DL55/'Total State Aid'!AG55</f>
        <v>0</v>
      </c>
      <c r="V54" s="94">
        <f>+'Grants Non Need-Based '!DM55/'Total State Aid'!AH55</f>
        <v>0</v>
      </c>
      <c r="W54" s="94">
        <f>+'Grants Non Need-Based '!DN55/'Total State Aid'!AI55</f>
        <v>0</v>
      </c>
      <c r="X54" s="93">
        <f>+Other!O55/'Total State Aid'!O55</f>
        <v>9.2413212201431991E-2</v>
      </c>
      <c r="Y54" s="94">
        <f>+Other!T55/'Total State Aid'!T55</f>
        <v>0.1764939974796047</v>
      </c>
      <c r="Z54" s="94">
        <f>+Other!Y55/'Total State Aid'!Y55</f>
        <v>0.17610296064827075</v>
      </c>
      <c r="AA54" s="94">
        <f>+Other!AD55/'Total State Aid'!AD55</f>
        <v>9.8604705470255141E-2</v>
      </c>
      <c r="AB54" s="94">
        <f>+Other!AE55/'Total State Aid'!AE55</f>
        <v>0.10241260462826195</v>
      </c>
      <c r="AC54" s="94">
        <f>+Other!AF55/'Total State Aid'!AF55</f>
        <v>0.1444475960856616</v>
      </c>
      <c r="AD54" s="94">
        <f>+Other!AG55/'Total State Aid'!AG55</f>
        <v>0.13481966403162055</v>
      </c>
      <c r="AE54" s="94">
        <f>+Other!AH55/'Total State Aid'!AH55</f>
        <v>0.11218913111116503</v>
      </c>
      <c r="AF54" s="94">
        <f>+Other!AI55/'Total State Aid'!AI55</f>
        <v>0.10271359046935968</v>
      </c>
      <c r="AG54" s="93">
        <f t="shared" si="32"/>
        <v>0.99999999999999989</v>
      </c>
      <c r="AH54" s="94">
        <f t="shared" si="32"/>
        <v>1</v>
      </c>
      <c r="AI54" s="94">
        <f t="shared" si="32"/>
        <v>1</v>
      </c>
      <c r="AJ54" s="94">
        <f t="shared" si="33"/>
        <v>1.0000000000000002</v>
      </c>
      <c r="AK54" s="94">
        <f t="shared" si="33"/>
        <v>1</v>
      </c>
      <c r="AL54" s="94">
        <f t="shared" si="33"/>
        <v>0.99999999999999989</v>
      </c>
      <c r="AM54" s="94">
        <f t="shared" si="33"/>
        <v>1</v>
      </c>
      <c r="AN54" s="94">
        <f t="shared" si="33"/>
        <v>1</v>
      </c>
      <c r="AO54" s="94">
        <f t="shared" si="33"/>
        <v>1</v>
      </c>
    </row>
    <row r="55" spans="1:41">
      <c r="A55" s="87" t="s">
        <v>84</v>
      </c>
      <c r="B55" s="94">
        <f>+'Grants Need-Based'!CT56/'Total State Aid'!O56</f>
        <v>0.73791686043308891</v>
      </c>
      <c r="C55" s="94">
        <f>+'Grants Need-Based'!CY56/'Total State Aid'!T56</f>
        <v>0.90080714715789822</v>
      </c>
      <c r="D55" s="94">
        <f>+'Grants Need-Based'!DD56/'Total State Aid'!Y56</f>
        <v>0.7137652280944049</v>
      </c>
      <c r="E55" s="94">
        <f>+'Grants Need-Based'!DE56/'Total State Aid'!Z56</f>
        <v>0.69646041261567992</v>
      </c>
      <c r="F55" s="94">
        <f>+'Grants Need-Based'!DF56/'Total State Aid'!AA56</f>
        <v>0.68006351473526672</v>
      </c>
      <c r="G55" s="94">
        <f>+'Grants Need-Based'!DI56/'Total State Aid'!AD56</f>
        <v>0.62812488116515186</v>
      </c>
      <c r="H55" s="94">
        <f>+'Grants Need-Based'!DJ56/'Total State Aid'!AE56</f>
        <v>0.6228167886134468</v>
      </c>
      <c r="I55" s="94">
        <f>+'Grants Need-Based'!DK56/'Total State Aid'!AF56</f>
        <v>0.63790664780763795</v>
      </c>
      <c r="J55" s="94">
        <f>+'Grants Need-Based'!DL56/'Total State Aid'!AG56</f>
        <v>0.64521542048946323</v>
      </c>
      <c r="K55" s="94">
        <f>+'Grants Need-Based'!DM56/'Total State Aid'!AH56</f>
        <v>0.88162024976641906</v>
      </c>
      <c r="L55" s="94">
        <f>+'Grants Need-Based'!DN56/'Total State Aid'!AI56</f>
        <v>0.65227722595138204</v>
      </c>
      <c r="M55" s="93">
        <f>+'Grants Non Need-Based '!CT56/'Total State Aid'!O56</f>
        <v>8.2257814550219799E-4</v>
      </c>
      <c r="N55" s="94">
        <f>+'Grants Non Need-Based '!CY56/'Total State Aid'!T56</f>
        <v>3.1643097752681003E-2</v>
      </c>
      <c r="O55" s="94">
        <f>+'Grants Non Need-Based '!DD56/'Total State Aid'!Y56</f>
        <v>1.4503302588100991E-4</v>
      </c>
      <c r="P55" s="94">
        <f>+'Grants Non Need-Based '!DE56/'Total State Aid'!Z56</f>
        <v>1.7750381229778684E-4</v>
      </c>
      <c r="Q55" s="94">
        <f>+'Grants Non Need-Based '!DF56/'Total State Aid'!AA56</f>
        <v>4.3761348700455088E-2</v>
      </c>
      <c r="R55" s="94">
        <f>+'Grants Non Need-Based '!DI56/'Total State Aid'!AD56</f>
        <v>5.4264745027949951E-2</v>
      </c>
      <c r="S55" s="94">
        <f>+'Grants Non Need-Based '!DJ56/'Total State Aid'!AE56</f>
        <v>5.311783335153434E-2</v>
      </c>
      <c r="T55" s="94">
        <f>+'Grants Non Need-Based '!DK56/'Total State Aid'!AF56</f>
        <v>2.976892804010231E-2</v>
      </c>
      <c r="U55" s="94">
        <f>+'Grants Non Need-Based '!DL56/'Total State Aid'!AG56</f>
        <v>2.4327877902964531E-2</v>
      </c>
      <c r="V55" s="94">
        <f>+'Grants Non Need-Based '!DM56/'Total State Aid'!AH56</f>
        <v>2.9747073321642007E-2</v>
      </c>
      <c r="W55" s="94">
        <f>+'Grants Non Need-Based '!DN56/'Total State Aid'!AI56</f>
        <v>1.9545238267557465E-2</v>
      </c>
      <c r="X55" s="93">
        <f>+Other!O56/'Total State Aid'!O56</f>
        <v>0.26126056142140885</v>
      </c>
      <c r="Y55" s="94">
        <f>+Other!T56/'Total State Aid'!T56</f>
        <v>6.7549755089420849E-2</v>
      </c>
      <c r="Z55" s="94">
        <f>+Other!Y56/'Total State Aid'!Y56</f>
        <v>0.28608973887971412</v>
      </c>
      <c r="AA55" s="94">
        <f>+Other!AD56/'Total State Aid'!AD56</f>
        <v>0.31761037380689811</v>
      </c>
      <c r="AB55" s="94">
        <f>+Other!AE56/'Total State Aid'!AE56</f>
        <v>0.32406537803501873</v>
      </c>
      <c r="AC55" s="94">
        <f>+Other!AF56/'Total State Aid'!AF56</f>
        <v>0.33232442415225977</v>
      </c>
      <c r="AD55" s="94">
        <f>+Other!AG56/'Total State Aid'!AG56</f>
        <v>0.33045670160757223</v>
      </c>
      <c r="AE55" s="94">
        <f>+Other!AH56/'Total State Aid'!AH56</f>
        <v>8.8632676911938976E-2</v>
      </c>
      <c r="AF55" s="94">
        <f>+Other!AI56/'Total State Aid'!AI56</f>
        <v>0.32817753578106046</v>
      </c>
      <c r="AG55" s="93">
        <f t="shared" si="32"/>
        <v>1</v>
      </c>
      <c r="AH55" s="94">
        <f t="shared" si="32"/>
        <v>1</v>
      </c>
      <c r="AI55" s="94">
        <f t="shared" si="32"/>
        <v>1</v>
      </c>
      <c r="AJ55" s="94">
        <f t="shared" si="33"/>
        <v>1</v>
      </c>
      <c r="AK55" s="94">
        <f t="shared" si="33"/>
        <v>0.99999999999999978</v>
      </c>
      <c r="AL55" s="94">
        <f t="shared" si="33"/>
        <v>1</v>
      </c>
      <c r="AM55" s="94">
        <f t="shared" si="33"/>
        <v>1</v>
      </c>
      <c r="AN55" s="94">
        <f t="shared" si="33"/>
        <v>1</v>
      </c>
      <c r="AO55" s="94">
        <f t="shared" si="33"/>
        <v>1</v>
      </c>
    </row>
    <row r="56" spans="1:41">
      <c r="A56" s="87" t="s">
        <v>85</v>
      </c>
      <c r="B56" s="94">
        <f>+'Grants Need-Based'!CT57/'Total State Aid'!O57</f>
        <v>0.4889904065783463</v>
      </c>
      <c r="C56" s="94">
        <f>+'Grants Need-Based'!CY57/'Total State Aid'!T57</f>
        <v>0.62134033139298239</v>
      </c>
      <c r="D56" s="94">
        <f>+'Grants Need-Based'!DD57/'Total State Aid'!Y57</f>
        <v>0.9144121987211018</v>
      </c>
      <c r="E56" s="94">
        <f>+'Grants Need-Based'!DE57/'Total State Aid'!Z57</f>
        <v>0.91151307748716692</v>
      </c>
      <c r="F56" s="94">
        <f>+'Grants Need-Based'!DF57/'Total State Aid'!AA57</f>
        <v>0.88969666583103535</v>
      </c>
      <c r="G56" s="94" t="str">
        <f>IF('Total State Aid'!AD57="—","—",'Grants Need-Based'!DI57/'Total State Aid'!AD57)</f>
        <v>—</v>
      </c>
      <c r="H56" s="94" t="str">
        <f>IF('Total State Aid'!AE57="—","—",'Grants Need-Based'!DJ57/'Total State Aid'!AE57)</f>
        <v>—</v>
      </c>
      <c r="I56" s="94" t="str">
        <f>IF('Total State Aid'!AF57="—","—",'Grants Need-Based'!DK57/'Total State Aid'!AF57)</f>
        <v>—</v>
      </c>
      <c r="J56" s="94">
        <f>IF('Total State Aid'!AG57="—","—",'Grants Need-Based'!DL57/'Total State Aid'!AG57)</f>
        <v>0</v>
      </c>
      <c r="K56" s="94">
        <f>IF('Total State Aid'!AH57="—","—",'Grants Need-Based'!DM57/'Total State Aid'!AH57)</f>
        <v>0</v>
      </c>
      <c r="L56" s="94">
        <f>IF('Total State Aid'!AI57="—","—",'Grants Need-Based'!DN57/'Total State Aid'!AI57)</f>
        <v>0</v>
      </c>
      <c r="M56" s="93">
        <f>+'Grants Non Need-Based '!CT57/'Total State Aid'!O57</f>
        <v>7.3092736409319323E-3</v>
      </c>
      <c r="N56" s="94">
        <f>+'Grants Non Need-Based '!CY57/'Total State Aid'!T57</f>
        <v>8.087590467901476E-2</v>
      </c>
      <c r="O56" s="94">
        <f>+'Grants Non Need-Based '!DD57/'Total State Aid'!Y57</f>
        <v>2.2134776192818495E-3</v>
      </c>
      <c r="P56" s="94">
        <f>+'Grants Non Need-Based '!DE57/'Total State Aid'!Z57</f>
        <v>9.777560498655585E-4</v>
      </c>
      <c r="Q56" s="94">
        <f>+'Grants Non Need-Based '!DF57/'Total State Aid'!AA57</f>
        <v>7.5206818751566808E-4</v>
      </c>
      <c r="R56" s="94" t="str">
        <f>IF('Total State Aid'!AD57="—","—",'Grants Need-Based'!DP57/'Total State Aid'!AJ57)</f>
        <v>—</v>
      </c>
      <c r="S56" s="94" t="str">
        <f>IF('Total State Aid'!AE57="—","—",'Grants Need-Based'!DQ57/'Total State Aid'!AK57)</f>
        <v>—</v>
      </c>
      <c r="T56" s="94" t="str">
        <f>IF('Total State Aid'!AF57="—","—",'Grants Need-Based'!DR57/'Total State Aid'!AL57)</f>
        <v>—</v>
      </c>
      <c r="U56" s="94" t="e">
        <f>IF('Total State Aid'!AG57="—","—",'Grants Need-Based'!DS57/'Total State Aid'!AM57)</f>
        <v>#DIV/0!</v>
      </c>
      <c r="V56" s="94" t="e">
        <f>IF('Total State Aid'!AH57="—","—",'Grants Need-Based'!DT57/'Total State Aid'!AN57)</f>
        <v>#DIV/0!</v>
      </c>
      <c r="W56" s="94" t="e">
        <f>IF('Total State Aid'!AI57="—","—",'Grants Need-Based'!DU57/'Total State Aid'!AO57)</f>
        <v>#DIV/0!</v>
      </c>
      <c r="X56" s="93">
        <f>+Other!O57/'Total State Aid'!O57</f>
        <v>0.50370031978072172</v>
      </c>
      <c r="Y56" s="94">
        <f>+Other!T57/'Total State Aid'!T57</f>
        <v>0.29778376392800293</v>
      </c>
      <c r="Z56" s="94">
        <f>+Other!Y57/'Total State Aid'!Y57</f>
        <v>8.3374323659616334E-2</v>
      </c>
      <c r="AA56" s="94" t="str">
        <f>IF(Other!AD57="—","—",Other!AD57/'Total State Aid'!AD57)</f>
        <v>—</v>
      </c>
      <c r="AB56" s="94" t="str">
        <f>IF(Other!AE57="—","—",Other!AE57/'Total State Aid'!AE57)</f>
        <v>—</v>
      </c>
      <c r="AC56" s="94" t="str">
        <f>IF(Other!AF57="—","—",Other!AF57/'Total State Aid'!AF57)</f>
        <v>—</v>
      </c>
      <c r="AD56" s="94" t="str">
        <f>IF(Other!AG57="—","—",Other!AG57/'Total State Aid'!AG57)</f>
        <v>—</v>
      </c>
      <c r="AE56" s="94" t="str">
        <f>IF(Other!AH57="—","—",Other!AH57/'Total State Aid'!AH57)</f>
        <v>—</v>
      </c>
      <c r="AF56" s="94" t="str">
        <f>IF(Other!AI57="—","—",Other!AI57/'Total State Aid'!AI57)</f>
        <v>—</v>
      </c>
      <c r="AG56" s="93">
        <f t="shared" si="32"/>
        <v>1</v>
      </c>
      <c r="AH56" s="94">
        <f t="shared" si="32"/>
        <v>1</v>
      </c>
      <c r="AI56" s="94">
        <f t="shared" si="32"/>
        <v>1</v>
      </c>
      <c r="AJ56" s="94" t="s">
        <v>45</v>
      </c>
      <c r="AK56" s="94" t="s">
        <v>45</v>
      </c>
      <c r="AL56" s="94" t="s">
        <v>45</v>
      </c>
      <c r="AM56" s="94" t="s">
        <v>45</v>
      </c>
      <c r="AN56" s="94" t="s">
        <v>45</v>
      </c>
      <c r="AO56" s="94" t="s">
        <v>45</v>
      </c>
    </row>
    <row r="57" spans="1:41">
      <c r="A57" s="87" t="s">
        <v>86</v>
      </c>
      <c r="B57" s="94">
        <f>+'Grants Need-Based'!CT58/'Total State Aid'!O58</f>
        <v>0.85877346501410934</v>
      </c>
      <c r="C57" s="94">
        <f>+'Grants Need-Based'!CY58/'Total State Aid'!T58</f>
        <v>0.31511653508633974</v>
      </c>
      <c r="D57" s="94">
        <f>+'Grants Need-Based'!DD58/'Total State Aid'!Y58</f>
        <v>0.48146963563533085</v>
      </c>
      <c r="E57" s="94">
        <f>+'Grants Need-Based'!DE58/'Total State Aid'!Z58</f>
        <v>0.43170991370217188</v>
      </c>
      <c r="F57" s="94">
        <f>+'Grants Need-Based'!DF58/'Total State Aid'!AA58</f>
        <v>0.43723366771367561</v>
      </c>
      <c r="G57" s="94">
        <f>+'Grants Need-Based'!DI58/'Total State Aid'!AD58</f>
        <v>0.55266026931727774</v>
      </c>
      <c r="H57" s="94">
        <f>+'Grants Need-Based'!DJ58/'Total State Aid'!AE58</f>
        <v>0.65157261596974425</v>
      </c>
      <c r="I57" s="94">
        <f>+'Grants Need-Based'!DK58/'Total State Aid'!AF58</f>
        <v>0.65740499018037057</v>
      </c>
      <c r="J57" s="94">
        <f>+'Grants Need-Based'!DL58/'Total State Aid'!AG58</f>
        <v>0.69835996359319896</v>
      </c>
      <c r="K57" s="94">
        <f>+'Grants Need-Based'!DM58/'Total State Aid'!AH58</f>
        <v>0.63693421430595065</v>
      </c>
      <c r="L57" s="94">
        <f>+'Grants Need-Based'!DN58/'Total State Aid'!AI58</f>
        <v>0.69902993664416457</v>
      </c>
      <c r="M57" s="93">
        <f>+'Grants Non Need-Based '!CT58/'Total State Aid'!O58</f>
        <v>4.8301712356819501E-2</v>
      </c>
      <c r="N57" s="94">
        <f>+'Grants Non Need-Based '!CY58/'Total State Aid'!T58</f>
        <v>0.40306042210549498</v>
      </c>
      <c r="O57" s="94">
        <f>+'Grants Non Need-Based '!DD58/'Total State Aid'!Y58</f>
        <v>5.9200829266318949E-2</v>
      </c>
      <c r="P57" s="94">
        <f>+'Grants Non Need-Based '!DE58/'Total State Aid'!Z58</f>
        <v>4.8900467221707079E-2</v>
      </c>
      <c r="Q57" s="94">
        <f>+'Grants Non Need-Based '!DF58/'Total State Aid'!AA58</f>
        <v>4.5328061146128529E-2</v>
      </c>
      <c r="R57" s="94">
        <f>+'Grants Non Need-Based '!DI58/'Total State Aid'!AD58</f>
        <v>2.2585524441868916E-2</v>
      </c>
      <c r="S57" s="94">
        <f>+'Grants Non Need-Based '!DJ58/'Total State Aid'!AE58</f>
        <v>1.8005313276781836E-2</v>
      </c>
      <c r="T57" s="94">
        <f>+'Grants Non Need-Based '!DK58/'Total State Aid'!AF58</f>
        <v>1.3247541680103605E-2</v>
      </c>
      <c r="U57" s="94">
        <f>+'Grants Non Need-Based '!DL58/'Total State Aid'!AG58</f>
        <v>1.2477635080652139E-2</v>
      </c>
      <c r="V57" s="94">
        <f>+'Grants Non Need-Based '!DM58/'Total State Aid'!AH58</f>
        <v>1.1551808789797264E-2</v>
      </c>
      <c r="W57" s="94">
        <f>+'Grants Non Need-Based '!DN58/'Total State Aid'!AI58</f>
        <v>1.2633779029309348E-2</v>
      </c>
      <c r="X57" s="93">
        <f>+Other!O58/'Total State Aid'!O58</f>
        <v>9.292482262907116E-2</v>
      </c>
      <c r="Y57" s="94">
        <f>+Other!T58/'Total State Aid'!T58</f>
        <v>0.28182304280816534</v>
      </c>
      <c r="Z57" s="94">
        <f>+Other!Y58/'Total State Aid'!Y58</f>
        <v>0.45932953509835012</v>
      </c>
      <c r="AA57" s="94">
        <f>+Other!AD58/'Total State Aid'!AD58</f>
        <v>0.4247542062408533</v>
      </c>
      <c r="AB57" s="94">
        <f>+Other!AE58/'Total State Aid'!AE58</f>
        <v>0.33042207075347391</v>
      </c>
      <c r="AC57" s="94">
        <f>+Other!AF58/'Total State Aid'!AF58</f>
        <v>0.3293474681395257</v>
      </c>
      <c r="AD57" s="94">
        <f>+Other!AG58/'Total State Aid'!AG58</f>
        <v>0.28916240132614884</v>
      </c>
      <c r="AE57" s="94">
        <f>+Other!AH58/'Total State Aid'!AH58</f>
        <v>0.35151397690425212</v>
      </c>
      <c r="AF57" s="94">
        <f>+Other!AI58/'Total State Aid'!AI58</f>
        <v>0.28833628432652597</v>
      </c>
      <c r="AG57" s="93">
        <f t="shared" si="32"/>
        <v>1</v>
      </c>
      <c r="AH57" s="94">
        <f t="shared" si="32"/>
        <v>1</v>
      </c>
      <c r="AI57" s="94">
        <f t="shared" si="32"/>
        <v>1</v>
      </c>
      <c r="AJ57" s="94">
        <f t="shared" ref="AJ57:AO58" si="34">+G57+R57+AA57</f>
        <v>1</v>
      </c>
      <c r="AK57" s="94">
        <f t="shared" si="34"/>
        <v>1</v>
      </c>
      <c r="AL57" s="94">
        <f t="shared" si="34"/>
        <v>0.99999999999999978</v>
      </c>
      <c r="AM57" s="94">
        <f t="shared" si="34"/>
        <v>1</v>
      </c>
      <c r="AN57" s="94">
        <f t="shared" si="34"/>
        <v>1</v>
      </c>
      <c r="AO57" s="94">
        <f t="shared" si="34"/>
        <v>1</v>
      </c>
    </row>
    <row r="58" spans="1:41">
      <c r="A58" s="87" t="s">
        <v>87</v>
      </c>
      <c r="B58" s="94">
        <f>+'Grants Need-Based'!CT59/'Total State Aid'!O59</f>
        <v>0.87478092929098816</v>
      </c>
      <c r="C58" s="94">
        <f>+'Grants Need-Based'!CY59/'Total State Aid'!T59</f>
        <v>0.36073588061237621</v>
      </c>
      <c r="D58" s="94">
        <f>+'Grants Need-Based'!DD59/'Total State Aid'!Y59</f>
        <v>0.89039429012264237</v>
      </c>
      <c r="E58" s="94">
        <f>+'Grants Need-Based'!DE59/'Total State Aid'!Z59</f>
        <v>0.87364108072521895</v>
      </c>
      <c r="F58" s="94">
        <f>+'Grants Need-Based'!DF59/'Total State Aid'!AA59</f>
        <v>0.86478896298115371</v>
      </c>
      <c r="G58" s="94">
        <f>+'Grants Need-Based'!DI59/'Total State Aid'!AD59</f>
        <v>0.90572098828992043</v>
      </c>
      <c r="H58" s="94">
        <f>+'Grants Need-Based'!DJ59/'Total State Aid'!AE59</f>
        <v>0.90621425848265336</v>
      </c>
      <c r="I58" s="94">
        <f>+'Grants Need-Based'!DK59/'Total State Aid'!AF59</f>
        <v>0.89574420218206285</v>
      </c>
      <c r="J58" s="94">
        <f>+'Grants Need-Based'!DL59/'Total State Aid'!AG59</f>
        <v>0.89394684437731087</v>
      </c>
      <c r="K58" s="94">
        <f>+'Grants Need-Based'!DM59/'Total State Aid'!AH59</f>
        <v>0.88093314305283343</v>
      </c>
      <c r="L58" s="94">
        <f>+'Grants Need-Based'!DN59/'Total State Aid'!AI59</f>
        <v>0.85639781092930356</v>
      </c>
      <c r="M58" s="93">
        <f>+'Grants Non Need-Based '!CT59/'Total State Aid'!O59</f>
        <v>9.1523090353836274E-3</v>
      </c>
      <c r="N58" s="94">
        <f>+'Grants Non Need-Based '!CY59/'Total State Aid'!T59</f>
        <v>0.5993824778077963</v>
      </c>
      <c r="O58" s="94">
        <f>+'Grants Non Need-Based '!DD59/'Total State Aid'!Y59</f>
        <v>2.2418846056834935E-2</v>
      </c>
      <c r="P58" s="94">
        <f>+'Grants Non Need-Based '!DE59/'Total State Aid'!Z59</f>
        <v>2.2237549917273756E-2</v>
      </c>
      <c r="Q58" s="94">
        <f>+'Grants Non Need-Based '!DF59/'Total State Aid'!AA59</f>
        <v>3.1783062886072119E-2</v>
      </c>
      <c r="R58" s="94">
        <f>+'Grants Non Need-Based '!DI59/'Total State Aid'!AD59</f>
        <v>3.1232059682064786E-2</v>
      </c>
      <c r="S58" s="94">
        <f>+'Grants Non Need-Based '!DJ59/'Total State Aid'!AE59</f>
        <v>3.054082571810364E-2</v>
      </c>
      <c r="T58" s="94">
        <f>+'Grants Non Need-Based '!DK59/'Total State Aid'!AF59</f>
        <v>2.877404059748671E-2</v>
      </c>
      <c r="U58" s="94">
        <f>+'Grants Non Need-Based '!DL59/'Total State Aid'!AG59</f>
        <v>3.0778788101066136E-2</v>
      </c>
      <c r="V58" s="94">
        <f>+'Grants Non Need-Based '!DM59/'Total State Aid'!AH59</f>
        <v>3.5004657350283748E-2</v>
      </c>
      <c r="W58" s="94">
        <f>+'Grants Non Need-Based '!DN59/'Total State Aid'!AI59</f>
        <v>3.8423116409451792E-2</v>
      </c>
      <c r="X58" s="93">
        <f>+Other!O59/'Total State Aid'!O59</f>
        <v>0.11606676167362824</v>
      </c>
      <c r="Y58" s="94">
        <f>+Other!T59/'Total State Aid'!T59</f>
        <v>3.9881641579827612E-2</v>
      </c>
      <c r="Z58" s="94">
        <f>+Other!Y59/'Total State Aid'!Y59</f>
        <v>8.7186863820522584E-2</v>
      </c>
      <c r="AA58" s="94">
        <f>+Other!AD59/'Total State Aid'!AD59</f>
        <v>6.304695202801483E-2</v>
      </c>
      <c r="AB58" s="94">
        <f>+Other!AE59/'Total State Aid'!AE59</f>
        <v>6.3244915799242893E-2</v>
      </c>
      <c r="AC58" s="94">
        <f>+Other!AF59/'Total State Aid'!AF59</f>
        <v>7.5481757220450363E-2</v>
      </c>
      <c r="AD58" s="94">
        <f>+Other!AG59/'Total State Aid'!AG59</f>
        <v>7.5274367521622948E-2</v>
      </c>
      <c r="AE58" s="94">
        <f>+Other!AH59/'Total State Aid'!AH59</f>
        <v>8.4062199596882881E-2</v>
      </c>
      <c r="AF58" s="94">
        <f>+Other!AI59/'Total State Aid'!AI59</f>
        <v>0.10517907266124474</v>
      </c>
      <c r="AG58" s="93">
        <f t="shared" si="32"/>
        <v>1</v>
      </c>
      <c r="AH58" s="94">
        <f t="shared" si="32"/>
        <v>1</v>
      </c>
      <c r="AI58" s="94">
        <f t="shared" si="32"/>
        <v>0.99999999999999989</v>
      </c>
      <c r="AJ58" s="94">
        <f t="shared" si="34"/>
        <v>1</v>
      </c>
      <c r="AK58" s="94">
        <f t="shared" si="34"/>
        <v>0.99999999999999989</v>
      </c>
      <c r="AL58" s="94">
        <f t="shared" si="34"/>
        <v>0.99999999999999989</v>
      </c>
      <c r="AM58" s="94">
        <f t="shared" si="34"/>
        <v>1</v>
      </c>
      <c r="AN58" s="94">
        <f t="shared" si="34"/>
        <v>1</v>
      </c>
      <c r="AO58" s="94">
        <f t="shared" si="34"/>
        <v>1.0000000000000002</v>
      </c>
    </row>
    <row r="59" spans="1:41">
      <c r="A59" s="87" t="s">
        <v>88</v>
      </c>
      <c r="B59" s="94">
        <f>+'Grants Need-Based'!CT60/'Total State Aid'!O60</f>
        <v>0.69345189935508911</v>
      </c>
      <c r="C59" s="94">
        <f>+'Grants Need-Based'!CY60/'Total State Aid'!T60</f>
        <v>0.83648148803130351</v>
      </c>
      <c r="D59" s="94">
        <f>+'Grants Need-Based'!DD60/'Total State Aid'!Y60</f>
        <v>0.92780911286376277</v>
      </c>
      <c r="E59" s="94">
        <f>+'Grants Need-Based'!DE60/'Total State Aid'!Z60</f>
        <v>0.92978017232028931</v>
      </c>
      <c r="F59" s="94">
        <f>+'Grants Need-Based'!DF60/'Total State Aid'!AA60</f>
        <v>0.9295094063963002</v>
      </c>
      <c r="G59" s="94">
        <f>+'Grants Need-Based'!DI60/'Total State Aid'!AD60</f>
        <v>0.93822388271225854</v>
      </c>
      <c r="H59" s="94">
        <f>+'Grants Need-Based'!DJ60/'Total State Aid'!AE60</f>
        <v>0.94408326580863178</v>
      </c>
      <c r="I59" s="94">
        <f>+'Grants Need-Based'!DK60/'Total State Aid'!AF60</f>
        <v>0.94795662292072058</v>
      </c>
      <c r="J59" s="94">
        <f>+'Grants Need-Based'!DL60/'Total State Aid'!AG60</f>
        <v>0.94506955164740858</v>
      </c>
      <c r="K59" s="94">
        <f>+'Grants Need-Based'!DM60/'Total State Aid'!AH60</f>
        <v>0.94363452664243608</v>
      </c>
      <c r="L59" s="94">
        <f>+'Grants Need-Based'!DN60/'Total State Aid'!AI60</f>
        <v>0.93911384711809753</v>
      </c>
      <c r="M59" s="93">
        <f>+'Grants Non Need-Based '!CT60/'Total State Aid'!O60</f>
        <v>2.5291518127182311E-3</v>
      </c>
      <c r="N59" s="94">
        <f>+'Grants Non Need-Based '!CY60/'Total State Aid'!T60</f>
        <v>2.649575354357434E-4</v>
      </c>
      <c r="O59" s="94">
        <f>+'Grants Non Need-Based '!DD60/'Total State Aid'!Y60</f>
        <v>5.1113501690905967E-4</v>
      </c>
      <c r="P59" s="94">
        <f>+'Grants Non Need-Based '!DE60/'Total State Aid'!Z60</f>
        <v>9.8603965062643096E-4</v>
      </c>
      <c r="Q59" s="94">
        <f>+'Grants Non Need-Based '!DF60/'Total State Aid'!AA60</f>
        <v>1.5152898670542914E-3</v>
      </c>
      <c r="R59" s="94">
        <f>+'Grants Non Need-Based '!DI60/'Total State Aid'!AD60</f>
        <v>8.2773465661335342E-4</v>
      </c>
      <c r="S59" s="94">
        <f>+'Grants Non Need-Based '!DJ60/'Total State Aid'!AE60</f>
        <v>7.642330554875074E-4</v>
      </c>
      <c r="T59" s="94">
        <f>+'Grants Non Need-Based '!DK60/'Total State Aid'!AF60</f>
        <v>3.7674149689468023E-3</v>
      </c>
      <c r="U59" s="94">
        <f>+'Grants Non Need-Based '!DL60/'Total State Aid'!AG60</f>
        <v>3.491252939172278E-3</v>
      </c>
      <c r="V59" s="94">
        <f>+'Grants Non Need-Based '!DM60/'Total State Aid'!AH60</f>
        <v>3.7108105806428417E-3</v>
      </c>
      <c r="W59" s="94">
        <f>+'Grants Non Need-Based '!DN60/'Total State Aid'!AI60</f>
        <v>5.2146050926750948E-3</v>
      </c>
      <c r="X59" s="93">
        <f>+Other!O60/'Total State Aid'!O60</f>
        <v>0.3040189488321926</v>
      </c>
      <c r="Y59" s="94">
        <f>+Other!T60/'Total State Aid'!T60</f>
        <v>0.16325355443326081</v>
      </c>
      <c r="Z59" s="94">
        <f>+Other!Y60/'Total State Aid'!Y60</f>
        <v>7.1679752119328241E-2</v>
      </c>
      <c r="AA59" s="94">
        <f>+Other!AD60/'Total State Aid'!AD60</f>
        <v>6.0948382631128166E-2</v>
      </c>
      <c r="AB59" s="94">
        <f>+Other!AE60/'Total State Aid'!AE60</f>
        <v>5.515250113588064E-2</v>
      </c>
      <c r="AC59" s="94">
        <f>+Other!AF60/'Total State Aid'!AF60</f>
        <v>4.8275962110332624E-2</v>
      </c>
      <c r="AD59" s="94">
        <f>+Other!AG60/'Total State Aid'!AG60</f>
        <v>5.1439195413419021E-2</v>
      </c>
      <c r="AE59" s="94">
        <f>+Other!AH60/'Total State Aid'!AH60</f>
        <v>5.2654662776921192E-2</v>
      </c>
      <c r="AF59" s="94">
        <f>+Other!AI60/'Total State Aid'!AI60</f>
        <v>5.5671547789227255E-2</v>
      </c>
      <c r="AG59" s="93">
        <f t="shared" si="32"/>
        <v>0.99999999999999989</v>
      </c>
      <c r="AH59" s="94">
        <f t="shared" si="32"/>
        <v>1</v>
      </c>
      <c r="AI59" s="94">
        <f t="shared" si="32"/>
        <v>1</v>
      </c>
      <c r="AJ59" s="94">
        <f>+G59+R59+AA59</f>
        <v>1</v>
      </c>
      <c r="AK59" s="94">
        <f>+H59+S59+AB59</f>
        <v>1</v>
      </c>
      <c r="AL59" s="94" t="s">
        <v>45</v>
      </c>
      <c r="AM59" s="94">
        <f>+J59+U59+AD59</f>
        <v>0.99999999999999989</v>
      </c>
      <c r="AN59" s="94">
        <f>+K59+V59+AE59</f>
        <v>1</v>
      </c>
      <c r="AO59" s="94">
        <f>+L59+W59+AF59</f>
        <v>0.99999999999999989</v>
      </c>
    </row>
    <row r="60" spans="1:41">
      <c r="A60" s="87" t="s">
        <v>89</v>
      </c>
      <c r="B60" s="94">
        <f>+'Grants Need-Based'!CT61/'Total State Aid'!O61</f>
        <v>0.80454282231758656</v>
      </c>
      <c r="C60" s="94">
        <f>+'Grants Need-Based'!CY61/'Total State Aid'!T61</f>
        <v>0.82534293087056909</v>
      </c>
      <c r="D60" s="94">
        <f>+'Grants Need-Based'!DD61/'Total State Aid'!Y61</f>
        <v>1</v>
      </c>
      <c r="E60" s="94">
        <f>+'Grants Need-Based'!DE61/'Total State Aid'!Z61</f>
        <v>1</v>
      </c>
      <c r="F60" s="94">
        <f>+'Grants Need-Based'!DF61/'Total State Aid'!AA61</f>
        <v>1</v>
      </c>
      <c r="G60" s="94">
        <f>+'Grants Need-Based'!DI61/'Total State Aid'!AD61</f>
        <v>1</v>
      </c>
      <c r="H60" s="94">
        <f>IF('Total State Aid'!AE61="—","—",'Grants Need-Based'!DJ61/'Total State Aid'!AE61)</f>
        <v>1</v>
      </c>
      <c r="I60" s="94">
        <f>IF('Total State Aid'!AF61="—","—",'Grants Need-Based'!DK61/'Total State Aid'!AF61)</f>
        <v>1</v>
      </c>
      <c r="J60" s="94">
        <f>IF('Total State Aid'!AG61="—","—",'Grants Need-Based'!DL61/'Total State Aid'!AG61)</f>
        <v>1</v>
      </c>
      <c r="K60" s="94">
        <f>IF('Total State Aid'!AH61="—","—",'Grants Need-Based'!DM61/'Total State Aid'!AH61)</f>
        <v>1</v>
      </c>
      <c r="L60" s="94">
        <f>IF('Total State Aid'!AI61="—","—",'Grants Need-Based'!DN61/'Total State Aid'!AI61)</f>
        <v>1</v>
      </c>
      <c r="M60" s="93">
        <f>+'Grants Non Need-Based '!CT61/'Total State Aid'!O61</f>
        <v>0</v>
      </c>
      <c r="N60" s="94">
        <f>+'Grants Non Need-Based '!CY61/'Total State Aid'!T61</f>
        <v>0</v>
      </c>
      <c r="O60" s="94">
        <f>+'Grants Non Need-Based '!DD61/'Total State Aid'!Y61</f>
        <v>0</v>
      </c>
      <c r="P60" s="94">
        <f>+'Grants Non Need-Based '!DE61/'Total State Aid'!Z61</f>
        <v>0</v>
      </c>
      <c r="Q60" s="94">
        <f>+'Grants Non Need-Based '!DF61/'Total State Aid'!AA61</f>
        <v>0</v>
      </c>
      <c r="R60" s="94">
        <f>+'Grants Non Need-Based '!DI61/'Total State Aid'!AD61</f>
        <v>0</v>
      </c>
      <c r="S60" s="94">
        <f>+'Grants Non Need-Based '!DJ61/'Total State Aid'!AE61</f>
        <v>0</v>
      </c>
      <c r="T60" s="94">
        <f>+'Grants Non Need-Based '!DK61/'Total State Aid'!AF61</f>
        <v>0</v>
      </c>
      <c r="U60" s="94">
        <f>+'Grants Non Need-Based '!DL61/'Total State Aid'!AG61</f>
        <v>0</v>
      </c>
      <c r="V60" s="94">
        <f>+'Grants Non Need-Based '!DM61/'Total State Aid'!AH61</f>
        <v>0</v>
      </c>
      <c r="W60" s="94">
        <f>+'Grants Non Need-Based '!DN61/'Total State Aid'!AI61</f>
        <v>0</v>
      </c>
      <c r="X60" s="93">
        <f>+Other!O61/'Total State Aid'!O61</f>
        <v>0.19545717768241341</v>
      </c>
      <c r="Y60" s="94">
        <f>+Other!T61/'Total State Aid'!T61</f>
        <v>0.17465706912943096</v>
      </c>
      <c r="Z60" s="101" t="str">
        <f>IF(Other!Y61="NA","NA",Other!Y61/'Total State Aid'!Y61)</f>
        <v>NA</v>
      </c>
      <c r="AA60" s="94" t="str">
        <f>IF(Other!AD61="—","—",Other!AD61/'Total State Aid'!AD61)</f>
        <v>—</v>
      </c>
      <c r="AB60" s="94" t="str">
        <f>IF(Other!AE61="—","—",Other!AE61/'Total State Aid'!AE61)</f>
        <v>—</v>
      </c>
      <c r="AC60" s="94" t="str">
        <f>IF(Other!AF61="—","—",Other!AF61/'Total State Aid'!AF61)</f>
        <v>—</v>
      </c>
      <c r="AD60" s="94" t="str">
        <f>IF(Other!AG61="—","—",Other!AG61/'Total State Aid'!AG61)</f>
        <v>—</v>
      </c>
      <c r="AE60" s="94" t="str">
        <f>IF(Other!AH61="—","—",Other!AH61/'Total State Aid'!AH61)</f>
        <v>—</v>
      </c>
      <c r="AF60" s="94" t="str">
        <f>IF(Other!AI61="—","—",Other!AI61/'Total State Aid'!AI61)</f>
        <v>—</v>
      </c>
      <c r="AG60" s="93">
        <f t="shared" ref="AG60:AH62" si="35">+B60+M60+X60</f>
        <v>1</v>
      </c>
      <c r="AH60" s="94">
        <f t="shared" si="35"/>
        <v>1</v>
      </c>
      <c r="AI60" s="94">
        <f>+D60+O60</f>
        <v>1</v>
      </c>
      <c r="AJ60" s="94" t="s">
        <v>45</v>
      </c>
      <c r="AK60" s="94" t="s">
        <v>45</v>
      </c>
      <c r="AL60" s="94" t="s">
        <v>45</v>
      </c>
      <c r="AM60" s="94" t="s">
        <v>45</v>
      </c>
      <c r="AN60" s="94" t="s">
        <v>45</v>
      </c>
      <c r="AO60" s="94" t="s">
        <v>45</v>
      </c>
    </row>
    <row r="61" spans="1:41">
      <c r="A61" s="102" t="s">
        <v>90</v>
      </c>
      <c r="B61" s="98">
        <f>+'Grants Need-Based'!CT62/'Total State Aid'!O62</f>
        <v>0.95378659605576732</v>
      </c>
      <c r="C61" s="98">
        <f>+'Grants Need-Based'!CY62/'Total State Aid'!T62</f>
        <v>0.97563676633444074</v>
      </c>
      <c r="D61" s="98">
        <f>+'Grants Need-Based'!DD62/'Total State Aid'!Y62</f>
        <v>0.97156549520766777</v>
      </c>
      <c r="E61" s="98">
        <f>+'Grants Need-Based'!DE62/'Total State Aid'!Z62</f>
        <v>0.97028826898896292</v>
      </c>
      <c r="F61" s="98">
        <f>+'Grants Need-Based'!DF62/'Total State Aid'!AA62</f>
        <v>0.9755360623781677</v>
      </c>
      <c r="G61" s="98">
        <f>+'Grants Need-Based'!DI62/'Total State Aid'!AD62</f>
        <v>0.98105747126436782</v>
      </c>
      <c r="H61" s="98">
        <f>+'Grants Need-Based'!DJ62/'Total State Aid'!AE62</f>
        <v>0.97698023408285184</v>
      </c>
      <c r="I61" s="98">
        <f>+'Grants Need-Based'!DK62/'Total State Aid'!AF62</f>
        <v>0.97142857142857131</v>
      </c>
      <c r="J61" s="98">
        <f>+'Grants Need-Based'!DL62/'Total State Aid'!AG62</f>
        <v>0.97570432904682436</v>
      </c>
      <c r="K61" s="98">
        <f>+'Grants Need-Based'!DM62/'Total State Aid'!AH62</f>
        <v>0.97657243496854718</v>
      </c>
      <c r="L61" s="98">
        <f>+'Grants Need-Based'!DN62/'Total State Aid'!AI62</f>
        <v>0.9792758153237906</v>
      </c>
      <c r="M61" s="97">
        <f>+'Grants Non Need-Based '!CT62/'Total State Aid'!O62</f>
        <v>7.4924320192911809E-4</v>
      </c>
      <c r="N61" s="98">
        <f>+'Grants Non Need-Based '!CY62/'Total State Aid'!T62</f>
        <v>5.5986218776916449E-3</v>
      </c>
      <c r="O61" s="98">
        <f>+'Grants Non Need-Based '!DD62/'Total State Aid'!Y62</f>
        <v>1.0223642172523962E-2</v>
      </c>
      <c r="P61" s="98">
        <f>+'Grants Non Need-Based '!DE62/'Total State Aid'!Z62</f>
        <v>8.6154705909747119E-3</v>
      </c>
      <c r="Q61" s="98">
        <f>+'Grants Non Need-Based '!DF62/'Total State Aid'!AA62</f>
        <v>4.1910331384015596E-3</v>
      </c>
      <c r="R61" s="98">
        <f>+'Grants Non Need-Based '!DI62/'Total State Aid'!AD62</f>
        <v>4.0919540229885053E-3</v>
      </c>
      <c r="S61" s="98">
        <f>+'Grants Non Need-Based '!DJ62/'Total State Aid'!AE62</f>
        <v>3.8851925598562486E-3</v>
      </c>
      <c r="T61" s="98">
        <f>+'Grants Non Need-Based '!DK62/'Total State Aid'!AF62</f>
        <v>5.1904761904761907E-3</v>
      </c>
      <c r="U61" s="98">
        <f>+'Grants Non Need-Based '!DL62/'Total State Aid'!AG62</f>
        <v>6.4788455875134984E-3</v>
      </c>
      <c r="V61" s="98">
        <f>+'Grants Non Need-Based '!DM62/'Total State Aid'!AH62</f>
        <v>5.3966195978957937E-3</v>
      </c>
      <c r="W61" s="98">
        <f>+'Grants Non Need-Based '!DN62/'Total State Aid'!AI62</f>
        <v>3.2058811844399024E-3</v>
      </c>
      <c r="X61" s="97">
        <f>+Other!O62/'Total State Aid'!O62</f>
        <v>4.5464160742303548E-2</v>
      </c>
      <c r="Y61" s="98">
        <f>+Other!T62/'Total State Aid'!T62</f>
        <v>1.8764611787867602E-2</v>
      </c>
      <c r="Z61" s="98">
        <f>+Other!Y62/'Total State Aid'!Y62</f>
        <v>1.8210862619808307E-2</v>
      </c>
      <c r="AA61" s="98">
        <f>+Other!AD62/'Total State Aid'!AD62</f>
        <v>1.4850574712643679E-2</v>
      </c>
      <c r="AB61" s="98">
        <f>+Other!AE62/'Total State Aid'!AE62</f>
        <v>1.9134573357292024E-2</v>
      </c>
      <c r="AC61" s="98">
        <f>+Other!AF62/'Total State Aid'!AF62</f>
        <v>2.3380952380952381E-2</v>
      </c>
      <c r="AD61" s="98">
        <f>+Other!AG62/'Total State Aid'!AG62</f>
        <v>1.781682536566212E-2</v>
      </c>
      <c r="AE61" s="98">
        <f>+Other!AH62/'Total State Aid'!AH62</f>
        <v>1.8030945433557145E-2</v>
      </c>
      <c r="AF61" s="98">
        <f>+Other!AI62/'Total State Aid'!AI62</f>
        <v>1.7518303491769548E-2</v>
      </c>
      <c r="AG61" s="97">
        <f t="shared" si="35"/>
        <v>1</v>
      </c>
      <c r="AH61" s="98">
        <f t="shared" si="35"/>
        <v>1</v>
      </c>
      <c r="AI61" s="98">
        <f>+D61+O61+Z61</f>
        <v>1</v>
      </c>
      <c r="AJ61" s="98">
        <f t="shared" ref="AJ61:AO61" si="36">+G61+R61+AA61</f>
        <v>1</v>
      </c>
      <c r="AK61" s="98">
        <f t="shared" si="36"/>
        <v>1</v>
      </c>
      <c r="AL61" s="98">
        <f t="shared" si="36"/>
        <v>0.99999999999999989</v>
      </c>
      <c r="AM61" s="98">
        <f t="shared" si="36"/>
        <v>1</v>
      </c>
      <c r="AN61" s="98">
        <f t="shared" si="36"/>
        <v>1.0000000000000002</v>
      </c>
      <c r="AO61" s="98">
        <f t="shared" si="36"/>
        <v>1</v>
      </c>
    </row>
    <row r="62" spans="1:41">
      <c r="A62" s="96" t="s">
        <v>91</v>
      </c>
      <c r="B62" s="91">
        <f>+'Grants Need-Based'!CT63/'Total State Aid'!O63</f>
        <v>1</v>
      </c>
      <c r="C62" s="91">
        <f>+'Grants Need-Based'!CY63/'Total State Aid'!T63</f>
        <v>8.4193753983428932E-2</v>
      </c>
      <c r="D62" s="91">
        <f>+'Grants Need-Based'!DD63/'Total State Aid'!Y63</f>
        <v>0.130665953781263</v>
      </c>
      <c r="E62" s="91">
        <f>+'Grants Need-Based'!DE63/'Total State Aid'!Z63</f>
        <v>8.7831382851683806E-2</v>
      </c>
      <c r="F62" s="91">
        <f>+'Grants Need-Based'!DF63/'Total State Aid'!AA63</f>
        <v>0.52054231717337718</v>
      </c>
      <c r="G62" s="91">
        <f>+'Grants Need-Based'!DI63/'Total State Aid'!AD63</f>
        <v>4.2971636446313875E-2</v>
      </c>
      <c r="H62" s="91">
        <f>IF('Total State Aid'!AE63="—","—",'Grants Need-Based'!DJ63/'Total State Aid'!AE63)</f>
        <v>3.4479728146238571E-2</v>
      </c>
      <c r="I62" s="239">
        <f>IF('Total State Aid'!AF63="—","—",'Grants Need-Based'!DK63/'Total State Aid'!AF63)</f>
        <v>3.7648612945838836E-2</v>
      </c>
      <c r="J62" s="239">
        <f>IF('Total State Aid'!AG63="—","—",'Grants Need-Based'!DL63/'Total State Aid'!AG63)</f>
        <v>3.0566280566280565E-2</v>
      </c>
      <c r="K62" s="91">
        <f>IF('Total State Aid'!AH63="—","—",'Grants Need-Based'!DM63/'Total State Aid'!AH63)</f>
        <v>2.3484527021718361E-2</v>
      </c>
      <c r="L62" s="91">
        <f>IF('Total State Aid'!AI63="—","—",'Grants Need-Based'!DN63/'Total State Aid'!AI63)</f>
        <v>3.450137550284553E-2</v>
      </c>
      <c r="M62" s="90">
        <f>+'Grants Non Need-Based '!CT63/'Total State Aid'!O63</f>
        <v>0</v>
      </c>
      <c r="N62" s="91">
        <f>+'Grants Non Need-Based '!CY63/'Total State Aid'!T63</f>
        <v>0</v>
      </c>
      <c r="O62" s="91">
        <f>+'Grants Non Need-Based '!DD63/'Total State Aid'!Y63</f>
        <v>0.86933404621873711</v>
      </c>
      <c r="P62" s="91">
        <f>+'Grants Non Need-Based '!DE63/'Total State Aid'!Z63</f>
        <v>0.91216861714831632</v>
      </c>
      <c r="Q62" s="91">
        <f>+'Grants Non Need-Based '!DF63/'Total State Aid'!AA63</f>
        <v>0.47945768282662282</v>
      </c>
      <c r="R62" s="91">
        <f>+'Grants Non Need-Based '!DI63/'Total State Aid'!AD63</f>
        <v>0.95702836355368615</v>
      </c>
      <c r="S62" s="91">
        <f>+'Grants Non Need-Based '!DJ63/'Total State Aid'!AE63</f>
        <v>0.96552027185376144</v>
      </c>
      <c r="T62" s="91">
        <f>+'Grants Non Need-Based '!DK63/'Total State Aid'!AF63</f>
        <v>0.96235138705416123</v>
      </c>
      <c r="U62" s="91">
        <f>+'Grants Non Need-Based '!DL63/'Total State Aid'!AG63</f>
        <v>0.96943371943371948</v>
      </c>
      <c r="V62" s="91">
        <f>+'Grants Non Need-Based '!DM63/'Total State Aid'!AH63</f>
        <v>0.97651547297828156</v>
      </c>
      <c r="W62" s="91">
        <f>+'Grants Non Need-Based '!DN63/'Total State Aid'!AI63</f>
        <v>0.96549862449715451</v>
      </c>
      <c r="X62" s="90">
        <f>+Other!O63/'Total State Aid'!O63</f>
        <v>0</v>
      </c>
      <c r="Y62" s="91">
        <f>+Other!T63/'Total State Aid'!T63</f>
        <v>0.91580624601657112</v>
      </c>
      <c r="Z62" s="91">
        <f>IF(Other!Y63="NA",,Other!Y63/'Total State Aid'!Y63)</f>
        <v>0</v>
      </c>
      <c r="AA62" s="91" t="str">
        <f>IF(Other!AD63="—","—",Other!AD63/'Total State Aid'!AD63)</f>
        <v>—</v>
      </c>
      <c r="AB62" s="91" t="str">
        <f>IF(Other!AE63="—","—",Other!AE63/'Total State Aid'!AE63)</f>
        <v>—</v>
      </c>
      <c r="AC62" s="91" t="str">
        <f>IF(Other!AF63="—","—",Other!AF63/'Total State Aid'!AF63)</f>
        <v>—</v>
      </c>
      <c r="AD62" s="91" t="str">
        <f>IF(Other!AG63="—","—",Other!AG63/'Total State Aid'!AG63)</f>
        <v>—</v>
      </c>
      <c r="AE62" s="91" t="str">
        <f>IF(Other!AH63="—","—",Other!AH63/'Total State Aid'!AH63)</f>
        <v>—</v>
      </c>
      <c r="AF62" s="91" t="str">
        <f>IF(Other!AI63="—","—",Other!AI63/'Total State Aid'!AI63)</f>
        <v>—</v>
      </c>
      <c r="AG62" s="90">
        <f t="shared" si="35"/>
        <v>1</v>
      </c>
      <c r="AH62" s="91">
        <f t="shared" si="35"/>
        <v>1</v>
      </c>
      <c r="AI62" s="91">
        <f>+D62+O62+Z62</f>
        <v>1</v>
      </c>
      <c r="AJ62" s="91" t="s">
        <v>45</v>
      </c>
      <c r="AK62" s="91" t="s">
        <v>45</v>
      </c>
      <c r="AL62" s="91" t="s">
        <v>45</v>
      </c>
      <c r="AM62" s="91" t="s">
        <v>45</v>
      </c>
      <c r="AN62" s="91" t="s">
        <v>45</v>
      </c>
      <c r="AO62" s="91" t="s">
        <v>45</v>
      </c>
    </row>
  </sheetData>
  <pageMargins left="0.7" right="0.7" top="0.75" bottom="0.75" header="0.3" footer="0.3"/>
  <pageSetup orientation="portrait" horizontalDpi="90" verticalDpi="9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Table 67</vt:lpstr>
      <vt:lpstr>Pell Ratio Table</vt:lpstr>
      <vt:lpstr>Total State Aid</vt:lpstr>
      <vt:lpstr>Grants Need-Based</vt:lpstr>
      <vt:lpstr>Grants Non Need-Based </vt:lpstr>
      <vt:lpstr>Other</vt:lpstr>
      <vt:lpstr>Distribution Check Figures</vt:lpstr>
      <vt:lpstr>'Table 67'!Print_Area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2013-05-03T19:30:02Z</cp:lastPrinted>
  <dcterms:created xsi:type="dcterms:W3CDTF">2011-07-20T18:20:15Z</dcterms:created>
  <dcterms:modified xsi:type="dcterms:W3CDTF">2019-07-09T17:39:30Z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2019-03-25T18:12:38.4338135Z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