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codeName="ThisWorkbook" defaultThemeVersion="124226"/>
  <mc:AlternateContent xmlns:mc="http://schemas.openxmlformats.org/markup-compatibility/2006">
    <mc:Choice Requires="x15">
      <x15ac:absPath xmlns:x15ac="http://schemas.microsoft.com/office/spreadsheetml/2010/11/ac" url="I:\FactBooks\6_RevsExpends\"/>
    </mc:Choice>
  </mc:AlternateContent>
  <xr:revisionPtr revIDLastSave="0" documentId="13_ncr:1_{E99AE7B3-72E0-4900-B26F-4485DCD1FE52}" xr6:coauthVersionLast="43" xr6:coauthVersionMax="43" xr10:uidLastSave="{00000000-0000-0000-0000-000000000000}"/>
  <bookViews>
    <workbookView xWindow="28680" yWindow="-120" windowWidth="29040" windowHeight="16440" tabRatio="604" xr2:uid="{00000000-000D-0000-FFFF-FFFF00000000}"/>
  </bookViews>
  <sheets>
    <sheet name="TABLE 96" sheetId="18" r:id="rId1"/>
    <sheet name="TABLE 97" sheetId="19" r:id="rId2"/>
    <sheet name="T E&amp;G 4YR" sheetId="31" r:id="rId3"/>
    <sheet name="T E&amp;G 2YR" sheetId="11" r:id="rId4"/>
    <sheet name="Instruction-4YR" sheetId="20" r:id="rId5"/>
    <sheet name="INSTRUCTION-2YR" sheetId="1" r:id="rId6"/>
    <sheet name="RESEARCH 4yr" sheetId="21" r:id="rId7"/>
    <sheet name="RESEARCH 2yr" sheetId="2" r:id="rId8"/>
    <sheet name="PUBLIC SERVICE 4yr" sheetId="22" r:id="rId9"/>
    <sheet name="PUBLIC SERVICE 2yr" sheetId="3" r:id="rId10"/>
    <sheet name="ASptISptSSv 4yr" sheetId="23" r:id="rId11"/>
    <sheet name="ASptISptSSv 2yr" sheetId="4" r:id="rId12"/>
    <sheet name="ACADEMIC SUPP 4yr" sheetId="24" r:id="rId13"/>
    <sheet name="ACADEMIC SUPP 2yr" sheetId="5" r:id="rId14"/>
    <sheet name="STU SERVICES 4yr" sheetId="25" r:id="rId15"/>
    <sheet name="STU SERVICES 2yr" sheetId="6" r:id="rId16"/>
    <sheet name="INST SUPPORT 4yr" sheetId="26" r:id="rId17"/>
    <sheet name="INST SUPPORT 2yr" sheetId="7" r:id="rId18"/>
    <sheet name="SCHOLAR FELLOW 4yr" sheetId="28" r:id="rId19"/>
    <sheet name="SCHOLAR FELLOW 2yr" sheetId="9" r:id="rId20"/>
    <sheet name="All Other 4yr" sheetId="29" r:id="rId21"/>
    <sheet name="All Other 2yr" sheetId="10" r:id="rId22"/>
    <sheet name="PLANT OPER MAIN 4yr" sheetId="27" r:id="rId23"/>
    <sheet name="PLANT OPER MAIN 2yr" sheetId="8" r:id="rId24"/>
  </sheets>
  <definedNames>
    <definedName name="DATA">'INSTRUCTION-2YR'!$A$1</definedName>
    <definedName name="_xlnm.Print_Area" localSheetId="0">'TABLE 96'!$A$1:$N$71</definedName>
    <definedName name="_xlnm.Print_Area" localSheetId="1">'TABLE 97'!$A$1:$N$73</definedName>
    <definedName name="SOURCES">#REF!</definedName>
    <definedName name="T_77">#REF!</definedName>
    <definedName name="T_80">'TABLE 96'!$A$1:$N$72</definedName>
    <definedName name="T_81">'TABLE 97'!$A$1:$N$27</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3" i="18" l="1"/>
  <c r="H66" i="19"/>
  <c r="G66" i="19"/>
  <c r="F66" i="19"/>
  <c r="E66" i="19"/>
  <c r="D66" i="19"/>
  <c r="C66" i="19"/>
  <c r="H65" i="19"/>
  <c r="G65" i="19"/>
  <c r="F65" i="19"/>
  <c r="E65" i="19"/>
  <c r="D65" i="19"/>
  <c r="C65" i="19"/>
  <c r="H64" i="19"/>
  <c r="G64" i="19"/>
  <c r="F64" i="19"/>
  <c r="E64" i="19"/>
  <c r="D64" i="19"/>
  <c r="C64" i="19"/>
  <c r="H63" i="19"/>
  <c r="G63" i="19"/>
  <c r="F63" i="19"/>
  <c r="E63" i="19"/>
  <c r="D63" i="19"/>
  <c r="C63" i="19"/>
  <c r="H62" i="19"/>
  <c r="G62" i="19"/>
  <c r="F62" i="19"/>
  <c r="E62" i="19"/>
  <c r="D62" i="19"/>
  <c r="C62" i="19"/>
  <c r="H61" i="19"/>
  <c r="G61" i="19"/>
  <c r="F61" i="19"/>
  <c r="E61" i="19"/>
  <c r="D61" i="19"/>
  <c r="C61" i="19"/>
  <c r="H60" i="19"/>
  <c r="G60" i="19"/>
  <c r="F60" i="19"/>
  <c r="E60" i="19"/>
  <c r="D60" i="19"/>
  <c r="C60" i="19"/>
  <c r="H59" i="19"/>
  <c r="G59" i="19"/>
  <c r="F59" i="19"/>
  <c r="E59" i="19"/>
  <c r="D59" i="19"/>
  <c r="C59" i="19"/>
  <c r="H58" i="19"/>
  <c r="G58" i="19"/>
  <c r="F58" i="19"/>
  <c r="E58" i="19"/>
  <c r="D58" i="19"/>
  <c r="C58" i="19"/>
  <c r="H56" i="19"/>
  <c r="G56" i="19"/>
  <c r="F56" i="19"/>
  <c r="E56" i="19"/>
  <c r="D56" i="19"/>
  <c r="C56" i="19"/>
  <c r="H55" i="19"/>
  <c r="G55" i="19"/>
  <c r="F55" i="19"/>
  <c r="E55" i="19"/>
  <c r="D55" i="19"/>
  <c r="C55" i="19"/>
  <c r="H54" i="19"/>
  <c r="G54" i="19"/>
  <c r="F54" i="19"/>
  <c r="E54" i="19"/>
  <c r="D54" i="19"/>
  <c r="C54" i="19"/>
  <c r="H53" i="19"/>
  <c r="G53" i="19"/>
  <c r="F53" i="19"/>
  <c r="E53" i="19"/>
  <c r="D53" i="19"/>
  <c r="C53" i="19"/>
  <c r="H52" i="19"/>
  <c r="G52" i="19"/>
  <c r="F52" i="19"/>
  <c r="E52" i="19"/>
  <c r="D52" i="19"/>
  <c r="C52" i="19"/>
  <c r="H51" i="19"/>
  <c r="G51" i="19"/>
  <c r="F51" i="19"/>
  <c r="E51" i="19"/>
  <c r="D51" i="19"/>
  <c r="C51" i="19"/>
  <c r="H50" i="19"/>
  <c r="G50" i="19"/>
  <c r="F50" i="19"/>
  <c r="E50" i="19"/>
  <c r="D50" i="19"/>
  <c r="C50" i="19"/>
  <c r="H49" i="19"/>
  <c r="G49" i="19"/>
  <c r="F49" i="19"/>
  <c r="E49" i="19"/>
  <c r="D49" i="19"/>
  <c r="C49" i="19"/>
  <c r="H48" i="19"/>
  <c r="G48" i="19"/>
  <c r="F48" i="19"/>
  <c r="E48" i="19"/>
  <c r="D48" i="19"/>
  <c r="C48" i="19"/>
  <c r="H47" i="19"/>
  <c r="G47" i="19"/>
  <c r="F47" i="19"/>
  <c r="E47" i="19"/>
  <c r="D47" i="19"/>
  <c r="C47" i="19"/>
  <c r="H46" i="19"/>
  <c r="G46" i="19"/>
  <c r="F46" i="19"/>
  <c r="E46" i="19"/>
  <c r="D46" i="19"/>
  <c r="C46" i="19"/>
  <c r="H45" i="19"/>
  <c r="G45" i="19"/>
  <c r="F45" i="19"/>
  <c r="E45" i="19"/>
  <c r="D45" i="19"/>
  <c r="C45" i="19"/>
  <c r="H44" i="19"/>
  <c r="G44" i="19"/>
  <c r="F44" i="19"/>
  <c r="E44" i="19"/>
  <c r="D44" i="19"/>
  <c r="C44" i="19"/>
  <c r="H42" i="19"/>
  <c r="G42" i="19"/>
  <c r="F42" i="19"/>
  <c r="E42" i="19"/>
  <c r="D42" i="19"/>
  <c r="C42" i="19"/>
  <c r="H41" i="19"/>
  <c r="G41" i="19"/>
  <c r="F41" i="19"/>
  <c r="E41" i="19"/>
  <c r="D41" i="19"/>
  <c r="C41" i="19"/>
  <c r="H40" i="19"/>
  <c r="G40" i="19"/>
  <c r="F40" i="19"/>
  <c r="E40" i="19"/>
  <c r="D40" i="19"/>
  <c r="C40" i="19"/>
  <c r="H39" i="19"/>
  <c r="G39" i="19"/>
  <c r="F39" i="19"/>
  <c r="E39" i="19"/>
  <c r="D39" i="19"/>
  <c r="C39" i="19"/>
  <c r="H38" i="19"/>
  <c r="G38" i="19"/>
  <c r="F38" i="19"/>
  <c r="E38" i="19"/>
  <c r="D38" i="19"/>
  <c r="C38" i="19"/>
  <c r="H37" i="19"/>
  <c r="G37" i="19"/>
  <c r="F37" i="19"/>
  <c r="E37" i="19"/>
  <c r="D37" i="19"/>
  <c r="C37" i="19"/>
  <c r="H36" i="19"/>
  <c r="G36" i="19"/>
  <c r="F36" i="19"/>
  <c r="E36" i="19"/>
  <c r="D36" i="19"/>
  <c r="C36" i="19"/>
  <c r="H35" i="19"/>
  <c r="G35" i="19"/>
  <c r="F35" i="19"/>
  <c r="E35" i="19"/>
  <c r="D35" i="19"/>
  <c r="C35" i="19"/>
  <c r="H34" i="19"/>
  <c r="G34" i="19"/>
  <c r="F34" i="19"/>
  <c r="E34" i="19"/>
  <c r="D34" i="19"/>
  <c r="C34" i="19"/>
  <c r="H33" i="19"/>
  <c r="G33" i="19"/>
  <c r="F33" i="19"/>
  <c r="E33" i="19"/>
  <c r="D33" i="19"/>
  <c r="C33" i="19"/>
  <c r="H32" i="19"/>
  <c r="G32" i="19"/>
  <c r="F32" i="19"/>
  <c r="E32" i="19"/>
  <c r="D32" i="19"/>
  <c r="C32" i="19"/>
  <c r="H31" i="19"/>
  <c r="G31" i="19"/>
  <c r="F31" i="19"/>
  <c r="E31" i="19"/>
  <c r="D31" i="19"/>
  <c r="C31" i="19"/>
  <c r="H30" i="19"/>
  <c r="G30" i="19"/>
  <c r="F30" i="19"/>
  <c r="E30" i="19"/>
  <c r="D30" i="19"/>
  <c r="C30" i="19"/>
  <c r="H27" i="19"/>
  <c r="G27" i="19"/>
  <c r="F27" i="19"/>
  <c r="E27" i="19"/>
  <c r="D27" i="19"/>
  <c r="C27" i="19"/>
  <c r="H26" i="19"/>
  <c r="G26" i="19"/>
  <c r="F26" i="19"/>
  <c r="E26" i="19"/>
  <c r="D26" i="19"/>
  <c r="C26" i="19"/>
  <c r="H25" i="19"/>
  <c r="G25" i="19"/>
  <c r="F25" i="19"/>
  <c r="E25" i="19"/>
  <c r="D25" i="19"/>
  <c r="C25" i="19"/>
  <c r="H24" i="19"/>
  <c r="G24" i="19"/>
  <c r="F24" i="19"/>
  <c r="E24" i="19"/>
  <c r="D24" i="19"/>
  <c r="C24" i="19"/>
  <c r="H23" i="19"/>
  <c r="G23" i="19"/>
  <c r="F23" i="19"/>
  <c r="E23" i="19"/>
  <c r="D23" i="19"/>
  <c r="C23" i="19"/>
  <c r="H22" i="19"/>
  <c r="G22" i="19"/>
  <c r="F22" i="19"/>
  <c r="E22" i="19"/>
  <c r="D22" i="19"/>
  <c r="C22" i="19"/>
  <c r="H21" i="19"/>
  <c r="G21" i="19"/>
  <c r="F21" i="19"/>
  <c r="E21" i="19"/>
  <c r="D21" i="19"/>
  <c r="C21" i="19"/>
  <c r="H20" i="19"/>
  <c r="G20" i="19"/>
  <c r="F20" i="19"/>
  <c r="E20" i="19"/>
  <c r="D20" i="19"/>
  <c r="C20" i="19"/>
  <c r="H19" i="19"/>
  <c r="G19" i="19"/>
  <c r="F19" i="19"/>
  <c r="E19" i="19"/>
  <c r="D19" i="19"/>
  <c r="C19" i="19"/>
  <c r="H18" i="19"/>
  <c r="G18" i="19"/>
  <c r="F18" i="19"/>
  <c r="E18" i="19"/>
  <c r="D18" i="19"/>
  <c r="C18" i="19"/>
  <c r="H17" i="19"/>
  <c r="G17" i="19"/>
  <c r="F17" i="19"/>
  <c r="E17" i="19"/>
  <c r="D17" i="19"/>
  <c r="C17" i="19"/>
  <c r="H16" i="19"/>
  <c r="G16" i="19"/>
  <c r="F16" i="19"/>
  <c r="E16" i="19"/>
  <c r="D16" i="19"/>
  <c r="C16" i="19"/>
  <c r="H15" i="19"/>
  <c r="G15" i="19"/>
  <c r="F15" i="19"/>
  <c r="E15" i="19"/>
  <c r="D15" i="19"/>
  <c r="C15" i="19"/>
  <c r="H14" i="19"/>
  <c r="G14" i="19"/>
  <c r="F14" i="19"/>
  <c r="E14" i="19"/>
  <c r="D14" i="19"/>
  <c r="C14" i="19"/>
  <c r="H13" i="19"/>
  <c r="G13" i="19"/>
  <c r="F13" i="19"/>
  <c r="E13" i="19"/>
  <c r="D13" i="19"/>
  <c r="C13" i="19"/>
  <c r="H12" i="19"/>
  <c r="G12" i="19"/>
  <c r="F12" i="19"/>
  <c r="E12" i="19"/>
  <c r="D12" i="19"/>
  <c r="C12" i="19"/>
  <c r="H11" i="19"/>
  <c r="G11" i="19"/>
  <c r="F11" i="19"/>
  <c r="E11" i="19"/>
  <c r="D11" i="19"/>
  <c r="C11" i="19"/>
  <c r="H9" i="19"/>
  <c r="G9" i="19"/>
  <c r="F9" i="19"/>
  <c r="E9" i="19"/>
  <c r="D9" i="19"/>
  <c r="C9" i="19"/>
  <c r="H8" i="19"/>
  <c r="G8" i="19"/>
  <c r="F8" i="19"/>
  <c r="E8" i="19"/>
  <c r="D8" i="19"/>
  <c r="C8" i="19"/>
  <c r="V66" i="19"/>
  <c r="U66" i="19"/>
  <c r="T66" i="19"/>
  <c r="S66" i="19"/>
  <c r="R66" i="19"/>
  <c r="Q66" i="19"/>
  <c r="P66" i="19"/>
  <c r="V65" i="19"/>
  <c r="U65" i="19"/>
  <c r="T65" i="19"/>
  <c r="S65" i="19"/>
  <c r="R65" i="19"/>
  <c r="Q65" i="19"/>
  <c r="P65" i="19"/>
  <c r="V64" i="19"/>
  <c r="U64" i="19"/>
  <c r="T64" i="19"/>
  <c r="S64" i="19"/>
  <c r="R64" i="19"/>
  <c r="Q64" i="19"/>
  <c r="P64" i="19"/>
  <c r="V63" i="19"/>
  <c r="U63" i="19"/>
  <c r="T63" i="19"/>
  <c r="S63" i="19"/>
  <c r="R63" i="19"/>
  <c r="Q63" i="19"/>
  <c r="P63" i="19"/>
  <c r="V62" i="19"/>
  <c r="U62" i="19"/>
  <c r="T62" i="19"/>
  <c r="S62" i="19"/>
  <c r="R62" i="19"/>
  <c r="Q62" i="19"/>
  <c r="P62" i="19"/>
  <c r="V61" i="19"/>
  <c r="U61" i="19"/>
  <c r="T61" i="19"/>
  <c r="S61" i="19"/>
  <c r="R61" i="19"/>
  <c r="Q61" i="19"/>
  <c r="P61" i="19"/>
  <c r="V60" i="19"/>
  <c r="U60" i="19"/>
  <c r="T60" i="19"/>
  <c r="S60" i="19"/>
  <c r="R60" i="19"/>
  <c r="Q60" i="19"/>
  <c r="P60" i="19"/>
  <c r="V59" i="19"/>
  <c r="U59" i="19"/>
  <c r="T59" i="19"/>
  <c r="S59" i="19"/>
  <c r="R59" i="19"/>
  <c r="Q59" i="19"/>
  <c r="P59" i="19"/>
  <c r="V58" i="19"/>
  <c r="U58" i="19"/>
  <c r="T58" i="19"/>
  <c r="S58" i="19"/>
  <c r="R58" i="19"/>
  <c r="Q58" i="19"/>
  <c r="P58" i="19"/>
  <c r="V56" i="19"/>
  <c r="U56" i="19"/>
  <c r="T56" i="19"/>
  <c r="S56" i="19"/>
  <c r="R56" i="19"/>
  <c r="Q56" i="19"/>
  <c r="P56" i="19"/>
  <c r="V55" i="19"/>
  <c r="U55" i="19"/>
  <c r="T55" i="19"/>
  <c r="S55" i="19"/>
  <c r="R55" i="19"/>
  <c r="Q55" i="19"/>
  <c r="P55" i="19"/>
  <c r="V54" i="19"/>
  <c r="U54" i="19"/>
  <c r="T54" i="19"/>
  <c r="S54" i="19"/>
  <c r="R54" i="19"/>
  <c r="Q54" i="19"/>
  <c r="P54" i="19"/>
  <c r="V53" i="19"/>
  <c r="U53" i="19"/>
  <c r="T53" i="19"/>
  <c r="S53" i="19"/>
  <c r="R53" i="19"/>
  <c r="Q53" i="19"/>
  <c r="P53" i="19"/>
  <c r="V52" i="19"/>
  <c r="U52" i="19"/>
  <c r="T52" i="19"/>
  <c r="S52" i="19"/>
  <c r="R52" i="19"/>
  <c r="Q52" i="19"/>
  <c r="P52" i="19"/>
  <c r="V51" i="19"/>
  <c r="U51" i="19"/>
  <c r="T51" i="19"/>
  <c r="S51" i="19"/>
  <c r="R51" i="19"/>
  <c r="Q51" i="19"/>
  <c r="P51" i="19"/>
  <c r="V50" i="19"/>
  <c r="U50" i="19"/>
  <c r="T50" i="19"/>
  <c r="S50" i="19"/>
  <c r="R50" i="19"/>
  <c r="Q50" i="19"/>
  <c r="P50" i="19"/>
  <c r="V49" i="19"/>
  <c r="U49" i="19"/>
  <c r="T49" i="19"/>
  <c r="S49" i="19"/>
  <c r="R49" i="19"/>
  <c r="Q49" i="19"/>
  <c r="P49" i="19"/>
  <c r="V48" i="19"/>
  <c r="U48" i="19"/>
  <c r="T48" i="19"/>
  <c r="S48" i="19"/>
  <c r="R48" i="19"/>
  <c r="Q48" i="19"/>
  <c r="P48" i="19"/>
  <c r="V47" i="19"/>
  <c r="U47" i="19"/>
  <c r="T47" i="19"/>
  <c r="S47" i="19"/>
  <c r="R47" i="19"/>
  <c r="Q47" i="19"/>
  <c r="P47" i="19"/>
  <c r="V46" i="19"/>
  <c r="U46" i="19"/>
  <c r="T46" i="19"/>
  <c r="S46" i="19"/>
  <c r="R46" i="19"/>
  <c r="Q46" i="19"/>
  <c r="P46" i="19"/>
  <c r="V45" i="19"/>
  <c r="U45" i="19"/>
  <c r="T45" i="19"/>
  <c r="S45" i="19"/>
  <c r="R45" i="19"/>
  <c r="Q45" i="19"/>
  <c r="P45" i="19"/>
  <c r="V44" i="19"/>
  <c r="U44" i="19"/>
  <c r="T44" i="19"/>
  <c r="S44" i="19"/>
  <c r="R44" i="19"/>
  <c r="Q44" i="19"/>
  <c r="P44" i="19"/>
  <c r="V42" i="19"/>
  <c r="U42" i="19"/>
  <c r="T42" i="19"/>
  <c r="S42" i="19"/>
  <c r="R42" i="19"/>
  <c r="Q42" i="19"/>
  <c r="P42" i="19"/>
  <c r="V41" i="19"/>
  <c r="U41" i="19"/>
  <c r="T41" i="19"/>
  <c r="S41" i="19"/>
  <c r="R41" i="19"/>
  <c r="Q41" i="19"/>
  <c r="P41" i="19"/>
  <c r="V40" i="19"/>
  <c r="U40" i="19"/>
  <c r="T40" i="19"/>
  <c r="S40" i="19"/>
  <c r="R40" i="19"/>
  <c r="Q40" i="19"/>
  <c r="P40" i="19"/>
  <c r="V39" i="19"/>
  <c r="U39" i="19"/>
  <c r="T39" i="19"/>
  <c r="S39" i="19"/>
  <c r="R39" i="19"/>
  <c r="Q39" i="19"/>
  <c r="P39" i="19"/>
  <c r="V38" i="19"/>
  <c r="U38" i="19"/>
  <c r="T38" i="19"/>
  <c r="S38" i="19"/>
  <c r="R38" i="19"/>
  <c r="Q38" i="19"/>
  <c r="P38" i="19"/>
  <c r="V37" i="19"/>
  <c r="U37" i="19"/>
  <c r="T37" i="19"/>
  <c r="S37" i="19"/>
  <c r="R37" i="19"/>
  <c r="Q37" i="19"/>
  <c r="P37" i="19"/>
  <c r="V36" i="19"/>
  <c r="U36" i="19"/>
  <c r="T36" i="19"/>
  <c r="S36" i="19"/>
  <c r="R36" i="19"/>
  <c r="Q36" i="19"/>
  <c r="P36" i="19"/>
  <c r="V35" i="19"/>
  <c r="U35" i="19"/>
  <c r="T35" i="19"/>
  <c r="S35" i="19"/>
  <c r="R35" i="19"/>
  <c r="Q35" i="19"/>
  <c r="P35" i="19"/>
  <c r="V34" i="19"/>
  <c r="U34" i="19"/>
  <c r="T34" i="19"/>
  <c r="S34" i="19"/>
  <c r="R34" i="19"/>
  <c r="Q34" i="19"/>
  <c r="P34" i="19"/>
  <c r="V33" i="19"/>
  <c r="U33" i="19"/>
  <c r="T33" i="19"/>
  <c r="S33" i="19"/>
  <c r="R33" i="19"/>
  <c r="Q33" i="19"/>
  <c r="P33" i="19"/>
  <c r="V32" i="19"/>
  <c r="U32" i="19"/>
  <c r="T32" i="19"/>
  <c r="S32" i="19"/>
  <c r="R32" i="19"/>
  <c r="Q32" i="19"/>
  <c r="P32" i="19"/>
  <c r="V31" i="19"/>
  <c r="U31" i="19"/>
  <c r="T31" i="19"/>
  <c r="S31" i="19"/>
  <c r="R31" i="19"/>
  <c r="Q31" i="19"/>
  <c r="P31" i="19"/>
  <c r="V30" i="19"/>
  <c r="U30" i="19"/>
  <c r="T30" i="19"/>
  <c r="S30" i="19"/>
  <c r="R30" i="19"/>
  <c r="Q30" i="19"/>
  <c r="P30" i="19"/>
  <c r="V29" i="19"/>
  <c r="U29" i="19"/>
  <c r="T29" i="19"/>
  <c r="S29" i="19"/>
  <c r="R29" i="19"/>
  <c r="Q29" i="19"/>
  <c r="P29" i="19"/>
  <c r="V27" i="19"/>
  <c r="U27" i="19"/>
  <c r="T27" i="19"/>
  <c r="S27" i="19"/>
  <c r="R27" i="19"/>
  <c r="Q27" i="19"/>
  <c r="P27" i="19"/>
  <c r="V26" i="19"/>
  <c r="U26" i="19"/>
  <c r="T26" i="19"/>
  <c r="S26" i="19"/>
  <c r="R26" i="19"/>
  <c r="Q26" i="19"/>
  <c r="P26" i="19"/>
  <c r="V25" i="19"/>
  <c r="U25" i="19"/>
  <c r="T25" i="19"/>
  <c r="S25" i="19"/>
  <c r="R25" i="19"/>
  <c r="Q25" i="19"/>
  <c r="P25" i="19"/>
  <c r="V24" i="19"/>
  <c r="U24" i="19"/>
  <c r="T24" i="19"/>
  <c r="S24" i="19"/>
  <c r="R24" i="19"/>
  <c r="Q24" i="19"/>
  <c r="P24" i="19"/>
  <c r="V23" i="19"/>
  <c r="U23" i="19"/>
  <c r="T23" i="19"/>
  <c r="S23" i="19"/>
  <c r="R23" i="19"/>
  <c r="Q23" i="19"/>
  <c r="P23" i="19"/>
  <c r="V22" i="19"/>
  <c r="U22" i="19"/>
  <c r="T22" i="19"/>
  <c r="S22" i="19"/>
  <c r="R22" i="19"/>
  <c r="Q22" i="19"/>
  <c r="P22" i="19"/>
  <c r="V21" i="19"/>
  <c r="U21" i="19"/>
  <c r="T21" i="19"/>
  <c r="S21" i="19"/>
  <c r="R21" i="19"/>
  <c r="Q21" i="19"/>
  <c r="P21" i="19"/>
  <c r="V20" i="19"/>
  <c r="U20" i="19"/>
  <c r="T20" i="19"/>
  <c r="S20" i="19"/>
  <c r="R20" i="19"/>
  <c r="Q20" i="19"/>
  <c r="P20" i="19"/>
  <c r="V19" i="19"/>
  <c r="U19" i="19"/>
  <c r="T19" i="19"/>
  <c r="S19" i="19"/>
  <c r="R19" i="19"/>
  <c r="Q19" i="19"/>
  <c r="P19" i="19"/>
  <c r="V18" i="19"/>
  <c r="U18" i="19"/>
  <c r="T18" i="19"/>
  <c r="S18" i="19"/>
  <c r="R18" i="19"/>
  <c r="Q18" i="19"/>
  <c r="P18" i="19"/>
  <c r="V17" i="19"/>
  <c r="U17" i="19"/>
  <c r="T17" i="19"/>
  <c r="S17" i="19"/>
  <c r="R17" i="19"/>
  <c r="Q17" i="19"/>
  <c r="P17" i="19"/>
  <c r="V16" i="19"/>
  <c r="U16" i="19"/>
  <c r="T16" i="19"/>
  <c r="S16" i="19"/>
  <c r="R16" i="19"/>
  <c r="Q16" i="19"/>
  <c r="P16" i="19"/>
  <c r="V15" i="19"/>
  <c r="U15" i="19"/>
  <c r="T15" i="19"/>
  <c r="S15" i="19"/>
  <c r="R15" i="19"/>
  <c r="Q15" i="19"/>
  <c r="P15" i="19"/>
  <c r="V14" i="19"/>
  <c r="U14" i="19"/>
  <c r="T14" i="19"/>
  <c r="S14" i="19"/>
  <c r="R14" i="19"/>
  <c r="Q14" i="19"/>
  <c r="P14" i="19"/>
  <c r="V13" i="19"/>
  <c r="U13" i="19"/>
  <c r="T13" i="19"/>
  <c r="S13" i="19"/>
  <c r="R13" i="19"/>
  <c r="Q13" i="19"/>
  <c r="P13" i="19"/>
  <c r="V12" i="19"/>
  <c r="U12" i="19"/>
  <c r="T12" i="19"/>
  <c r="S12" i="19"/>
  <c r="R12" i="19"/>
  <c r="Q12" i="19"/>
  <c r="P12" i="19"/>
  <c r="V11" i="19"/>
  <c r="U11" i="19"/>
  <c r="T11" i="19"/>
  <c r="S11" i="19"/>
  <c r="R11" i="19"/>
  <c r="Q11" i="19"/>
  <c r="P11" i="19"/>
  <c r="V9" i="19"/>
  <c r="U9" i="19"/>
  <c r="T9" i="19"/>
  <c r="S9" i="19"/>
  <c r="R9" i="19"/>
  <c r="Q9" i="19"/>
  <c r="P9" i="19"/>
  <c r="V8" i="19"/>
  <c r="U8" i="19"/>
  <c r="T8" i="19"/>
  <c r="S8" i="19"/>
  <c r="R8" i="19"/>
  <c r="Q8" i="19"/>
  <c r="P8" i="19"/>
  <c r="V67" i="18"/>
  <c r="U67" i="18"/>
  <c r="T67" i="18"/>
  <c r="S67" i="18"/>
  <c r="R67" i="18"/>
  <c r="Q67" i="18"/>
  <c r="P67" i="18"/>
  <c r="V66" i="18"/>
  <c r="U66" i="18"/>
  <c r="T66" i="18"/>
  <c r="S66" i="18"/>
  <c r="R66" i="18"/>
  <c r="Q66" i="18"/>
  <c r="P66" i="18"/>
  <c r="V65" i="18"/>
  <c r="U65" i="18"/>
  <c r="T65" i="18"/>
  <c r="S65" i="18"/>
  <c r="R65" i="18"/>
  <c r="Q65" i="18"/>
  <c r="P65" i="18"/>
  <c r="V64" i="18"/>
  <c r="U64" i="18"/>
  <c r="T64" i="18"/>
  <c r="S64" i="18"/>
  <c r="R64" i="18"/>
  <c r="Q64" i="18"/>
  <c r="P64" i="18"/>
  <c r="V63" i="18"/>
  <c r="U63" i="18"/>
  <c r="T63" i="18"/>
  <c r="S63" i="18"/>
  <c r="R63" i="18"/>
  <c r="Q63" i="18"/>
  <c r="P63" i="18"/>
  <c r="V62" i="18"/>
  <c r="U62" i="18"/>
  <c r="T62" i="18"/>
  <c r="S62" i="18"/>
  <c r="R62" i="18"/>
  <c r="Q62" i="18"/>
  <c r="P62" i="18"/>
  <c r="V61" i="18"/>
  <c r="U61" i="18"/>
  <c r="T61" i="18"/>
  <c r="S61" i="18"/>
  <c r="R61" i="18"/>
  <c r="Q61" i="18"/>
  <c r="P61" i="18"/>
  <c r="V60" i="18"/>
  <c r="U60" i="18"/>
  <c r="T60" i="18"/>
  <c r="S60" i="18"/>
  <c r="R60" i="18"/>
  <c r="Q60" i="18"/>
  <c r="P60" i="18"/>
  <c r="V59" i="18"/>
  <c r="U59" i="18"/>
  <c r="T59" i="18"/>
  <c r="S59" i="18"/>
  <c r="R59" i="18"/>
  <c r="Q59" i="18"/>
  <c r="P59" i="18"/>
  <c r="V58" i="18"/>
  <c r="U58" i="18"/>
  <c r="T58" i="18"/>
  <c r="S58" i="18"/>
  <c r="R58" i="18"/>
  <c r="Q58" i="18"/>
  <c r="P58" i="18"/>
  <c r="V56" i="18"/>
  <c r="U56" i="18"/>
  <c r="T56" i="18"/>
  <c r="S56" i="18"/>
  <c r="R56" i="18"/>
  <c r="Q56" i="18"/>
  <c r="P56" i="18"/>
  <c r="V55" i="18"/>
  <c r="U55" i="18"/>
  <c r="T55" i="18"/>
  <c r="S55" i="18"/>
  <c r="R55" i="18"/>
  <c r="Q55" i="18"/>
  <c r="P55" i="18"/>
  <c r="V54" i="18"/>
  <c r="U54" i="18"/>
  <c r="T54" i="18"/>
  <c r="S54" i="18"/>
  <c r="R54" i="18"/>
  <c r="Q54" i="18"/>
  <c r="P54" i="18"/>
  <c r="V53" i="18"/>
  <c r="U53" i="18"/>
  <c r="T53" i="18"/>
  <c r="S53" i="18"/>
  <c r="R53" i="18"/>
  <c r="Q53" i="18"/>
  <c r="P53" i="18"/>
  <c r="V52" i="18"/>
  <c r="U52" i="18"/>
  <c r="T52" i="18"/>
  <c r="S52" i="18"/>
  <c r="R52" i="18"/>
  <c r="Q52" i="18"/>
  <c r="P52" i="18"/>
  <c r="V51" i="18"/>
  <c r="U51" i="18"/>
  <c r="T51" i="18"/>
  <c r="S51" i="18"/>
  <c r="R51" i="18"/>
  <c r="Q51" i="18"/>
  <c r="P51" i="18"/>
  <c r="V50" i="18"/>
  <c r="U50" i="18"/>
  <c r="T50" i="18"/>
  <c r="S50" i="18"/>
  <c r="R50" i="18"/>
  <c r="Q50" i="18"/>
  <c r="P50" i="18"/>
  <c r="V49" i="18"/>
  <c r="U49" i="18"/>
  <c r="T49" i="18"/>
  <c r="S49" i="18"/>
  <c r="R49" i="18"/>
  <c r="Q49" i="18"/>
  <c r="P49" i="18"/>
  <c r="V48" i="18"/>
  <c r="U48" i="18"/>
  <c r="T48" i="18"/>
  <c r="S48" i="18"/>
  <c r="R48" i="18"/>
  <c r="Q48" i="18"/>
  <c r="P48" i="18"/>
  <c r="V47" i="18"/>
  <c r="U47" i="18"/>
  <c r="T47" i="18"/>
  <c r="S47" i="18"/>
  <c r="R47" i="18"/>
  <c r="Q47" i="18"/>
  <c r="P47" i="18"/>
  <c r="V46" i="18"/>
  <c r="U46" i="18"/>
  <c r="T46" i="18"/>
  <c r="S46" i="18"/>
  <c r="R46" i="18"/>
  <c r="Q46" i="18"/>
  <c r="P46" i="18"/>
  <c r="V45" i="18"/>
  <c r="U45" i="18"/>
  <c r="T45" i="18"/>
  <c r="S45" i="18"/>
  <c r="R45" i="18"/>
  <c r="Q45" i="18"/>
  <c r="P45" i="18"/>
  <c r="V44" i="18"/>
  <c r="U44" i="18"/>
  <c r="T44" i="18"/>
  <c r="S44" i="18"/>
  <c r="R44" i="18"/>
  <c r="Q44" i="18"/>
  <c r="P44" i="18"/>
  <c r="V42" i="18"/>
  <c r="U42" i="18"/>
  <c r="T42" i="18"/>
  <c r="S42" i="18"/>
  <c r="R42" i="18"/>
  <c r="Q42" i="18"/>
  <c r="P42" i="18"/>
  <c r="V41" i="18"/>
  <c r="U41" i="18"/>
  <c r="T41" i="18"/>
  <c r="S41" i="18"/>
  <c r="R41" i="18"/>
  <c r="Q41" i="18"/>
  <c r="P41" i="18"/>
  <c r="V40" i="18"/>
  <c r="U40" i="18"/>
  <c r="T40" i="18"/>
  <c r="S40" i="18"/>
  <c r="R40" i="18"/>
  <c r="Q40" i="18"/>
  <c r="P40" i="18"/>
  <c r="V39" i="18"/>
  <c r="U39" i="18"/>
  <c r="T39" i="18"/>
  <c r="S39" i="18"/>
  <c r="R39" i="18"/>
  <c r="Q39" i="18"/>
  <c r="P39" i="18"/>
  <c r="V38" i="18"/>
  <c r="U38" i="18"/>
  <c r="T38" i="18"/>
  <c r="S38" i="18"/>
  <c r="R38" i="18"/>
  <c r="Q38" i="18"/>
  <c r="P38" i="18"/>
  <c r="V37" i="18"/>
  <c r="U37" i="18"/>
  <c r="T37" i="18"/>
  <c r="S37" i="18"/>
  <c r="R37" i="18"/>
  <c r="Q37" i="18"/>
  <c r="P37" i="18"/>
  <c r="V36" i="18"/>
  <c r="U36" i="18"/>
  <c r="T36" i="18"/>
  <c r="S36" i="18"/>
  <c r="R36" i="18"/>
  <c r="Q36" i="18"/>
  <c r="P36" i="18"/>
  <c r="V35" i="18"/>
  <c r="U35" i="18"/>
  <c r="T35" i="18"/>
  <c r="S35" i="18"/>
  <c r="R35" i="18"/>
  <c r="Q35" i="18"/>
  <c r="P35" i="18"/>
  <c r="V34" i="18"/>
  <c r="U34" i="18"/>
  <c r="T34" i="18"/>
  <c r="S34" i="18"/>
  <c r="R34" i="18"/>
  <c r="Q34" i="18"/>
  <c r="P34" i="18"/>
  <c r="V33" i="18"/>
  <c r="U33" i="18"/>
  <c r="T33" i="18"/>
  <c r="S33" i="18"/>
  <c r="R33" i="18"/>
  <c r="Q33" i="18"/>
  <c r="P33" i="18"/>
  <c r="V32" i="18"/>
  <c r="U32" i="18"/>
  <c r="T32" i="18"/>
  <c r="S32" i="18"/>
  <c r="R32" i="18"/>
  <c r="Q32" i="18"/>
  <c r="P32" i="18"/>
  <c r="V31" i="18"/>
  <c r="U31" i="18"/>
  <c r="T31" i="18"/>
  <c r="S31" i="18"/>
  <c r="R31" i="18"/>
  <c r="Q31" i="18"/>
  <c r="P31" i="18"/>
  <c r="V30" i="18"/>
  <c r="U30" i="18"/>
  <c r="T30" i="18"/>
  <c r="S30" i="18"/>
  <c r="R30" i="18"/>
  <c r="Q30" i="18"/>
  <c r="P30" i="18"/>
  <c r="V29" i="18"/>
  <c r="U29" i="18"/>
  <c r="T29" i="18"/>
  <c r="S29" i="18"/>
  <c r="R29" i="18"/>
  <c r="Q29" i="18"/>
  <c r="P29" i="18"/>
  <c r="V27" i="18"/>
  <c r="U27" i="18"/>
  <c r="T27" i="18"/>
  <c r="S27" i="18"/>
  <c r="R27" i="18"/>
  <c r="Q27" i="18"/>
  <c r="P27" i="18"/>
  <c r="V26" i="18"/>
  <c r="U26" i="18"/>
  <c r="T26" i="18"/>
  <c r="S26" i="18"/>
  <c r="R26" i="18"/>
  <c r="Q26" i="18"/>
  <c r="P26" i="18"/>
  <c r="V25" i="18"/>
  <c r="U25" i="18"/>
  <c r="T25" i="18"/>
  <c r="S25" i="18"/>
  <c r="R25" i="18"/>
  <c r="Q25" i="18"/>
  <c r="P25" i="18"/>
  <c r="V24" i="18"/>
  <c r="U24" i="18"/>
  <c r="T24" i="18"/>
  <c r="S24" i="18"/>
  <c r="R24" i="18"/>
  <c r="Q24" i="18"/>
  <c r="P24" i="18"/>
  <c r="U23" i="18"/>
  <c r="T23" i="18"/>
  <c r="S23" i="18"/>
  <c r="R23" i="18"/>
  <c r="Q23" i="18"/>
  <c r="P23" i="18"/>
  <c r="X23" i="18" s="1"/>
  <c r="V22" i="18"/>
  <c r="U22" i="18"/>
  <c r="T22" i="18"/>
  <c r="S22" i="18"/>
  <c r="R22" i="18"/>
  <c r="Q22" i="18"/>
  <c r="P22" i="18"/>
  <c r="V21" i="18"/>
  <c r="U21" i="18"/>
  <c r="T21" i="18"/>
  <c r="S21" i="18"/>
  <c r="R21" i="18"/>
  <c r="Q21" i="18"/>
  <c r="P21" i="18"/>
  <c r="V20" i="18"/>
  <c r="U20" i="18"/>
  <c r="T20" i="18"/>
  <c r="S20" i="18"/>
  <c r="R20" i="18"/>
  <c r="Q20" i="18"/>
  <c r="P20" i="18"/>
  <c r="V19" i="18"/>
  <c r="U19" i="18"/>
  <c r="T19" i="18"/>
  <c r="S19" i="18"/>
  <c r="R19" i="18"/>
  <c r="Q19" i="18"/>
  <c r="P19" i="18"/>
  <c r="V18" i="18"/>
  <c r="U18" i="18"/>
  <c r="T18" i="18"/>
  <c r="S18" i="18"/>
  <c r="R18" i="18"/>
  <c r="Q18" i="18"/>
  <c r="P18" i="18"/>
  <c r="V17" i="18"/>
  <c r="U17" i="18"/>
  <c r="T17" i="18"/>
  <c r="S17" i="18"/>
  <c r="R17" i="18"/>
  <c r="Q17" i="18"/>
  <c r="P17" i="18"/>
  <c r="V16" i="18"/>
  <c r="U16" i="18"/>
  <c r="T16" i="18"/>
  <c r="S16" i="18"/>
  <c r="R16" i="18"/>
  <c r="Q16" i="18"/>
  <c r="P16" i="18"/>
  <c r="V15" i="18"/>
  <c r="U15" i="18"/>
  <c r="T15" i="18"/>
  <c r="S15" i="18"/>
  <c r="R15" i="18"/>
  <c r="Q15" i="18"/>
  <c r="P15" i="18"/>
  <c r="V14" i="18"/>
  <c r="U14" i="18"/>
  <c r="T14" i="18"/>
  <c r="S14" i="18"/>
  <c r="R14" i="18"/>
  <c r="Q14" i="18"/>
  <c r="P14" i="18"/>
  <c r="V13" i="18"/>
  <c r="U13" i="18"/>
  <c r="T13" i="18"/>
  <c r="S13" i="18"/>
  <c r="R13" i="18"/>
  <c r="Q13" i="18"/>
  <c r="P13" i="18"/>
  <c r="V12" i="18"/>
  <c r="U12" i="18"/>
  <c r="T12" i="18"/>
  <c r="S12" i="18"/>
  <c r="R12" i="18"/>
  <c r="Q12" i="18"/>
  <c r="P12" i="18"/>
  <c r="V11" i="18"/>
  <c r="U11" i="18"/>
  <c r="T11" i="18"/>
  <c r="S11" i="18"/>
  <c r="R11" i="18"/>
  <c r="Q11" i="18"/>
  <c r="P11" i="18"/>
  <c r="V9" i="18"/>
  <c r="U9" i="18"/>
  <c r="T9" i="18"/>
  <c r="S9" i="18"/>
  <c r="R9" i="18"/>
  <c r="Q9" i="18"/>
  <c r="P9" i="18"/>
  <c r="V8" i="18"/>
  <c r="U8" i="18"/>
  <c r="T8" i="18"/>
  <c r="S8" i="18"/>
  <c r="R8" i="18"/>
  <c r="Q8" i="18"/>
  <c r="P8" i="18"/>
  <c r="H67" i="18"/>
  <c r="G67" i="18"/>
  <c r="F67" i="18"/>
  <c r="E67" i="18"/>
  <c r="D67" i="18"/>
  <c r="C67" i="18"/>
  <c r="H66" i="18"/>
  <c r="G66" i="18"/>
  <c r="F66" i="18"/>
  <c r="E66" i="18"/>
  <c r="D66" i="18"/>
  <c r="C66" i="18"/>
  <c r="H65" i="18"/>
  <c r="G65" i="18"/>
  <c r="F65" i="18"/>
  <c r="E65" i="18"/>
  <c r="D65" i="18"/>
  <c r="C65" i="18"/>
  <c r="H64" i="18"/>
  <c r="G64" i="18"/>
  <c r="F64" i="18"/>
  <c r="E64" i="18"/>
  <c r="D64" i="18"/>
  <c r="C64" i="18"/>
  <c r="H63" i="18"/>
  <c r="G63" i="18"/>
  <c r="F63" i="18"/>
  <c r="E63" i="18"/>
  <c r="D63" i="18"/>
  <c r="C63" i="18"/>
  <c r="H62" i="18"/>
  <c r="G62" i="18"/>
  <c r="F62" i="18"/>
  <c r="E62" i="18"/>
  <c r="D62" i="18"/>
  <c r="C62" i="18"/>
  <c r="H61" i="18"/>
  <c r="G61" i="18"/>
  <c r="F61" i="18"/>
  <c r="E61" i="18"/>
  <c r="D61" i="18"/>
  <c r="C61" i="18"/>
  <c r="H60" i="18"/>
  <c r="G60" i="18"/>
  <c r="F60" i="18"/>
  <c r="E60" i="18"/>
  <c r="D60" i="18"/>
  <c r="C60" i="18"/>
  <c r="H59" i="18"/>
  <c r="G59" i="18"/>
  <c r="F59" i="18"/>
  <c r="E59" i="18"/>
  <c r="D59" i="18"/>
  <c r="C59" i="18"/>
  <c r="H58" i="18"/>
  <c r="G58" i="18"/>
  <c r="F58" i="18"/>
  <c r="E58" i="18"/>
  <c r="D58" i="18"/>
  <c r="C58" i="18"/>
  <c r="H56" i="18"/>
  <c r="G56" i="18"/>
  <c r="F56" i="18"/>
  <c r="E56" i="18"/>
  <c r="D56" i="18"/>
  <c r="C56" i="18"/>
  <c r="H55" i="18"/>
  <c r="G55" i="18"/>
  <c r="F55" i="18"/>
  <c r="E55" i="18"/>
  <c r="D55" i="18"/>
  <c r="C55" i="18"/>
  <c r="H54" i="18"/>
  <c r="G54" i="18"/>
  <c r="F54" i="18"/>
  <c r="E54" i="18"/>
  <c r="D54" i="18"/>
  <c r="C54" i="18"/>
  <c r="H53" i="18"/>
  <c r="G53" i="18"/>
  <c r="F53" i="18"/>
  <c r="E53" i="18"/>
  <c r="D53" i="18"/>
  <c r="C53" i="18"/>
  <c r="H52" i="18"/>
  <c r="G52" i="18"/>
  <c r="F52" i="18"/>
  <c r="E52" i="18"/>
  <c r="D52" i="18"/>
  <c r="C52" i="18"/>
  <c r="H51" i="18"/>
  <c r="G51" i="18"/>
  <c r="F51" i="18"/>
  <c r="E51" i="18"/>
  <c r="D51" i="18"/>
  <c r="C51" i="18"/>
  <c r="H50" i="18"/>
  <c r="G50" i="18"/>
  <c r="F50" i="18"/>
  <c r="E50" i="18"/>
  <c r="D50" i="18"/>
  <c r="C50" i="18"/>
  <c r="H49" i="18"/>
  <c r="G49" i="18"/>
  <c r="F49" i="18"/>
  <c r="E49" i="18"/>
  <c r="D49" i="18"/>
  <c r="C49" i="18"/>
  <c r="H48" i="18"/>
  <c r="G48" i="18"/>
  <c r="F48" i="18"/>
  <c r="E48" i="18"/>
  <c r="D48" i="18"/>
  <c r="C48" i="18"/>
  <c r="H47" i="18"/>
  <c r="G47" i="18"/>
  <c r="F47" i="18"/>
  <c r="E47" i="18"/>
  <c r="D47" i="18"/>
  <c r="C47" i="18"/>
  <c r="H46" i="18"/>
  <c r="G46" i="18"/>
  <c r="F46" i="18"/>
  <c r="E46" i="18"/>
  <c r="D46" i="18"/>
  <c r="C46" i="18"/>
  <c r="H45" i="18"/>
  <c r="G45" i="18"/>
  <c r="F45" i="18"/>
  <c r="E45" i="18"/>
  <c r="D45" i="18"/>
  <c r="C45" i="18"/>
  <c r="H44" i="18"/>
  <c r="G44" i="18"/>
  <c r="F44" i="18"/>
  <c r="E44" i="18"/>
  <c r="D44" i="18"/>
  <c r="C44" i="18"/>
  <c r="H42" i="18"/>
  <c r="G42" i="18"/>
  <c r="F42" i="18"/>
  <c r="E42" i="18"/>
  <c r="D42" i="18"/>
  <c r="C42" i="18"/>
  <c r="H41" i="18"/>
  <c r="G41" i="18"/>
  <c r="F41" i="18"/>
  <c r="E41" i="18"/>
  <c r="D41" i="18"/>
  <c r="C41" i="18"/>
  <c r="H40" i="18"/>
  <c r="G40" i="18"/>
  <c r="F40" i="18"/>
  <c r="E40" i="18"/>
  <c r="D40" i="18"/>
  <c r="C40" i="18"/>
  <c r="H39" i="18"/>
  <c r="G39" i="18"/>
  <c r="F39" i="18"/>
  <c r="E39" i="18"/>
  <c r="D39" i="18"/>
  <c r="C39" i="18"/>
  <c r="H38" i="18"/>
  <c r="G38" i="18"/>
  <c r="F38" i="18"/>
  <c r="E38" i="18"/>
  <c r="D38" i="18"/>
  <c r="C38" i="18"/>
  <c r="H37" i="18"/>
  <c r="G37" i="18"/>
  <c r="F37" i="18"/>
  <c r="E37" i="18"/>
  <c r="D37" i="18"/>
  <c r="C37" i="18"/>
  <c r="H36" i="18"/>
  <c r="G36" i="18"/>
  <c r="F36" i="18"/>
  <c r="E36" i="18"/>
  <c r="D36" i="18"/>
  <c r="C36" i="18"/>
  <c r="H35" i="18"/>
  <c r="G35" i="18"/>
  <c r="F35" i="18"/>
  <c r="E35" i="18"/>
  <c r="D35" i="18"/>
  <c r="C35" i="18"/>
  <c r="H34" i="18"/>
  <c r="G34" i="18"/>
  <c r="F34" i="18"/>
  <c r="E34" i="18"/>
  <c r="D34" i="18"/>
  <c r="C34" i="18"/>
  <c r="H33" i="18"/>
  <c r="G33" i="18"/>
  <c r="F33" i="18"/>
  <c r="E33" i="18"/>
  <c r="D33" i="18"/>
  <c r="C33" i="18"/>
  <c r="H32" i="18"/>
  <c r="G32" i="18"/>
  <c r="F32" i="18"/>
  <c r="E32" i="18"/>
  <c r="D32" i="18"/>
  <c r="C32" i="18"/>
  <c r="H31" i="18"/>
  <c r="G31" i="18"/>
  <c r="F31" i="18"/>
  <c r="E31" i="18"/>
  <c r="D31" i="18"/>
  <c r="C31" i="18"/>
  <c r="H30" i="18"/>
  <c r="G30" i="18"/>
  <c r="F30" i="18"/>
  <c r="E30" i="18"/>
  <c r="D30" i="18"/>
  <c r="C30" i="18"/>
  <c r="H29" i="18"/>
  <c r="G29" i="18"/>
  <c r="F29" i="18"/>
  <c r="E29" i="18"/>
  <c r="D29" i="18"/>
  <c r="C29" i="18"/>
  <c r="H27" i="18"/>
  <c r="G27" i="18"/>
  <c r="F27" i="18"/>
  <c r="E27" i="18"/>
  <c r="D27" i="18"/>
  <c r="C27" i="18"/>
  <c r="H26" i="18"/>
  <c r="G26" i="18"/>
  <c r="F26" i="18"/>
  <c r="E26" i="18"/>
  <c r="D26" i="18"/>
  <c r="C26" i="18"/>
  <c r="H25" i="18"/>
  <c r="G25" i="18"/>
  <c r="F25" i="18"/>
  <c r="E25" i="18"/>
  <c r="D25" i="18"/>
  <c r="C25" i="18"/>
  <c r="H24" i="18"/>
  <c r="G24" i="18"/>
  <c r="F24" i="18"/>
  <c r="E24" i="18"/>
  <c r="D24" i="18"/>
  <c r="C24" i="18"/>
  <c r="H23" i="18"/>
  <c r="G23" i="18"/>
  <c r="F23" i="18"/>
  <c r="E23" i="18"/>
  <c r="D23" i="18"/>
  <c r="C23" i="18"/>
  <c r="H22" i="18"/>
  <c r="G22" i="18"/>
  <c r="F22" i="18"/>
  <c r="E22" i="18"/>
  <c r="D22" i="18"/>
  <c r="C22" i="18"/>
  <c r="H21" i="18"/>
  <c r="G21" i="18"/>
  <c r="F21" i="18"/>
  <c r="E21" i="18"/>
  <c r="D21" i="18"/>
  <c r="C21" i="18"/>
  <c r="H20" i="18"/>
  <c r="G20" i="18"/>
  <c r="F20" i="18"/>
  <c r="E20" i="18"/>
  <c r="D20" i="18"/>
  <c r="C20" i="18"/>
  <c r="H19" i="18"/>
  <c r="G19" i="18"/>
  <c r="F19" i="18"/>
  <c r="E19" i="18"/>
  <c r="D19" i="18"/>
  <c r="C19" i="18"/>
  <c r="H18" i="18"/>
  <c r="G18" i="18"/>
  <c r="F18" i="18"/>
  <c r="E18" i="18"/>
  <c r="D18" i="18"/>
  <c r="C18" i="18"/>
  <c r="H17" i="18"/>
  <c r="G17" i="18"/>
  <c r="F17" i="18"/>
  <c r="E17" i="18"/>
  <c r="D17" i="18"/>
  <c r="C17" i="18"/>
  <c r="H16" i="18"/>
  <c r="G16" i="18"/>
  <c r="F16" i="18"/>
  <c r="E16" i="18"/>
  <c r="D16" i="18"/>
  <c r="C16" i="18"/>
  <c r="H15" i="18"/>
  <c r="G15" i="18"/>
  <c r="F15" i="18"/>
  <c r="E15" i="18"/>
  <c r="D15" i="18"/>
  <c r="C15" i="18"/>
  <c r="H14" i="18"/>
  <c r="G14" i="18"/>
  <c r="F14" i="18"/>
  <c r="E14" i="18"/>
  <c r="D14" i="18"/>
  <c r="C14" i="18"/>
  <c r="H13" i="18"/>
  <c r="G13" i="18"/>
  <c r="F13" i="18"/>
  <c r="E13" i="18"/>
  <c r="D13" i="18"/>
  <c r="C13" i="18"/>
  <c r="H12" i="18"/>
  <c r="G12" i="18"/>
  <c r="F12" i="18"/>
  <c r="E12" i="18"/>
  <c r="D12" i="18"/>
  <c r="C12" i="18"/>
  <c r="H11" i="18"/>
  <c r="G11" i="18"/>
  <c r="F11" i="18"/>
  <c r="E11" i="18"/>
  <c r="D11" i="18"/>
  <c r="C11" i="18"/>
  <c r="H9" i="18"/>
  <c r="G9" i="18"/>
  <c r="F9" i="18"/>
  <c r="E9" i="18"/>
  <c r="D9" i="18"/>
  <c r="C9" i="18"/>
  <c r="H8" i="18"/>
  <c r="G8" i="18"/>
  <c r="F8" i="18"/>
  <c r="E8" i="18"/>
  <c r="D8" i="18"/>
  <c r="C8" i="18"/>
  <c r="AB54" i="10"/>
  <c r="AC54" i="10"/>
  <c r="AB40" i="10"/>
  <c r="AC40" i="10"/>
  <c r="AB25" i="10"/>
  <c r="AC25" i="10"/>
  <c r="AB7" i="10"/>
  <c r="AC7" i="10"/>
  <c r="AC6" i="10" s="1"/>
  <c r="AB25" i="29"/>
  <c r="AC25" i="29"/>
  <c r="AC40" i="29"/>
  <c r="AB40" i="29"/>
  <c r="AB54" i="29"/>
  <c r="AC54" i="29"/>
  <c r="AB7" i="29"/>
  <c r="AB6" i="29" s="1"/>
  <c r="AC7" i="29"/>
  <c r="AB25" i="9"/>
  <c r="AC25" i="9"/>
  <c r="AB40" i="9"/>
  <c r="AC40" i="9"/>
  <c r="AB54" i="9"/>
  <c r="AC54" i="9"/>
  <c r="AB7" i="9"/>
  <c r="AB6" i="9" s="1"/>
  <c r="AC7" i="9"/>
  <c r="AC6" i="9" s="1"/>
  <c r="AB54" i="28"/>
  <c r="AC54" i="28"/>
  <c r="AB40" i="28"/>
  <c r="AC40" i="28"/>
  <c r="AB25" i="28"/>
  <c r="AC25" i="28"/>
  <c r="AB7" i="28"/>
  <c r="AB6" i="28" s="1"/>
  <c r="AC7" i="28"/>
  <c r="AC6" i="28" s="1"/>
  <c r="AB54" i="7"/>
  <c r="AC54" i="7"/>
  <c r="AB40" i="7"/>
  <c r="AC40" i="7"/>
  <c r="AB25" i="7"/>
  <c r="AC25" i="7"/>
  <c r="AB7" i="7"/>
  <c r="AB6" i="7" s="1"/>
  <c r="AC7" i="7"/>
  <c r="AB54" i="26"/>
  <c r="AC54" i="26"/>
  <c r="AB40" i="26"/>
  <c r="AB40" i="23" s="1"/>
  <c r="AC40" i="26"/>
  <c r="AC40" i="23" s="1"/>
  <c r="AB25" i="26"/>
  <c r="AC25" i="26"/>
  <c r="AB7" i="26"/>
  <c r="AB6" i="26" s="1"/>
  <c r="AC7" i="26"/>
  <c r="AC6" i="26" s="1"/>
  <c r="AB54" i="6"/>
  <c r="AC54" i="6"/>
  <c r="AB40" i="6"/>
  <c r="AC40" i="6"/>
  <c r="AC40" i="4" s="1"/>
  <c r="BE40" i="11" s="1"/>
  <c r="AB25" i="6"/>
  <c r="AC25" i="6"/>
  <c r="AB7" i="6"/>
  <c r="AB6" i="6" s="1"/>
  <c r="AC7" i="6"/>
  <c r="AC6" i="6" s="1"/>
  <c r="AB54" i="25"/>
  <c r="AC54" i="25"/>
  <c r="AB40" i="25"/>
  <c r="AC40" i="25"/>
  <c r="AB25" i="25"/>
  <c r="AC25" i="25"/>
  <c r="AC25" i="23" s="1"/>
  <c r="AB7" i="25"/>
  <c r="AB6" i="25" s="1"/>
  <c r="AC7" i="25"/>
  <c r="AC6" i="25" s="1"/>
  <c r="AB54" i="5"/>
  <c r="AC54" i="5"/>
  <c r="AB40" i="5"/>
  <c r="AC40" i="5"/>
  <c r="AB25" i="5"/>
  <c r="AC25" i="5"/>
  <c r="AB7" i="5"/>
  <c r="AB6" i="5" s="1"/>
  <c r="AC7" i="5"/>
  <c r="AB54" i="24"/>
  <c r="AC54" i="24"/>
  <c r="AB40" i="24"/>
  <c r="AC40" i="24"/>
  <c r="AB25" i="24"/>
  <c r="AC25" i="24"/>
  <c r="AB7" i="24"/>
  <c r="AC7" i="24"/>
  <c r="AC6" i="24" s="1"/>
  <c r="AB8" i="4"/>
  <c r="AC8" i="4"/>
  <c r="AB9" i="4"/>
  <c r="BD9" i="11" s="1"/>
  <c r="AC9" i="4"/>
  <c r="BE9" i="11" s="1"/>
  <c r="AB10" i="4"/>
  <c r="BD10" i="11" s="1"/>
  <c r="AC10" i="4"/>
  <c r="BE10" i="11" s="1"/>
  <c r="AB11" i="4"/>
  <c r="BD11" i="11" s="1"/>
  <c r="AC11" i="4"/>
  <c r="BE11" i="11" s="1"/>
  <c r="AB12" i="4"/>
  <c r="BD12" i="11" s="1"/>
  <c r="AC12" i="4"/>
  <c r="BE12" i="11" s="1"/>
  <c r="AB13" i="4"/>
  <c r="BD13" i="11" s="1"/>
  <c r="AC13" i="4"/>
  <c r="BE13" i="11" s="1"/>
  <c r="AB14" i="4"/>
  <c r="BD14" i="11" s="1"/>
  <c r="AC14" i="4"/>
  <c r="BE14" i="11" s="1"/>
  <c r="AB15" i="4"/>
  <c r="BD15" i="11" s="1"/>
  <c r="AC15" i="4"/>
  <c r="BE15" i="11" s="1"/>
  <c r="AB16" i="4"/>
  <c r="BD16" i="11" s="1"/>
  <c r="AC16" i="4"/>
  <c r="BE16" i="11" s="1"/>
  <c r="AB17" i="4"/>
  <c r="BD17" i="11" s="1"/>
  <c r="AC17" i="4"/>
  <c r="BE17" i="11" s="1"/>
  <c r="AB18" i="4"/>
  <c r="BD18" i="11" s="1"/>
  <c r="AC18" i="4"/>
  <c r="BE18" i="11" s="1"/>
  <c r="AB19" i="4"/>
  <c r="BD19" i="11" s="1"/>
  <c r="AC19" i="4"/>
  <c r="BE19" i="11" s="1"/>
  <c r="AB20" i="4"/>
  <c r="BD20" i="11" s="1"/>
  <c r="AC20" i="4"/>
  <c r="BE20" i="11" s="1"/>
  <c r="AB21" i="4"/>
  <c r="BD21" i="11" s="1"/>
  <c r="AC21" i="4"/>
  <c r="BE21" i="11" s="1"/>
  <c r="AB22" i="4"/>
  <c r="BD22" i="11" s="1"/>
  <c r="AC22" i="4"/>
  <c r="BE22" i="11" s="1"/>
  <c r="AB23" i="4"/>
  <c r="BD23" i="11" s="1"/>
  <c r="AC23" i="4"/>
  <c r="BE23" i="11" s="1"/>
  <c r="AB24" i="4"/>
  <c r="BD24" i="11" s="1"/>
  <c r="AC24" i="4"/>
  <c r="BE24" i="11" s="1"/>
  <c r="AB25" i="4"/>
  <c r="AC25" i="4"/>
  <c r="AB26" i="4"/>
  <c r="AC26" i="4"/>
  <c r="AB27" i="4"/>
  <c r="BD27" i="11" s="1"/>
  <c r="AC27" i="4"/>
  <c r="BE27" i="11" s="1"/>
  <c r="AB28" i="4"/>
  <c r="BD28" i="11" s="1"/>
  <c r="AC28" i="4"/>
  <c r="BE28" i="11" s="1"/>
  <c r="AB29" i="4"/>
  <c r="BD29" i="11" s="1"/>
  <c r="AC29" i="4"/>
  <c r="BE29" i="11" s="1"/>
  <c r="AB30" i="4"/>
  <c r="BD30" i="11" s="1"/>
  <c r="AC30" i="4"/>
  <c r="BE30" i="11" s="1"/>
  <c r="AB31" i="4"/>
  <c r="BD31" i="11" s="1"/>
  <c r="AC31" i="4"/>
  <c r="BE31" i="11" s="1"/>
  <c r="AB32" i="4"/>
  <c r="BD32" i="11" s="1"/>
  <c r="AC32" i="4"/>
  <c r="BE32" i="11" s="1"/>
  <c r="AB33" i="4"/>
  <c r="BD33" i="11" s="1"/>
  <c r="AC33" i="4"/>
  <c r="BE33" i="11" s="1"/>
  <c r="AB34" i="4"/>
  <c r="BD34" i="11" s="1"/>
  <c r="AC34" i="4"/>
  <c r="BE34" i="11" s="1"/>
  <c r="AB35" i="4"/>
  <c r="BD35" i="11" s="1"/>
  <c r="AC35" i="4"/>
  <c r="BE35" i="11" s="1"/>
  <c r="AB36" i="4"/>
  <c r="BD36" i="11" s="1"/>
  <c r="AC36" i="4"/>
  <c r="BE36" i="11" s="1"/>
  <c r="AB37" i="4"/>
  <c r="BD37" i="11" s="1"/>
  <c r="AC37" i="4"/>
  <c r="BE37" i="11" s="1"/>
  <c r="AB38" i="4"/>
  <c r="BD38" i="11" s="1"/>
  <c r="AC38" i="4"/>
  <c r="BE38" i="11" s="1"/>
  <c r="AB39" i="4"/>
  <c r="BD39" i="11" s="1"/>
  <c r="AC39" i="4"/>
  <c r="BE39" i="11" s="1"/>
  <c r="AB40" i="4"/>
  <c r="BD40" i="11" s="1"/>
  <c r="AB41" i="4"/>
  <c r="AC41" i="4"/>
  <c r="AB42" i="4"/>
  <c r="BD42" i="11" s="1"/>
  <c r="AC42" i="4"/>
  <c r="BE42" i="11" s="1"/>
  <c r="AB43" i="4"/>
  <c r="BD43" i="11" s="1"/>
  <c r="AC43" i="4"/>
  <c r="BE43" i="11" s="1"/>
  <c r="AB44" i="4"/>
  <c r="BD44" i="11" s="1"/>
  <c r="AC44" i="4"/>
  <c r="BE44" i="11" s="1"/>
  <c r="AB45" i="4"/>
  <c r="BD45" i="11" s="1"/>
  <c r="AC45" i="4"/>
  <c r="BE45" i="11" s="1"/>
  <c r="AB46" i="4"/>
  <c r="BD46" i="11" s="1"/>
  <c r="AC46" i="4"/>
  <c r="BE46" i="11" s="1"/>
  <c r="AB47" i="4"/>
  <c r="BD47" i="11" s="1"/>
  <c r="AC47" i="4"/>
  <c r="BE47" i="11" s="1"/>
  <c r="AB48" i="4"/>
  <c r="BD48" i="11" s="1"/>
  <c r="AC48" i="4"/>
  <c r="BE48" i="11" s="1"/>
  <c r="AB49" i="4"/>
  <c r="BD49" i="11" s="1"/>
  <c r="AC49" i="4"/>
  <c r="BE49" i="11" s="1"/>
  <c r="AB50" i="4"/>
  <c r="BD50" i="11" s="1"/>
  <c r="AC50" i="4"/>
  <c r="BE50" i="11" s="1"/>
  <c r="AB51" i="4"/>
  <c r="BD51" i="11" s="1"/>
  <c r="AC51" i="4"/>
  <c r="BE51" i="11" s="1"/>
  <c r="AB52" i="4"/>
  <c r="BD52" i="11" s="1"/>
  <c r="AC52" i="4"/>
  <c r="BE52" i="11" s="1"/>
  <c r="AB53" i="4"/>
  <c r="BD53" i="11" s="1"/>
  <c r="AC53" i="4"/>
  <c r="BE53" i="11" s="1"/>
  <c r="AB54" i="4"/>
  <c r="BD54" i="11" s="1"/>
  <c r="AC54" i="4"/>
  <c r="AB55" i="4"/>
  <c r="AC55" i="4"/>
  <c r="AB56" i="4"/>
  <c r="BD56" i="11" s="1"/>
  <c r="AC56" i="4"/>
  <c r="BE56" i="11" s="1"/>
  <c r="AB57" i="4"/>
  <c r="BD57" i="11" s="1"/>
  <c r="AC57" i="4"/>
  <c r="BE57" i="11" s="1"/>
  <c r="AB58" i="4"/>
  <c r="BD58" i="11" s="1"/>
  <c r="AC58" i="4"/>
  <c r="BE58" i="11" s="1"/>
  <c r="AB59" i="4"/>
  <c r="BD59" i="11" s="1"/>
  <c r="AC59" i="4"/>
  <c r="BE59" i="11" s="1"/>
  <c r="AB60" i="4"/>
  <c r="BD60" i="11" s="1"/>
  <c r="AC60" i="4"/>
  <c r="BE60" i="11" s="1"/>
  <c r="AB61" i="4"/>
  <c r="BD61" i="11" s="1"/>
  <c r="AC61" i="4"/>
  <c r="BE61" i="11" s="1"/>
  <c r="AB62" i="4"/>
  <c r="BD62" i="11" s="1"/>
  <c r="AC62" i="4"/>
  <c r="BE62" i="11" s="1"/>
  <c r="AB63" i="4"/>
  <c r="BD63" i="11" s="1"/>
  <c r="AC63" i="4"/>
  <c r="BE63" i="11" s="1"/>
  <c r="AB64" i="4"/>
  <c r="BD64" i="11" s="1"/>
  <c r="AC64" i="4"/>
  <c r="BE64" i="11" s="1"/>
  <c r="AB7" i="23"/>
  <c r="AB9" i="23"/>
  <c r="BD9" i="31" s="1"/>
  <c r="AC9" i="23"/>
  <c r="BE9" i="31" s="1"/>
  <c r="AB10" i="23"/>
  <c r="BD10" i="31" s="1"/>
  <c r="AC10" i="23"/>
  <c r="BE10" i="31" s="1"/>
  <c r="AB11" i="23"/>
  <c r="BD11" i="31" s="1"/>
  <c r="AC11" i="23"/>
  <c r="BE11" i="31" s="1"/>
  <c r="AB12" i="23"/>
  <c r="AC12" i="23"/>
  <c r="BE12" i="31" s="1"/>
  <c r="AB13" i="23"/>
  <c r="BD13" i="31" s="1"/>
  <c r="AC13" i="23"/>
  <c r="BE13" i="31" s="1"/>
  <c r="AB14" i="23"/>
  <c r="BD14" i="31" s="1"/>
  <c r="AC14" i="23"/>
  <c r="BE14" i="31" s="1"/>
  <c r="AB15" i="23"/>
  <c r="BD15" i="31" s="1"/>
  <c r="AC15" i="23"/>
  <c r="BE15" i="31" s="1"/>
  <c r="AB16" i="23"/>
  <c r="BD16" i="31" s="1"/>
  <c r="AC16" i="23"/>
  <c r="BE16" i="31" s="1"/>
  <c r="AB17" i="23"/>
  <c r="BD17" i="31" s="1"/>
  <c r="AC17" i="23"/>
  <c r="BE17" i="31" s="1"/>
  <c r="AB18" i="23"/>
  <c r="BD18" i="31" s="1"/>
  <c r="AC18" i="23"/>
  <c r="BE18" i="31" s="1"/>
  <c r="AB19" i="23"/>
  <c r="BD19" i="31" s="1"/>
  <c r="AC19" i="23"/>
  <c r="BE19" i="31" s="1"/>
  <c r="AB20" i="23"/>
  <c r="AC20" i="23"/>
  <c r="BE20" i="31" s="1"/>
  <c r="AB21" i="23"/>
  <c r="BD21" i="31" s="1"/>
  <c r="AC21" i="23"/>
  <c r="BE21" i="31" s="1"/>
  <c r="AB22" i="23"/>
  <c r="BD22" i="31" s="1"/>
  <c r="AC22" i="23"/>
  <c r="BE22" i="31" s="1"/>
  <c r="AB23" i="23"/>
  <c r="BD23" i="31" s="1"/>
  <c r="AC23" i="23"/>
  <c r="BE23" i="31" s="1"/>
  <c r="AB24" i="23"/>
  <c r="AC24" i="23"/>
  <c r="AB25" i="23"/>
  <c r="AB27" i="23"/>
  <c r="BD27" i="31" s="1"/>
  <c r="AC27" i="23"/>
  <c r="BE27" i="31" s="1"/>
  <c r="AB28" i="23"/>
  <c r="BD28" i="31" s="1"/>
  <c r="AC28" i="23"/>
  <c r="BE28" i="31" s="1"/>
  <c r="AB29" i="23"/>
  <c r="AC29" i="23"/>
  <c r="BE29" i="31" s="1"/>
  <c r="AB30" i="23"/>
  <c r="BD30" i="31" s="1"/>
  <c r="AC30" i="23"/>
  <c r="BE30" i="31" s="1"/>
  <c r="AB31" i="23"/>
  <c r="BD31" i="31" s="1"/>
  <c r="AC31" i="23"/>
  <c r="BE31" i="31" s="1"/>
  <c r="AB32" i="23"/>
  <c r="BD32" i="31" s="1"/>
  <c r="AC32" i="23"/>
  <c r="BE32" i="31" s="1"/>
  <c r="AB33" i="23"/>
  <c r="BD33" i="31" s="1"/>
  <c r="AC33" i="23"/>
  <c r="BE33" i="31" s="1"/>
  <c r="AB34" i="23"/>
  <c r="BD34" i="31" s="1"/>
  <c r="AC34" i="23"/>
  <c r="BE34" i="31" s="1"/>
  <c r="AB35" i="23"/>
  <c r="BD35" i="31" s="1"/>
  <c r="AC35" i="23"/>
  <c r="BE35" i="31" s="1"/>
  <c r="AB36" i="23"/>
  <c r="BD36" i="31" s="1"/>
  <c r="AC36" i="23"/>
  <c r="BE36" i="31" s="1"/>
  <c r="AB37" i="23"/>
  <c r="BD37" i="31" s="1"/>
  <c r="AC37" i="23"/>
  <c r="BE37" i="31" s="1"/>
  <c r="AB38" i="23"/>
  <c r="BD38" i="31" s="1"/>
  <c r="AC38" i="23"/>
  <c r="BE38" i="31" s="1"/>
  <c r="AB39" i="23"/>
  <c r="BD39" i="31" s="1"/>
  <c r="AC39" i="23"/>
  <c r="BE39" i="31" s="1"/>
  <c r="AB42" i="23"/>
  <c r="BD42" i="31" s="1"/>
  <c r="AC42" i="23"/>
  <c r="BE42" i="31" s="1"/>
  <c r="AB43" i="23"/>
  <c r="BD43" i="31" s="1"/>
  <c r="AC43" i="23"/>
  <c r="BE43" i="31" s="1"/>
  <c r="AB44" i="23"/>
  <c r="BD44" i="31" s="1"/>
  <c r="AC44" i="23"/>
  <c r="BE44" i="31" s="1"/>
  <c r="AB45" i="23"/>
  <c r="BD45" i="31" s="1"/>
  <c r="AC45" i="23"/>
  <c r="BE45" i="31" s="1"/>
  <c r="AB46" i="23"/>
  <c r="BD46" i="31" s="1"/>
  <c r="AC46" i="23"/>
  <c r="BE46" i="31" s="1"/>
  <c r="AB47" i="23"/>
  <c r="BD47" i="31" s="1"/>
  <c r="AC47" i="23"/>
  <c r="BE47" i="31" s="1"/>
  <c r="AB48" i="23"/>
  <c r="BD48" i="31" s="1"/>
  <c r="AC48" i="23"/>
  <c r="BE48" i="31" s="1"/>
  <c r="AB49" i="23"/>
  <c r="BD49" i="31" s="1"/>
  <c r="AC49" i="23"/>
  <c r="BE49" i="31" s="1"/>
  <c r="AB50" i="23"/>
  <c r="BD50" i="31" s="1"/>
  <c r="AC50" i="23"/>
  <c r="BE50" i="31" s="1"/>
  <c r="AB51" i="23"/>
  <c r="BD51" i="31" s="1"/>
  <c r="AC51" i="23"/>
  <c r="BE51" i="31" s="1"/>
  <c r="AB52" i="23"/>
  <c r="BD52" i="31" s="1"/>
  <c r="AC52" i="23"/>
  <c r="BE52" i="31" s="1"/>
  <c r="AB53" i="23"/>
  <c r="BD53" i="31" s="1"/>
  <c r="AC53" i="23"/>
  <c r="BE53" i="31" s="1"/>
  <c r="AB54" i="23"/>
  <c r="AC54" i="23"/>
  <c r="AB56" i="23"/>
  <c r="BD56" i="31" s="1"/>
  <c r="AC56" i="23"/>
  <c r="BE56" i="31" s="1"/>
  <c r="AB57" i="23"/>
  <c r="BD57" i="31" s="1"/>
  <c r="AC57" i="23"/>
  <c r="BE57" i="31" s="1"/>
  <c r="AB58" i="23"/>
  <c r="BD58" i="31" s="1"/>
  <c r="AC58" i="23"/>
  <c r="BE58" i="31" s="1"/>
  <c r="AB59" i="23"/>
  <c r="BD59" i="31" s="1"/>
  <c r="AC59" i="23"/>
  <c r="BE59" i="31" s="1"/>
  <c r="AB60" i="23"/>
  <c r="BD60" i="31" s="1"/>
  <c r="AC60" i="23"/>
  <c r="BE60" i="31" s="1"/>
  <c r="AB61" i="23"/>
  <c r="BD61" i="31" s="1"/>
  <c r="AC61" i="23"/>
  <c r="BE61" i="31" s="1"/>
  <c r="AB62" i="23"/>
  <c r="BD62" i="31" s="1"/>
  <c r="AC62" i="23"/>
  <c r="BE62" i="31" s="1"/>
  <c r="AB63" i="23"/>
  <c r="BD63" i="31" s="1"/>
  <c r="AC63" i="23"/>
  <c r="BE63" i="31" s="1"/>
  <c r="AB64" i="23"/>
  <c r="BD64" i="31" s="1"/>
  <c r="AC64" i="23"/>
  <c r="BE64" i="31" s="1"/>
  <c r="AB65" i="23"/>
  <c r="BD65" i="31" s="1"/>
  <c r="AC65" i="23"/>
  <c r="BE65" i="31" s="1"/>
  <c r="AB54" i="3"/>
  <c r="AC54" i="3"/>
  <c r="AB40" i="3"/>
  <c r="AC40" i="3"/>
  <c r="AB25" i="3"/>
  <c r="AC25" i="3"/>
  <c r="AB7" i="3"/>
  <c r="AB6" i="3" s="1"/>
  <c r="AC7" i="3"/>
  <c r="AC6" i="3" s="1"/>
  <c r="AB54" i="22"/>
  <c r="AC54" i="22"/>
  <c r="AB40" i="22"/>
  <c r="AC40" i="22"/>
  <c r="AB25" i="22"/>
  <c r="AC25" i="22"/>
  <c r="AB7" i="22"/>
  <c r="AC7" i="22"/>
  <c r="AB54" i="2"/>
  <c r="AC54" i="2"/>
  <c r="AB40" i="2"/>
  <c r="AC40" i="2"/>
  <c r="AB25" i="2"/>
  <c r="AC25" i="2"/>
  <c r="AB7" i="2"/>
  <c r="AB6" i="2" s="1"/>
  <c r="AC7" i="2"/>
  <c r="AB54" i="21"/>
  <c r="AC54" i="21"/>
  <c r="AB40" i="21"/>
  <c r="AC40" i="21"/>
  <c r="AB25" i="21"/>
  <c r="AC25" i="21"/>
  <c r="AB7" i="21"/>
  <c r="AC7" i="21"/>
  <c r="AB54" i="1"/>
  <c r="AC54" i="1"/>
  <c r="AB40" i="1"/>
  <c r="AC40" i="1"/>
  <c r="AB25" i="1"/>
  <c r="AC25" i="1"/>
  <c r="AB7" i="1"/>
  <c r="AC7" i="1"/>
  <c r="AB54" i="20"/>
  <c r="AC54" i="20"/>
  <c r="AB40" i="20"/>
  <c r="AC40" i="20"/>
  <c r="AB25" i="20"/>
  <c r="AC25" i="20"/>
  <c r="AB7" i="20"/>
  <c r="AC7" i="20"/>
  <c r="BD65" i="11"/>
  <c r="BE65" i="11"/>
  <c r="AB54" i="11"/>
  <c r="AC54" i="11"/>
  <c r="AB40" i="11"/>
  <c r="AC40" i="11"/>
  <c r="AB25" i="11"/>
  <c r="AC25" i="11"/>
  <c r="AB7" i="11"/>
  <c r="AB6" i="11" s="1"/>
  <c r="AC7" i="11"/>
  <c r="AC6" i="11" s="1"/>
  <c r="BD12" i="31"/>
  <c r="BD20" i="31"/>
  <c r="BD24" i="31"/>
  <c r="BE24" i="31"/>
  <c r="BD29" i="31"/>
  <c r="AC54" i="31"/>
  <c r="AC40" i="31"/>
  <c r="AC25" i="31"/>
  <c r="AB54" i="31"/>
  <c r="AB40" i="31"/>
  <c r="AB25" i="31"/>
  <c r="AB6" i="10" l="1"/>
  <c r="AC6" i="29"/>
  <c r="AC6" i="7"/>
  <c r="AB6" i="4"/>
  <c r="AC7" i="23"/>
  <c r="AC6" i="23"/>
  <c r="AC6" i="5"/>
  <c r="BE54" i="11"/>
  <c r="AC7" i="4"/>
  <c r="BE7" i="11" s="1"/>
  <c r="AB7" i="4"/>
  <c r="BD7" i="11" s="1"/>
  <c r="AB6" i="24"/>
  <c r="AB6" i="23" s="1"/>
  <c r="BE25" i="11"/>
  <c r="BD25" i="11"/>
  <c r="AC6" i="22"/>
  <c r="AB6" i="22"/>
  <c r="AC6" i="2"/>
  <c r="AC6" i="21"/>
  <c r="AB6" i="21"/>
  <c r="AC6" i="1"/>
  <c r="AB6" i="1"/>
  <c r="AB6" i="20"/>
  <c r="AC6" i="20"/>
  <c r="AC6" i="4" l="1"/>
  <c r="BD6" i="11"/>
  <c r="BE6" i="11"/>
  <c r="AB7" i="31"/>
  <c r="AB6" i="31" s="1"/>
  <c r="AC7" i="31"/>
  <c r="AC6" i="31" s="1"/>
  <c r="AA25" i="31" l="1"/>
  <c r="Z54" i="29" l="1"/>
  <c r="AA54" i="29"/>
  <c r="Z40" i="29"/>
  <c r="AA40" i="29"/>
  <c r="Z25" i="29"/>
  <c r="AA25" i="29"/>
  <c r="Z7" i="29"/>
  <c r="AA7" i="29"/>
  <c r="Z54" i="10"/>
  <c r="AA54" i="10"/>
  <c r="AA40" i="10"/>
  <c r="Z40" i="10"/>
  <c r="Z25" i="10"/>
  <c r="AA25" i="10"/>
  <c r="AA6" i="10"/>
  <c r="Z7" i="10"/>
  <c r="AA7" i="10"/>
  <c r="Z8" i="4"/>
  <c r="AA8" i="4"/>
  <c r="Z9" i="4"/>
  <c r="BB9" i="11" s="1"/>
  <c r="AA9" i="4"/>
  <c r="Z10" i="4"/>
  <c r="BB10" i="11" s="1"/>
  <c r="AA10" i="4"/>
  <c r="Z11" i="4"/>
  <c r="AA11" i="4"/>
  <c r="Z12" i="4"/>
  <c r="BB12" i="11" s="1"/>
  <c r="AA12" i="4"/>
  <c r="Z13" i="4"/>
  <c r="BB13" i="11" s="1"/>
  <c r="AA13" i="4"/>
  <c r="Z14" i="4"/>
  <c r="AA14" i="4"/>
  <c r="Z15" i="4"/>
  <c r="BB15" i="11" s="1"/>
  <c r="AA15" i="4"/>
  <c r="Z16" i="4"/>
  <c r="BB16" i="11" s="1"/>
  <c r="AA16" i="4"/>
  <c r="Z17" i="4"/>
  <c r="BB17" i="11" s="1"/>
  <c r="AA17" i="4"/>
  <c r="Z18" i="4"/>
  <c r="AA18" i="4"/>
  <c r="Z19" i="4"/>
  <c r="AA19" i="4"/>
  <c r="Z20" i="4"/>
  <c r="AA20" i="4"/>
  <c r="Z21" i="4"/>
  <c r="BB21" i="11" s="1"/>
  <c r="AA21" i="4"/>
  <c r="Z22" i="4"/>
  <c r="AA22" i="4"/>
  <c r="Z23" i="4"/>
  <c r="BB23" i="11" s="1"/>
  <c r="AA23" i="4"/>
  <c r="Z24" i="4"/>
  <c r="BB24" i="11" s="1"/>
  <c r="AA24" i="4"/>
  <c r="Z25" i="4"/>
  <c r="Z26" i="4"/>
  <c r="AA26" i="4"/>
  <c r="Z27" i="4"/>
  <c r="AA27" i="4"/>
  <c r="Z28" i="4"/>
  <c r="BB28" i="11" s="1"/>
  <c r="AA28" i="4"/>
  <c r="Z29" i="4"/>
  <c r="BB29" i="11" s="1"/>
  <c r="AA29" i="4"/>
  <c r="Z30" i="4"/>
  <c r="BB30" i="11" s="1"/>
  <c r="AA30" i="4"/>
  <c r="Z31" i="4"/>
  <c r="AA31" i="4"/>
  <c r="Z32" i="4"/>
  <c r="AA32" i="4"/>
  <c r="Z33" i="4"/>
  <c r="BB33" i="11" s="1"/>
  <c r="AA33" i="4"/>
  <c r="Z34" i="4"/>
  <c r="AA34" i="4"/>
  <c r="Z35" i="4"/>
  <c r="AA35" i="4"/>
  <c r="Z36" i="4"/>
  <c r="BB36" i="11" s="1"/>
  <c r="AA36" i="4"/>
  <c r="Z37" i="4"/>
  <c r="BB37" i="11" s="1"/>
  <c r="AA37" i="4"/>
  <c r="Z38" i="4"/>
  <c r="BB38" i="11" s="1"/>
  <c r="AA38" i="4"/>
  <c r="Z39" i="4"/>
  <c r="AA39" i="4"/>
  <c r="Z40" i="4"/>
  <c r="AA40" i="4"/>
  <c r="Z41" i="4"/>
  <c r="AA41" i="4"/>
  <c r="Z42" i="4"/>
  <c r="BB42" i="11" s="1"/>
  <c r="AA42" i="4"/>
  <c r="Z43" i="4"/>
  <c r="BB43" i="11" s="1"/>
  <c r="AA43" i="4"/>
  <c r="Z44" i="4"/>
  <c r="BB44" i="11" s="1"/>
  <c r="AA44" i="4"/>
  <c r="Z45" i="4"/>
  <c r="BB45" i="11" s="1"/>
  <c r="AA45" i="4"/>
  <c r="Z46" i="4"/>
  <c r="BB46" i="11" s="1"/>
  <c r="AA46" i="4"/>
  <c r="Z47" i="4"/>
  <c r="AA47" i="4"/>
  <c r="Z48" i="4"/>
  <c r="AA48" i="4"/>
  <c r="Z49" i="4"/>
  <c r="BB49" i="11" s="1"/>
  <c r="AA49" i="4"/>
  <c r="Z50" i="4"/>
  <c r="AA50" i="4"/>
  <c r="Z51" i="4"/>
  <c r="BB51" i="11" s="1"/>
  <c r="AA51" i="4"/>
  <c r="Z52" i="4"/>
  <c r="BB52" i="11" s="1"/>
  <c r="AA52" i="4"/>
  <c r="Z53" i="4"/>
  <c r="BB53" i="11" s="1"/>
  <c r="AA53" i="4"/>
  <c r="Z54" i="4"/>
  <c r="Z55" i="4"/>
  <c r="AA55" i="4"/>
  <c r="Z56" i="4"/>
  <c r="BB56" i="11" s="1"/>
  <c r="AA56" i="4"/>
  <c r="Z57" i="4"/>
  <c r="BB57" i="11" s="1"/>
  <c r="AA57" i="4"/>
  <c r="Z58" i="4"/>
  <c r="BB58" i="11" s="1"/>
  <c r="AA58" i="4"/>
  <c r="Z59" i="4"/>
  <c r="AA59" i="4"/>
  <c r="Z60" i="4"/>
  <c r="BB60" i="11" s="1"/>
  <c r="AA60" i="4"/>
  <c r="Z61" i="4"/>
  <c r="BB61" i="11" s="1"/>
  <c r="AA61" i="4"/>
  <c r="Z62" i="4"/>
  <c r="BB62" i="11" s="1"/>
  <c r="AA62" i="4"/>
  <c r="Z63" i="4"/>
  <c r="AA63" i="4"/>
  <c r="Z64" i="4"/>
  <c r="BB64" i="11" s="1"/>
  <c r="AA64" i="4"/>
  <c r="Z9" i="23"/>
  <c r="BB9" i="31" s="1"/>
  <c r="AA9" i="23"/>
  <c r="Z10" i="23"/>
  <c r="AA10" i="23"/>
  <c r="Z11" i="23"/>
  <c r="BB11" i="31" s="1"/>
  <c r="AA11" i="23"/>
  <c r="Z12" i="23"/>
  <c r="BB12" i="31" s="1"/>
  <c r="AA12" i="23"/>
  <c r="Z13" i="23"/>
  <c r="BB13" i="31" s="1"/>
  <c r="AA13" i="23"/>
  <c r="Z14" i="23"/>
  <c r="BB14" i="31" s="1"/>
  <c r="AA14" i="23"/>
  <c r="Z15" i="23"/>
  <c r="BB15" i="31" s="1"/>
  <c r="AA15" i="23"/>
  <c r="Z16" i="23"/>
  <c r="BB16" i="31" s="1"/>
  <c r="AA16" i="23"/>
  <c r="Z17" i="23"/>
  <c r="BB17" i="31" s="1"/>
  <c r="AA17" i="23"/>
  <c r="Z18" i="23"/>
  <c r="AA18" i="23"/>
  <c r="Z19" i="23"/>
  <c r="BB19" i="31" s="1"/>
  <c r="AA19" i="23"/>
  <c r="Z20" i="23"/>
  <c r="BB20" i="31" s="1"/>
  <c r="AA20" i="23"/>
  <c r="Z21" i="23"/>
  <c r="AA21" i="23"/>
  <c r="Z22" i="23"/>
  <c r="BB22" i="31" s="1"/>
  <c r="AA22" i="23"/>
  <c r="Z23" i="23"/>
  <c r="BB23" i="31" s="1"/>
  <c r="AA23" i="23"/>
  <c r="Z24" i="23"/>
  <c r="BB24" i="31" s="1"/>
  <c r="AA24" i="23"/>
  <c r="Z25" i="23"/>
  <c r="Z27" i="23"/>
  <c r="BB27" i="31" s="1"/>
  <c r="AA27" i="23"/>
  <c r="Z28" i="23"/>
  <c r="AA28" i="23"/>
  <c r="Z29" i="23"/>
  <c r="BB29" i="31" s="1"/>
  <c r="AA29" i="23"/>
  <c r="Z30" i="23"/>
  <c r="BB30" i="31" s="1"/>
  <c r="AA30" i="23"/>
  <c r="Z31" i="23"/>
  <c r="AA31" i="23"/>
  <c r="Z32" i="23"/>
  <c r="AA32" i="23"/>
  <c r="Z33" i="23"/>
  <c r="BB33" i="31" s="1"/>
  <c r="AA33" i="23"/>
  <c r="Z34" i="23"/>
  <c r="AA34" i="23"/>
  <c r="Z35" i="23"/>
  <c r="BB35" i="31" s="1"/>
  <c r="AA35" i="23"/>
  <c r="Z36" i="23"/>
  <c r="AA36" i="23"/>
  <c r="Z37" i="23"/>
  <c r="BB37" i="31" s="1"/>
  <c r="AA37" i="23"/>
  <c r="Z38" i="23"/>
  <c r="BB38" i="31" s="1"/>
  <c r="AA38" i="23"/>
  <c r="Z39" i="23"/>
  <c r="BB39" i="31" s="1"/>
  <c r="AA39" i="23"/>
  <c r="AA40" i="23"/>
  <c r="Z42" i="23"/>
  <c r="BB42" i="31" s="1"/>
  <c r="AA42" i="23"/>
  <c r="Z43" i="23"/>
  <c r="BB43" i="31" s="1"/>
  <c r="AA43" i="23"/>
  <c r="Z44" i="23"/>
  <c r="AA44" i="23"/>
  <c r="Z45" i="23"/>
  <c r="AA45" i="23"/>
  <c r="Z46" i="23"/>
  <c r="BB46" i="31" s="1"/>
  <c r="AA46" i="23"/>
  <c r="Z47" i="23"/>
  <c r="BB47" i="31" s="1"/>
  <c r="AA47" i="23"/>
  <c r="Z48" i="23"/>
  <c r="BB48" i="31" s="1"/>
  <c r="AA48" i="23"/>
  <c r="Z49" i="23"/>
  <c r="AA49" i="23"/>
  <c r="Z50" i="23"/>
  <c r="BB50" i="31" s="1"/>
  <c r="AA50" i="23"/>
  <c r="Z51" i="23"/>
  <c r="BB51" i="31" s="1"/>
  <c r="AA51" i="23"/>
  <c r="Z52" i="23"/>
  <c r="BB52" i="31" s="1"/>
  <c r="AA52" i="23"/>
  <c r="Z53" i="23"/>
  <c r="AA53" i="23"/>
  <c r="Z54" i="23"/>
  <c r="AA54" i="23"/>
  <c r="Z56" i="23"/>
  <c r="BB56" i="31" s="1"/>
  <c r="AA56" i="23"/>
  <c r="Z57" i="23"/>
  <c r="AA57" i="23"/>
  <c r="Z58" i="23"/>
  <c r="AA58" i="23"/>
  <c r="Z59" i="23"/>
  <c r="BB59" i="31" s="1"/>
  <c r="AA59" i="23"/>
  <c r="Z60" i="23"/>
  <c r="BB60" i="31" s="1"/>
  <c r="AA60" i="23"/>
  <c r="Z61" i="23"/>
  <c r="BB61" i="31" s="1"/>
  <c r="AA61" i="23"/>
  <c r="Z62" i="23"/>
  <c r="AA62" i="23"/>
  <c r="Z63" i="23"/>
  <c r="AA63" i="23"/>
  <c r="Z64" i="23"/>
  <c r="AA64" i="23"/>
  <c r="Z65" i="23"/>
  <c r="BB65" i="31" s="1"/>
  <c r="AA65" i="23"/>
  <c r="Z54" i="9"/>
  <c r="AA54" i="9"/>
  <c r="AA40" i="9"/>
  <c r="Z40" i="9"/>
  <c r="Z25" i="9"/>
  <c r="AA25" i="9"/>
  <c r="Z7" i="9"/>
  <c r="AA7" i="9"/>
  <c r="AA6" i="9" s="1"/>
  <c r="Z54" i="28"/>
  <c r="AA54" i="28"/>
  <c r="Z40" i="28"/>
  <c r="AA40" i="28"/>
  <c r="Z25" i="28"/>
  <c r="AA25" i="28"/>
  <c r="Z7" i="28"/>
  <c r="AA7" i="28"/>
  <c r="Z54" i="7"/>
  <c r="AA54" i="7"/>
  <c r="Z40" i="7"/>
  <c r="AA40" i="7"/>
  <c r="Z25" i="7"/>
  <c r="AA25" i="7"/>
  <c r="Z7" i="7"/>
  <c r="AA7" i="7"/>
  <c r="Z54" i="26"/>
  <c r="AA54" i="26"/>
  <c r="Z40" i="26"/>
  <c r="AA40" i="26"/>
  <c r="Z25" i="26"/>
  <c r="AA25" i="26"/>
  <c r="Z7" i="26"/>
  <c r="AA7" i="26"/>
  <c r="Z54" i="6"/>
  <c r="AA54" i="6"/>
  <c r="Z40" i="6"/>
  <c r="AA40" i="6"/>
  <c r="Z25" i="6"/>
  <c r="AA25" i="6"/>
  <c r="Z7" i="6"/>
  <c r="AA7" i="6"/>
  <c r="Z54" i="25"/>
  <c r="AA54" i="25"/>
  <c r="Z40" i="25"/>
  <c r="AA40" i="25"/>
  <c r="Z25" i="25"/>
  <c r="AA25" i="25"/>
  <c r="Z7" i="25"/>
  <c r="AA7" i="25"/>
  <c r="Z54" i="5"/>
  <c r="AA54" i="5"/>
  <c r="AA54" i="4" s="1"/>
  <c r="Z40" i="5"/>
  <c r="AA40" i="5"/>
  <c r="Z25" i="5"/>
  <c r="AA25" i="5"/>
  <c r="AA25" i="4" s="1"/>
  <c r="Z7" i="5"/>
  <c r="Z7" i="4" s="1"/>
  <c r="AA7" i="5"/>
  <c r="AA7" i="4" s="1"/>
  <c r="Z54" i="24"/>
  <c r="AA54" i="24"/>
  <c r="Z40" i="24"/>
  <c r="Z40" i="23" s="1"/>
  <c r="AA40" i="24"/>
  <c r="Z25" i="24"/>
  <c r="AA25" i="24"/>
  <c r="AA25" i="23" s="1"/>
  <c r="Z7" i="24"/>
  <c r="Z7" i="23" s="1"/>
  <c r="AA7" i="24"/>
  <c r="AA7" i="23" s="1"/>
  <c r="Z54" i="3"/>
  <c r="AA54" i="3"/>
  <c r="Z40" i="3"/>
  <c r="AA40" i="3"/>
  <c r="Z25" i="3"/>
  <c r="AA25" i="3"/>
  <c r="Z7" i="3"/>
  <c r="AA7" i="3"/>
  <c r="Z54" i="22"/>
  <c r="AA54" i="22"/>
  <c r="Z40" i="22"/>
  <c r="AA40" i="22"/>
  <c r="Z25" i="22"/>
  <c r="AA25" i="22"/>
  <c r="Z7" i="22"/>
  <c r="AA7" i="22"/>
  <c r="Z54" i="2"/>
  <c r="AA54" i="2"/>
  <c r="Z40" i="2"/>
  <c r="AA40" i="2"/>
  <c r="Z25" i="2"/>
  <c r="AA25" i="2"/>
  <c r="Z7" i="2"/>
  <c r="AA7" i="2"/>
  <c r="Z54" i="21"/>
  <c r="AA54" i="21"/>
  <c r="Z40" i="21"/>
  <c r="AA40" i="21"/>
  <c r="Z25" i="21"/>
  <c r="AA25" i="21"/>
  <c r="Z7" i="21"/>
  <c r="AA7" i="21"/>
  <c r="Z54" i="1"/>
  <c r="AA54" i="1"/>
  <c r="Z40" i="1"/>
  <c r="AA40" i="1"/>
  <c r="Z25" i="1"/>
  <c r="AA25" i="1"/>
  <c r="Z7" i="1"/>
  <c r="AA7" i="1"/>
  <c r="Z54" i="20"/>
  <c r="AA54" i="20"/>
  <c r="Z40" i="20"/>
  <c r="AA40" i="20"/>
  <c r="Z25" i="20"/>
  <c r="AA25" i="20"/>
  <c r="AA7" i="20"/>
  <c r="Z7" i="20"/>
  <c r="BC65" i="11"/>
  <c r="BC63" i="11"/>
  <c r="BC62" i="11"/>
  <c r="BC58" i="11"/>
  <c r="BC57" i="11"/>
  <c r="BC51" i="11"/>
  <c r="BC50" i="11"/>
  <c r="BC47" i="11"/>
  <c r="BC46" i="11"/>
  <c r="BC42" i="11"/>
  <c r="BC39" i="11"/>
  <c r="BC38" i="11"/>
  <c r="BC37" i="11"/>
  <c r="BC34" i="11"/>
  <c r="BC30" i="11"/>
  <c r="BC29" i="11"/>
  <c r="BC27" i="11"/>
  <c r="BC23" i="11"/>
  <c r="BC22" i="11"/>
  <c r="BC19" i="11"/>
  <c r="BC18" i="11"/>
  <c r="BC14" i="11"/>
  <c r="BC11" i="11"/>
  <c r="BC10" i="11"/>
  <c r="Z54" i="11"/>
  <c r="AA54" i="11"/>
  <c r="Z40" i="11"/>
  <c r="AA40" i="11"/>
  <c r="Z25" i="11"/>
  <c r="AA25" i="11"/>
  <c r="Z7" i="11"/>
  <c r="AA7" i="11"/>
  <c r="BB11" i="11"/>
  <c r="BB14" i="11"/>
  <c r="BB18" i="11"/>
  <c r="BB19" i="11"/>
  <c r="BB20" i="11"/>
  <c r="BB22" i="11"/>
  <c r="BB27" i="11"/>
  <c r="BB31" i="11"/>
  <c r="BB32" i="11"/>
  <c r="BB34" i="11"/>
  <c r="BB35" i="11"/>
  <c r="BB39" i="11"/>
  <c r="BB47" i="11"/>
  <c r="BB48" i="11"/>
  <c r="BB50" i="11"/>
  <c r="BB59" i="11"/>
  <c r="BB63" i="11"/>
  <c r="BB65" i="11"/>
  <c r="BB10" i="31"/>
  <c r="BC10" i="31"/>
  <c r="BC14" i="31"/>
  <c r="BB18" i="31"/>
  <c r="BC18" i="31"/>
  <c r="BB21" i="31"/>
  <c r="BC22" i="31"/>
  <c r="BB28" i="31"/>
  <c r="BB31" i="31"/>
  <c r="BB32" i="31"/>
  <c r="BB34" i="31"/>
  <c r="BB36" i="31"/>
  <c r="BC43" i="31"/>
  <c r="BB44" i="31"/>
  <c r="BC44" i="31"/>
  <c r="BB45" i="31"/>
  <c r="BC47" i="31"/>
  <c r="BC48" i="31"/>
  <c r="BB49" i="31"/>
  <c r="BC51" i="31"/>
  <c r="BC52" i="31"/>
  <c r="BB53" i="31"/>
  <c r="BB57" i="31"/>
  <c r="BC57" i="31"/>
  <c r="BB58" i="31"/>
  <c r="BC58" i="31"/>
  <c r="BC61" i="31"/>
  <c r="BB62" i="31"/>
  <c r="BC62" i="31"/>
  <c r="BB63" i="31"/>
  <c r="BB64" i="31"/>
  <c r="BC65" i="31"/>
  <c r="BC37" i="31" l="1"/>
  <c r="BC20" i="31"/>
  <c r="BC64" i="11"/>
  <c r="BC32" i="11"/>
  <c r="BC53" i="31"/>
  <c r="BC49" i="31"/>
  <c r="BC45" i="31"/>
  <c r="BC36" i="31"/>
  <c r="BC28" i="31"/>
  <c r="BC19" i="31"/>
  <c r="BC11" i="31"/>
  <c r="BC15" i="11"/>
  <c r="BC43" i="11"/>
  <c r="BC59" i="11"/>
  <c r="BC59" i="31"/>
  <c r="BC46" i="31"/>
  <c r="BC33" i="31"/>
  <c r="BC24" i="31"/>
  <c r="BC12" i="31"/>
  <c r="BC60" i="11"/>
  <c r="BC52" i="11"/>
  <c r="BC44" i="11"/>
  <c r="BC36" i="11"/>
  <c r="BC24" i="11"/>
  <c r="BC16" i="11"/>
  <c r="BC12" i="11"/>
  <c r="BC32" i="31"/>
  <c r="BC23" i="31"/>
  <c r="BC15" i="31"/>
  <c r="BC31" i="11"/>
  <c r="BC39" i="31"/>
  <c r="BC35" i="31"/>
  <c r="BC31" i="31"/>
  <c r="BC27" i="31"/>
  <c r="AA6" i="29"/>
  <c r="BC63" i="31"/>
  <c r="BC50" i="31"/>
  <c r="BC42" i="31"/>
  <c r="BC29" i="31"/>
  <c r="BC16" i="31"/>
  <c r="BC56" i="11"/>
  <c r="BC28" i="11"/>
  <c r="BC20" i="11"/>
  <c r="BC35" i="11"/>
  <c r="BC48" i="11"/>
  <c r="BB54" i="11"/>
  <c r="BC54" i="11"/>
  <c r="BC64" i="31"/>
  <c r="BC60" i="31"/>
  <c r="BC56" i="31"/>
  <c r="BC38" i="31"/>
  <c r="BC34" i="31"/>
  <c r="BC30" i="31"/>
  <c r="BC21" i="31"/>
  <c r="BC17" i="31"/>
  <c r="BC13" i="31"/>
  <c r="BC9" i="31"/>
  <c r="BC61" i="11"/>
  <c r="BC53" i="11"/>
  <c r="BC49" i="11"/>
  <c r="BC45" i="11"/>
  <c r="BC33" i="11"/>
  <c r="BC21" i="11"/>
  <c r="BC17" i="11"/>
  <c r="BC13" i="11"/>
  <c r="BC9" i="11"/>
  <c r="Z6" i="29"/>
  <c r="Z6" i="10"/>
  <c r="Z6" i="9"/>
  <c r="AA6" i="28"/>
  <c r="Z6" i="28"/>
  <c r="Z6" i="7"/>
  <c r="AA6" i="7"/>
  <c r="AA6" i="26"/>
  <c r="Z6" i="26"/>
  <c r="AA6" i="6"/>
  <c r="Z6" i="6"/>
  <c r="AA6" i="25"/>
  <c r="Z6" i="25"/>
  <c r="AA6" i="5"/>
  <c r="Z6" i="5"/>
  <c r="Z6" i="4" s="1"/>
  <c r="AA6" i="24"/>
  <c r="AA6" i="23" s="1"/>
  <c r="Z6" i="24"/>
  <c r="AA6" i="3"/>
  <c r="Z6" i="3"/>
  <c r="AA6" i="22"/>
  <c r="Z6" i="22"/>
  <c r="BC25" i="11"/>
  <c r="BC7" i="11"/>
  <c r="AA6" i="2"/>
  <c r="Z6" i="2"/>
  <c r="AA6" i="21"/>
  <c r="Z6" i="21"/>
  <c r="Z6" i="1"/>
  <c r="BB40" i="11"/>
  <c r="BB25" i="11"/>
  <c r="BB7" i="11"/>
  <c r="AA6" i="1"/>
  <c r="BC40" i="11"/>
  <c r="AA6" i="20"/>
  <c r="Z6" i="20"/>
  <c r="AA6" i="11"/>
  <c r="Z6" i="11"/>
  <c r="AA6" i="4" l="1"/>
  <c r="BC6" i="11"/>
  <c r="Z6" i="23"/>
  <c r="BB6" i="11"/>
  <c r="Z54" i="31" l="1"/>
  <c r="AA54" i="31"/>
  <c r="Z40" i="31"/>
  <c r="AA40" i="31"/>
  <c r="Z25" i="31"/>
  <c r="Z7" i="31"/>
  <c r="AA7" i="31"/>
  <c r="Z6" i="31" l="1"/>
  <c r="AA6" i="31"/>
  <c r="AZ5" i="11" l="1"/>
  <c r="BA5" i="11"/>
  <c r="AZ65" i="11"/>
  <c r="BA65" i="11"/>
  <c r="BA11" i="31"/>
  <c r="BA59" i="31"/>
  <c r="X7" i="11"/>
  <c r="Y7" i="11"/>
  <c r="X25" i="11"/>
  <c r="Y25" i="11"/>
  <c r="X40" i="11"/>
  <c r="Y40" i="11"/>
  <c r="X54" i="11"/>
  <c r="Y54" i="11"/>
  <c r="Y8" i="23"/>
  <c r="Y9" i="23"/>
  <c r="Y10" i="23"/>
  <c r="BA10" i="31" s="1"/>
  <c r="Y11" i="23"/>
  <c r="Y12" i="23"/>
  <c r="BA12" i="31" s="1"/>
  <c r="Y13" i="23"/>
  <c r="Y14" i="23"/>
  <c r="BA14" i="31" s="1"/>
  <c r="Y15" i="23"/>
  <c r="BA15" i="31" s="1"/>
  <c r="Y16" i="23"/>
  <c r="Y17" i="23"/>
  <c r="Y18" i="23"/>
  <c r="BA18" i="31" s="1"/>
  <c r="Y19" i="23"/>
  <c r="BA19" i="31" s="1"/>
  <c r="Y20" i="23"/>
  <c r="BA20" i="31" s="1"/>
  <c r="Y21" i="23"/>
  <c r="Y22" i="23"/>
  <c r="BA22" i="31" s="1"/>
  <c r="Y23" i="23"/>
  <c r="BA23" i="31" s="1"/>
  <c r="Y24" i="23"/>
  <c r="Y27" i="23"/>
  <c r="Y28" i="23"/>
  <c r="BA28" i="31" s="1"/>
  <c r="Y29" i="23"/>
  <c r="BA29" i="31" s="1"/>
  <c r="Y30" i="23"/>
  <c r="BA30" i="31" s="1"/>
  <c r="Y31" i="23"/>
  <c r="BA31" i="31" s="1"/>
  <c r="Y32" i="23"/>
  <c r="Y33" i="23"/>
  <c r="Y34" i="23"/>
  <c r="Y35" i="23"/>
  <c r="BA35" i="31" s="1"/>
  <c r="Y36" i="23"/>
  <c r="BA36" i="31" s="1"/>
  <c r="Y37" i="23"/>
  <c r="Y38" i="23"/>
  <c r="BA38" i="31" s="1"/>
  <c r="Y39" i="23"/>
  <c r="BA39" i="31" s="1"/>
  <c r="Y42" i="23"/>
  <c r="Y43" i="23"/>
  <c r="BA43" i="31" s="1"/>
  <c r="Y44" i="23"/>
  <c r="Y45" i="23"/>
  <c r="Y46" i="23"/>
  <c r="BA46" i="31" s="1"/>
  <c r="Y47" i="23"/>
  <c r="BA47" i="31" s="1"/>
  <c r="Y48" i="23"/>
  <c r="BA48" i="31" s="1"/>
  <c r="Y49" i="23"/>
  <c r="Y50" i="23"/>
  <c r="BA50" i="31" s="1"/>
  <c r="Y51" i="23"/>
  <c r="Y52" i="23"/>
  <c r="Y53" i="23"/>
  <c r="Y56" i="23"/>
  <c r="Y57" i="23"/>
  <c r="Y58" i="23"/>
  <c r="BA58" i="31" s="1"/>
  <c r="Y59" i="23"/>
  <c r="Y60" i="23"/>
  <c r="Y61" i="23"/>
  <c r="BA61" i="31" s="1"/>
  <c r="Y62" i="23"/>
  <c r="Y63" i="23"/>
  <c r="BA63" i="31" s="1"/>
  <c r="Y64" i="23"/>
  <c r="BA64" i="31" s="1"/>
  <c r="Y65" i="23"/>
  <c r="BA65" i="31" s="1"/>
  <c r="Y8" i="4"/>
  <c r="Y9" i="4"/>
  <c r="BA9" i="11" s="1"/>
  <c r="Y10" i="4"/>
  <c r="BA10" i="11" s="1"/>
  <c r="Y11" i="4"/>
  <c r="Y12" i="4"/>
  <c r="Y13" i="4"/>
  <c r="Y14" i="4"/>
  <c r="BA14" i="11" s="1"/>
  <c r="Y15" i="4"/>
  <c r="BA15" i="11" s="1"/>
  <c r="Y16" i="4"/>
  <c r="Y17" i="4"/>
  <c r="BA17" i="11" s="1"/>
  <c r="Y18" i="4"/>
  <c r="BA18" i="11" s="1"/>
  <c r="Y19" i="4"/>
  <c r="Y20" i="4"/>
  <c r="Y21" i="4"/>
  <c r="Y22" i="4"/>
  <c r="BA22" i="11" s="1"/>
  <c r="Y23" i="4"/>
  <c r="Y24" i="4"/>
  <c r="Y26" i="4"/>
  <c r="Y27" i="4"/>
  <c r="BA27" i="11" s="1"/>
  <c r="Y28" i="4"/>
  <c r="Y29" i="4"/>
  <c r="Y30" i="4"/>
  <c r="BA30" i="11" s="1"/>
  <c r="Y31" i="4"/>
  <c r="Y32" i="4"/>
  <c r="Y33" i="4"/>
  <c r="BA33" i="11" s="1"/>
  <c r="Y34" i="4"/>
  <c r="BA34" i="11" s="1"/>
  <c r="Y35" i="4"/>
  <c r="BA35" i="11" s="1"/>
  <c r="Y36" i="4"/>
  <c r="Y37" i="4"/>
  <c r="Y38" i="4"/>
  <c r="BA38" i="11" s="1"/>
  <c r="Y39" i="4"/>
  <c r="Y41" i="4"/>
  <c r="Y42" i="4"/>
  <c r="BA42" i="11" s="1"/>
  <c r="Y43" i="4"/>
  <c r="BA43" i="11" s="1"/>
  <c r="Y44" i="4"/>
  <c r="BA44" i="11" s="1"/>
  <c r="Y45" i="4"/>
  <c r="Y46" i="4"/>
  <c r="Y47" i="4"/>
  <c r="Y48" i="4"/>
  <c r="Y49" i="4"/>
  <c r="BA49" i="11" s="1"/>
  <c r="Y50" i="4"/>
  <c r="BA50" i="11" s="1"/>
  <c r="Y51" i="4"/>
  <c r="BA51" i="11" s="1"/>
  <c r="Y52" i="4"/>
  <c r="BA52" i="11" s="1"/>
  <c r="Y53" i="4"/>
  <c r="Y55" i="4"/>
  <c r="Y56" i="4"/>
  <c r="Y57" i="4"/>
  <c r="BA57" i="11" s="1"/>
  <c r="Y58" i="4"/>
  <c r="Y59" i="4"/>
  <c r="BA59" i="11" s="1"/>
  <c r="Y60" i="4"/>
  <c r="Y61" i="4"/>
  <c r="BA61" i="11" s="1"/>
  <c r="Y62" i="4"/>
  <c r="Y63" i="4"/>
  <c r="Y64" i="4"/>
  <c r="Y7" i="10"/>
  <c r="Y25" i="10"/>
  <c r="Y40" i="10"/>
  <c r="Y54" i="10"/>
  <c r="Y7" i="9"/>
  <c r="Y25" i="9"/>
  <c r="Y40" i="9"/>
  <c r="Y54" i="9"/>
  <c r="Y26" i="9"/>
  <c r="Y41" i="9"/>
  <c r="Y55" i="9"/>
  <c r="Y7" i="7"/>
  <c r="Y54" i="7"/>
  <c r="Y40" i="7"/>
  <c r="Y25" i="7"/>
  <c r="Y7" i="6"/>
  <c r="Y25" i="6"/>
  <c r="Y40" i="6"/>
  <c r="Y54" i="6"/>
  <c r="Y7" i="5"/>
  <c r="Y7" i="4" s="1"/>
  <c r="Y25" i="5"/>
  <c r="Y40" i="5"/>
  <c r="Y40" i="4" s="1"/>
  <c r="Y54" i="5"/>
  <c r="Y7" i="3"/>
  <c r="Y25" i="3"/>
  <c r="Y40" i="3"/>
  <c r="Y54" i="3"/>
  <c r="Y7" i="2"/>
  <c r="Y25" i="2"/>
  <c r="Y40" i="2"/>
  <c r="Y54" i="2"/>
  <c r="Y26" i="2"/>
  <c r="Y41" i="2"/>
  <c r="Y55" i="2"/>
  <c r="Y7" i="1"/>
  <c r="Y25" i="1"/>
  <c r="Y40" i="1"/>
  <c r="Y54" i="1"/>
  <c r="Y7" i="31"/>
  <c r="Y25" i="31"/>
  <c r="Y40" i="31"/>
  <c r="Y54" i="31"/>
  <c r="Y7" i="28"/>
  <c r="Y25" i="28"/>
  <c r="Y40" i="28"/>
  <c r="Y54" i="28"/>
  <c r="Y7" i="29"/>
  <c r="X25" i="29"/>
  <c r="Y25" i="29"/>
  <c r="Y40" i="29"/>
  <c r="Y54" i="29"/>
  <c r="Y26" i="26"/>
  <c r="Y41" i="26"/>
  <c r="Y55" i="26"/>
  <c r="Y7" i="25"/>
  <c r="Y25" i="25"/>
  <c r="Y40" i="25"/>
  <c r="Y54" i="25"/>
  <c r="Y7" i="24"/>
  <c r="Y25" i="24"/>
  <c r="Y40" i="24"/>
  <c r="Y54" i="24"/>
  <c r="Y25" i="22"/>
  <c r="X7" i="21"/>
  <c r="Y7" i="21"/>
  <c r="X25" i="21"/>
  <c r="Y25" i="21"/>
  <c r="X40" i="21"/>
  <c r="Y40" i="21"/>
  <c r="X54" i="21"/>
  <c r="Y54" i="21"/>
  <c r="Y7" i="20"/>
  <c r="Y25" i="20"/>
  <c r="Y40" i="20"/>
  <c r="Y54" i="20"/>
  <c r="BA40" i="11" l="1"/>
  <c r="Y25" i="4"/>
  <c r="BA7" i="11"/>
  <c r="BA49" i="31"/>
  <c r="BA62" i="11"/>
  <c r="BA11" i="11"/>
  <c r="BA53" i="31"/>
  <c r="BA27" i="31"/>
  <c r="BA45" i="31"/>
  <c r="BA21" i="31"/>
  <c r="BA58" i="11"/>
  <c r="BA32" i="11"/>
  <c r="BA53" i="11"/>
  <c r="X6" i="21"/>
  <c r="BA37" i="31"/>
  <c r="BA23" i="11"/>
  <c r="BA13" i="31"/>
  <c r="BA19" i="11"/>
  <c r="Y54" i="4"/>
  <c r="BA54" i="11" s="1"/>
  <c r="BA37" i="11"/>
  <c r="BA29" i="11"/>
  <c r="BA20" i="11"/>
  <c r="BA12" i="11"/>
  <c r="BA45" i="11"/>
  <c r="BA36" i="11"/>
  <c r="BA28" i="11"/>
  <c r="BA16" i="11"/>
  <c r="BA34" i="31"/>
  <c r="BA24" i="11"/>
  <c r="BA25" i="11"/>
  <c r="Y6" i="7"/>
  <c r="BA60" i="11"/>
  <c r="BA24" i="31"/>
  <c r="BA16" i="31"/>
  <c r="BA51" i="31"/>
  <c r="BA33" i="31"/>
  <c r="BA42" i="31"/>
  <c r="BA64" i="11"/>
  <c r="BA56" i="11"/>
  <c r="BA47" i="11"/>
  <c r="BA39" i="11"/>
  <c r="BA31" i="11"/>
  <c r="BA57" i="31"/>
  <c r="BA60" i="31"/>
  <c r="BA48" i="11"/>
  <c r="Y6" i="31"/>
  <c r="BA63" i="11"/>
  <c r="BA21" i="11"/>
  <c r="BA13" i="11"/>
  <c r="BA56" i="31"/>
  <c r="BA17" i="31"/>
  <c r="BA9" i="31"/>
  <c r="BA62" i="31"/>
  <c r="BA52" i="31"/>
  <c r="BA44" i="31"/>
  <c r="BA32" i="31"/>
  <c r="BA46" i="11"/>
  <c r="Y6" i="21"/>
  <c r="Y6" i="11"/>
  <c r="X6" i="11"/>
  <c r="Y6" i="10"/>
  <c r="Y6" i="9"/>
  <c r="Y6" i="6"/>
  <c r="Y6" i="5"/>
  <c r="X55" i="4"/>
  <c r="Y6" i="3"/>
  <c r="Y6" i="2"/>
  <c r="Y6" i="1"/>
  <c r="Y6" i="28"/>
  <c r="Y6" i="29"/>
  <c r="Y25" i="26"/>
  <c r="Y25" i="23" s="1"/>
  <c r="Y40" i="26"/>
  <c r="Y40" i="23" s="1"/>
  <c r="Y7" i="26"/>
  <c r="Y7" i="23" s="1"/>
  <c r="Y54" i="26"/>
  <c r="Y54" i="23" s="1"/>
  <c r="Y6" i="25"/>
  <c r="Y6" i="24"/>
  <c r="Y54" i="22"/>
  <c r="Y40" i="22"/>
  <c r="Y7" i="22"/>
  <c r="Y6" i="20"/>
  <c r="X8" i="23"/>
  <c r="X9" i="23"/>
  <c r="AZ9" i="31" s="1"/>
  <c r="X10" i="23"/>
  <c r="AZ10" i="31" s="1"/>
  <c r="X11" i="23"/>
  <c r="AZ11" i="31" s="1"/>
  <c r="X12" i="23"/>
  <c r="AZ12" i="31" s="1"/>
  <c r="X13" i="23"/>
  <c r="AZ13" i="31" s="1"/>
  <c r="X14" i="23"/>
  <c r="AZ14" i="31" s="1"/>
  <c r="X15" i="23"/>
  <c r="AZ15" i="31" s="1"/>
  <c r="X16" i="23"/>
  <c r="AZ16" i="31" s="1"/>
  <c r="X17" i="23"/>
  <c r="AZ17" i="31" s="1"/>
  <c r="X18" i="23"/>
  <c r="AZ18" i="31" s="1"/>
  <c r="X19" i="23"/>
  <c r="AZ19" i="31" s="1"/>
  <c r="X20" i="23"/>
  <c r="AZ20" i="31" s="1"/>
  <c r="X21" i="23"/>
  <c r="AZ21" i="31" s="1"/>
  <c r="X22" i="23"/>
  <c r="AZ22" i="31" s="1"/>
  <c r="X23" i="23"/>
  <c r="AZ23" i="31" s="1"/>
  <c r="X24" i="23"/>
  <c r="AZ24" i="31" s="1"/>
  <c r="X26" i="23"/>
  <c r="X27" i="23"/>
  <c r="AZ27" i="31" s="1"/>
  <c r="X28" i="23"/>
  <c r="AZ28" i="31" s="1"/>
  <c r="X29" i="23"/>
  <c r="AZ29" i="31" s="1"/>
  <c r="X30" i="23"/>
  <c r="AZ30" i="31" s="1"/>
  <c r="X31" i="23"/>
  <c r="AZ31" i="31" s="1"/>
  <c r="X32" i="23"/>
  <c r="AZ32" i="31" s="1"/>
  <c r="X33" i="23"/>
  <c r="AZ33" i="31" s="1"/>
  <c r="X34" i="23"/>
  <c r="AZ34" i="31" s="1"/>
  <c r="X35" i="23"/>
  <c r="AZ35" i="31" s="1"/>
  <c r="X36" i="23"/>
  <c r="AZ36" i="31" s="1"/>
  <c r="X37" i="23"/>
  <c r="AZ37" i="31" s="1"/>
  <c r="X38" i="23"/>
  <c r="AZ38" i="31" s="1"/>
  <c r="X39" i="23"/>
  <c r="AZ39" i="31" s="1"/>
  <c r="X41" i="23"/>
  <c r="X42" i="23"/>
  <c r="AZ42" i="31" s="1"/>
  <c r="X43" i="23"/>
  <c r="AZ43" i="31" s="1"/>
  <c r="X44" i="23"/>
  <c r="AZ44" i="31" s="1"/>
  <c r="X45" i="23"/>
  <c r="AZ45" i="31" s="1"/>
  <c r="X46" i="23"/>
  <c r="AZ46" i="31" s="1"/>
  <c r="X47" i="23"/>
  <c r="AZ47" i="31" s="1"/>
  <c r="X48" i="23"/>
  <c r="AZ48" i="31" s="1"/>
  <c r="X49" i="23"/>
  <c r="AZ49" i="31" s="1"/>
  <c r="X50" i="23"/>
  <c r="AZ50" i="31" s="1"/>
  <c r="X51" i="23"/>
  <c r="AZ51" i="31" s="1"/>
  <c r="X52" i="23"/>
  <c r="AZ52" i="31" s="1"/>
  <c r="X53" i="23"/>
  <c r="AZ53" i="31" s="1"/>
  <c r="X55" i="23"/>
  <c r="X56" i="23"/>
  <c r="AZ56" i="31" s="1"/>
  <c r="X57" i="23"/>
  <c r="AZ57" i="31" s="1"/>
  <c r="X58" i="23"/>
  <c r="AZ58" i="31" s="1"/>
  <c r="X59" i="23"/>
  <c r="AZ59" i="31" s="1"/>
  <c r="X60" i="23"/>
  <c r="AZ60" i="31" s="1"/>
  <c r="X61" i="23"/>
  <c r="AZ61" i="31" s="1"/>
  <c r="X62" i="23"/>
  <c r="AZ62" i="31" s="1"/>
  <c r="X63" i="23"/>
  <c r="AZ63" i="31" s="1"/>
  <c r="X64" i="23"/>
  <c r="AZ64" i="31" s="1"/>
  <c r="X65" i="23"/>
  <c r="AZ65" i="31" s="1"/>
  <c r="X8" i="4"/>
  <c r="X9" i="4"/>
  <c r="AZ9" i="11" s="1"/>
  <c r="X10" i="4"/>
  <c r="AZ10" i="11" s="1"/>
  <c r="X11" i="4"/>
  <c r="AZ11" i="11" s="1"/>
  <c r="X12" i="4"/>
  <c r="AZ12" i="11" s="1"/>
  <c r="X13" i="4"/>
  <c r="AZ13" i="11" s="1"/>
  <c r="X14" i="4"/>
  <c r="AZ14" i="11" s="1"/>
  <c r="X15" i="4"/>
  <c r="AZ15" i="11" s="1"/>
  <c r="X16" i="4"/>
  <c r="AZ16" i="11" s="1"/>
  <c r="X17" i="4"/>
  <c r="AZ17" i="11" s="1"/>
  <c r="X18" i="4"/>
  <c r="AZ18" i="11" s="1"/>
  <c r="X19" i="4"/>
  <c r="AZ19" i="11" s="1"/>
  <c r="X20" i="4"/>
  <c r="AZ20" i="11" s="1"/>
  <c r="X21" i="4"/>
  <c r="AZ21" i="11" s="1"/>
  <c r="X22" i="4"/>
  <c r="AZ22" i="11" s="1"/>
  <c r="X23" i="4"/>
  <c r="AZ23" i="11" s="1"/>
  <c r="X24" i="4"/>
  <c r="AZ24" i="11" s="1"/>
  <c r="X26" i="4"/>
  <c r="X27" i="4"/>
  <c r="AZ27" i="11" s="1"/>
  <c r="X28" i="4"/>
  <c r="AZ28" i="11" s="1"/>
  <c r="X29" i="4"/>
  <c r="AZ29" i="11" s="1"/>
  <c r="X30" i="4"/>
  <c r="AZ30" i="11" s="1"/>
  <c r="X31" i="4"/>
  <c r="AZ31" i="11" s="1"/>
  <c r="X32" i="4"/>
  <c r="AZ32" i="11" s="1"/>
  <c r="X33" i="4"/>
  <c r="AZ33" i="11" s="1"/>
  <c r="X34" i="4"/>
  <c r="AZ34" i="11" s="1"/>
  <c r="X35" i="4"/>
  <c r="AZ35" i="11" s="1"/>
  <c r="X36" i="4"/>
  <c r="AZ36" i="11" s="1"/>
  <c r="X37" i="4"/>
  <c r="AZ37" i="11" s="1"/>
  <c r="X38" i="4"/>
  <c r="AZ38" i="11" s="1"/>
  <c r="X39" i="4"/>
  <c r="AZ39" i="11" s="1"/>
  <c r="X41" i="4"/>
  <c r="X42" i="4"/>
  <c r="AZ42" i="11" s="1"/>
  <c r="X43" i="4"/>
  <c r="AZ43" i="11" s="1"/>
  <c r="X44" i="4"/>
  <c r="AZ44" i="11" s="1"/>
  <c r="X45" i="4"/>
  <c r="AZ45" i="11" s="1"/>
  <c r="X46" i="4"/>
  <c r="AZ46" i="11" s="1"/>
  <c r="X47" i="4"/>
  <c r="AZ47" i="11" s="1"/>
  <c r="X48" i="4"/>
  <c r="AZ48" i="11" s="1"/>
  <c r="X49" i="4"/>
  <c r="AZ49" i="11" s="1"/>
  <c r="X50" i="4"/>
  <c r="AZ50" i="11" s="1"/>
  <c r="X51" i="4"/>
  <c r="AZ51" i="11" s="1"/>
  <c r="X52" i="4"/>
  <c r="AZ52" i="11" s="1"/>
  <c r="X53" i="4"/>
  <c r="AZ53" i="11" s="1"/>
  <c r="X57" i="4"/>
  <c r="AZ57" i="11" s="1"/>
  <c r="X58" i="4"/>
  <c r="AZ58" i="11" s="1"/>
  <c r="X60" i="4"/>
  <c r="AZ60" i="11" s="1"/>
  <c r="X61" i="4"/>
  <c r="AZ61" i="11" s="1"/>
  <c r="X62" i="4"/>
  <c r="AZ62" i="11" s="1"/>
  <c r="X63" i="4"/>
  <c r="AZ63" i="11" s="1"/>
  <c r="X64" i="4"/>
  <c r="AZ64" i="11" s="1"/>
  <c r="X54" i="7"/>
  <c r="X40" i="7"/>
  <c r="X25" i="7"/>
  <c r="X7" i="7"/>
  <c r="X54" i="28"/>
  <c r="X40" i="28"/>
  <c r="X25" i="28"/>
  <c r="X7" i="28"/>
  <c r="X54" i="9"/>
  <c r="X40" i="9"/>
  <c r="X25" i="9"/>
  <c r="X7" i="9"/>
  <c r="Y6" i="4" l="1"/>
  <c r="X6" i="7"/>
  <c r="X56" i="4"/>
  <c r="AZ56" i="11" s="1"/>
  <c r="X59" i="4"/>
  <c r="AZ59" i="11" s="1"/>
  <c r="Y6" i="26"/>
  <c r="Y6" i="23" s="1"/>
  <c r="Y6" i="22"/>
  <c r="X6" i="28"/>
  <c r="X6" i="9"/>
  <c r="BA6" i="11" l="1"/>
  <c r="X54" i="10"/>
  <c r="X40" i="10"/>
  <c r="X25" i="10"/>
  <c r="X7" i="10"/>
  <c r="X6" i="10" l="1"/>
  <c r="X7" i="6"/>
  <c r="X25" i="6"/>
  <c r="X40" i="6"/>
  <c r="X54" i="6"/>
  <c r="X6" i="6" l="1"/>
  <c r="X54" i="5"/>
  <c r="X54" i="4" s="1"/>
  <c r="X40" i="5"/>
  <c r="X40" i="4" s="1"/>
  <c r="X25" i="5"/>
  <c r="X25" i="4" s="1"/>
  <c r="X7" i="5"/>
  <c r="X7" i="4" s="1"/>
  <c r="X54" i="3"/>
  <c r="X40" i="3"/>
  <c r="X25" i="3"/>
  <c r="X7" i="3"/>
  <c r="X25" i="2"/>
  <c r="X40" i="2"/>
  <c r="X54" i="2"/>
  <c r="AZ54" i="11" s="1"/>
  <c r="X7" i="2"/>
  <c r="X7" i="1"/>
  <c r="AZ40" i="11" l="1"/>
  <c r="AZ7" i="11"/>
  <c r="AZ25" i="11"/>
  <c r="X6" i="5"/>
  <c r="X6" i="4" s="1"/>
  <c r="X6" i="3"/>
  <c r="X6" i="2"/>
  <c r="X6" i="1"/>
  <c r="X54" i="31"/>
  <c r="X40" i="31"/>
  <c r="X25" i="31"/>
  <c r="X7" i="31"/>
  <c r="X54" i="29"/>
  <c r="X40" i="29"/>
  <c r="X7" i="29"/>
  <c r="X54" i="26"/>
  <c r="X40" i="26"/>
  <c r="X25" i="26"/>
  <c r="X7" i="26"/>
  <c r="X54" i="25"/>
  <c r="X40" i="25"/>
  <c r="X25" i="25"/>
  <c r="X7" i="25"/>
  <c r="X54" i="24"/>
  <c r="X40" i="24"/>
  <c r="X25" i="24"/>
  <c r="X7" i="24"/>
  <c r="X54" i="22"/>
  <c r="X40" i="22"/>
  <c r="X25" i="22"/>
  <c r="X7" i="22"/>
  <c r="X54" i="20"/>
  <c r="X40" i="20"/>
  <c r="X25" i="20"/>
  <c r="X7" i="20"/>
  <c r="X7" i="23" l="1"/>
  <c r="AZ6" i="11"/>
  <c r="X6" i="20"/>
  <c r="X25" i="23"/>
  <c r="X40" i="23"/>
  <c r="X54" i="23"/>
  <c r="X6" i="31"/>
  <c r="X6" i="29"/>
  <c r="X6" i="26"/>
  <c r="X6" i="25"/>
  <c r="X6" i="24"/>
  <c r="X6" i="22"/>
  <c r="X6" i="23" l="1"/>
  <c r="W54" i="6"/>
  <c r="V54" i="6"/>
  <c r="U54" i="6"/>
  <c r="T54" i="6"/>
  <c r="S54" i="6"/>
  <c r="R54" i="6"/>
  <c r="Q54" i="6"/>
  <c r="P54" i="6"/>
  <c r="O54" i="6"/>
  <c r="N54" i="6"/>
  <c r="M54" i="6"/>
  <c r="L54" i="6"/>
  <c r="K54" i="6"/>
  <c r="I54" i="6"/>
  <c r="F54" i="6"/>
  <c r="F54" i="25"/>
  <c r="F54" i="5"/>
  <c r="F54" i="3"/>
  <c r="F54" i="2"/>
  <c r="T54" i="11"/>
  <c r="W54" i="11"/>
  <c r="W54" i="10" l="1"/>
  <c r="W40" i="10"/>
  <c r="W25" i="10"/>
  <c r="W7" i="10"/>
  <c r="W54" i="29"/>
  <c r="W40" i="29"/>
  <c r="W25" i="29"/>
  <c r="W7" i="29"/>
  <c r="W54" i="9"/>
  <c r="W40" i="9"/>
  <c r="W25" i="9"/>
  <c r="W7" i="9"/>
  <c r="W6" i="29" l="1"/>
  <c r="W6" i="10"/>
  <c r="W6" i="9"/>
  <c r="W54" i="28"/>
  <c r="W40" i="28"/>
  <c r="W25" i="28"/>
  <c r="W7" i="28"/>
  <c r="W54" i="7"/>
  <c r="W40" i="7"/>
  <c r="W25" i="7"/>
  <c r="W7" i="7"/>
  <c r="W54" i="26"/>
  <c r="W40" i="26"/>
  <c r="W25" i="26"/>
  <c r="W7" i="26"/>
  <c r="W40" i="6"/>
  <c r="W25" i="6"/>
  <c r="W7" i="6"/>
  <c r="W54" i="25"/>
  <c r="W40" i="25"/>
  <c r="W25" i="25"/>
  <c r="W7" i="25"/>
  <c r="W54" i="5"/>
  <c r="W40" i="5"/>
  <c r="W25" i="5"/>
  <c r="W7" i="5"/>
  <c r="W54" i="24"/>
  <c r="W40" i="24"/>
  <c r="W25" i="24"/>
  <c r="W7" i="24"/>
  <c r="W8" i="4"/>
  <c r="W9" i="4"/>
  <c r="W10" i="4"/>
  <c r="W11" i="4"/>
  <c r="W12" i="4"/>
  <c r="W13" i="4"/>
  <c r="W14" i="4"/>
  <c r="W15" i="4"/>
  <c r="W16" i="4"/>
  <c r="W17" i="4"/>
  <c r="W18" i="4"/>
  <c r="W19" i="4"/>
  <c r="W20" i="4"/>
  <c r="W21" i="4"/>
  <c r="W22" i="4"/>
  <c r="W23" i="4"/>
  <c r="W24" i="4"/>
  <c r="W26" i="4"/>
  <c r="W27" i="4"/>
  <c r="W28" i="4"/>
  <c r="W29" i="4"/>
  <c r="W30" i="4"/>
  <c r="W31" i="4"/>
  <c r="W32" i="4"/>
  <c r="W33" i="4"/>
  <c r="W34" i="4"/>
  <c r="W35" i="4"/>
  <c r="W36" i="4"/>
  <c r="W37" i="4"/>
  <c r="W38" i="4"/>
  <c r="W39" i="4"/>
  <c r="W41" i="4"/>
  <c r="W42" i="4"/>
  <c r="W43" i="4"/>
  <c r="W44" i="4"/>
  <c r="W45" i="4"/>
  <c r="W46" i="4"/>
  <c r="W47" i="4"/>
  <c r="W48" i="4"/>
  <c r="W49" i="4"/>
  <c r="W50" i="4"/>
  <c r="W51" i="4"/>
  <c r="W52" i="4"/>
  <c r="W53" i="4"/>
  <c r="W55" i="4"/>
  <c r="W56" i="4"/>
  <c r="W57" i="4"/>
  <c r="W58" i="4"/>
  <c r="W59" i="4"/>
  <c r="W60" i="4"/>
  <c r="W61" i="4"/>
  <c r="W62" i="4"/>
  <c r="W63" i="4"/>
  <c r="W64" i="4"/>
  <c r="W65" i="4"/>
  <c r="AY65" i="11" s="1"/>
  <c r="W8" i="23"/>
  <c r="W9" i="23"/>
  <c r="W10" i="23"/>
  <c r="W11" i="23"/>
  <c r="W12" i="23"/>
  <c r="W13" i="23"/>
  <c r="W14" i="23"/>
  <c r="W15" i="23"/>
  <c r="W16" i="23"/>
  <c r="W17" i="23"/>
  <c r="W18" i="23"/>
  <c r="W19" i="23"/>
  <c r="W20" i="23"/>
  <c r="W21" i="23"/>
  <c r="W22" i="23"/>
  <c r="W23" i="23"/>
  <c r="W24" i="23"/>
  <c r="W26" i="23"/>
  <c r="W27" i="23"/>
  <c r="W28" i="23"/>
  <c r="W29" i="23"/>
  <c r="W30" i="23"/>
  <c r="W31" i="23"/>
  <c r="W32" i="23"/>
  <c r="W33" i="23"/>
  <c r="W34" i="23"/>
  <c r="W35" i="23"/>
  <c r="W36" i="23"/>
  <c r="W37" i="23"/>
  <c r="W38" i="23"/>
  <c r="W39" i="23"/>
  <c r="W41" i="23"/>
  <c r="W42" i="23"/>
  <c r="W43" i="23"/>
  <c r="W44" i="23"/>
  <c r="W45" i="23"/>
  <c r="W46" i="23"/>
  <c r="W47" i="23"/>
  <c r="W48" i="23"/>
  <c r="W49" i="23"/>
  <c r="W50" i="23"/>
  <c r="W51" i="23"/>
  <c r="W52" i="23"/>
  <c r="W53" i="23"/>
  <c r="W55" i="23"/>
  <c r="W56" i="23"/>
  <c r="W57" i="23"/>
  <c r="W58" i="23"/>
  <c r="W59" i="23"/>
  <c r="W60" i="23"/>
  <c r="W61" i="23"/>
  <c r="W62" i="23"/>
  <c r="W63" i="23"/>
  <c r="W64" i="23"/>
  <c r="W65" i="23"/>
  <c r="AY5" i="11"/>
  <c r="W40" i="11"/>
  <c r="W25" i="11"/>
  <c r="W7" i="11"/>
  <c r="AY5" i="31"/>
  <c r="W54" i="31"/>
  <c r="W40" i="31"/>
  <c r="W25" i="31"/>
  <c r="W7" i="31"/>
  <c r="W54" i="3"/>
  <c r="W40" i="3"/>
  <c r="W25" i="3"/>
  <c r="W7" i="3"/>
  <c r="W54" i="22"/>
  <c r="W40" i="22"/>
  <c r="W25" i="22"/>
  <c r="W7" i="22"/>
  <c r="W54" i="2"/>
  <c r="W40" i="2"/>
  <c r="W25" i="2"/>
  <c r="W7" i="2"/>
  <c r="W54" i="21"/>
  <c r="W40" i="21"/>
  <c r="W25" i="21"/>
  <c r="W7" i="21"/>
  <c r="W54" i="1"/>
  <c r="W40" i="1"/>
  <c r="W25" i="1"/>
  <c r="W7" i="1"/>
  <c r="W54" i="20"/>
  <c r="W40" i="20"/>
  <c r="W25" i="20"/>
  <c r="W7" i="20"/>
  <c r="V8" i="4"/>
  <c r="V9" i="4"/>
  <c r="V10" i="4"/>
  <c r="V11" i="4"/>
  <c r="V12" i="4"/>
  <c r="V13" i="4"/>
  <c r="V14" i="4"/>
  <c r="V15" i="4"/>
  <c r="V16" i="4"/>
  <c r="V17" i="4"/>
  <c r="V18" i="4"/>
  <c r="V19" i="4"/>
  <c r="V20" i="4"/>
  <c r="V21" i="4"/>
  <c r="V22" i="4"/>
  <c r="V23" i="4"/>
  <c r="V24" i="4"/>
  <c r="V26" i="4"/>
  <c r="V27" i="4"/>
  <c r="V28" i="4"/>
  <c r="V29" i="4"/>
  <c r="V30" i="4"/>
  <c r="V31" i="4"/>
  <c r="V32" i="4"/>
  <c r="V33" i="4"/>
  <c r="V34" i="4"/>
  <c r="V35" i="4"/>
  <c r="V36" i="4"/>
  <c r="V37" i="4"/>
  <c r="V38" i="4"/>
  <c r="V39" i="4"/>
  <c r="V41" i="4"/>
  <c r="V42" i="4"/>
  <c r="V43" i="4"/>
  <c r="V44" i="4"/>
  <c r="V45" i="4"/>
  <c r="V46" i="4"/>
  <c r="V47" i="4"/>
  <c r="V48" i="4"/>
  <c r="V49" i="4"/>
  <c r="V50" i="4"/>
  <c r="V51" i="4"/>
  <c r="V52" i="4"/>
  <c r="V53" i="4"/>
  <c r="V55" i="4"/>
  <c r="V56" i="4"/>
  <c r="V57" i="4"/>
  <c r="V58" i="4"/>
  <c r="V59" i="4"/>
  <c r="V60" i="4"/>
  <c r="V61" i="4"/>
  <c r="V62" i="4"/>
  <c r="V63" i="4"/>
  <c r="V64" i="4"/>
  <c r="V65" i="4"/>
  <c r="AX65" i="11" s="1"/>
  <c r="V8" i="23"/>
  <c r="V9" i="23"/>
  <c r="V10" i="23"/>
  <c r="V11" i="23"/>
  <c r="V12" i="23"/>
  <c r="V13" i="23"/>
  <c r="V14" i="23"/>
  <c r="V15" i="23"/>
  <c r="V16" i="23"/>
  <c r="V17" i="23"/>
  <c r="V18" i="23"/>
  <c r="V19" i="23"/>
  <c r="V20" i="23"/>
  <c r="V21" i="23"/>
  <c r="V22" i="23"/>
  <c r="V23" i="23"/>
  <c r="V24" i="23"/>
  <c r="V26" i="23"/>
  <c r="V27" i="23"/>
  <c r="V28" i="23"/>
  <c r="V29" i="23"/>
  <c r="V30" i="23"/>
  <c r="V31" i="23"/>
  <c r="V32" i="23"/>
  <c r="V33" i="23"/>
  <c r="V34" i="23"/>
  <c r="V35" i="23"/>
  <c r="V36" i="23"/>
  <c r="V37" i="23"/>
  <c r="V38" i="23"/>
  <c r="V39" i="23"/>
  <c r="V41" i="23"/>
  <c r="V42" i="23"/>
  <c r="V43" i="23"/>
  <c r="V44" i="23"/>
  <c r="V45" i="23"/>
  <c r="V46" i="23"/>
  <c r="V47" i="23"/>
  <c r="V48" i="23"/>
  <c r="V49" i="23"/>
  <c r="V50" i="23"/>
  <c r="V51" i="23"/>
  <c r="V52" i="23"/>
  <c r="V53" i="23"/>
  <c r="V55" i="23"/>
  <c r="V56" i="23"/>
  <c r="V57" i="23"/>
  <c r="V58" i="23"/>
  <c r="V59" i="23"/>
  <c r="V60" i="23"/>
  <c r="V61" i="23"/>
  <c r="V62" i="23"/>
  <c r="V63" i="23"/>
  <c r="V64" i="23"/>
  <c r="V65" i="23"/>
  <c r="V54" i="10"/>
  <c r="V40" i="10"/>
  <c r="V25" i="10"/>
  <c r="V7" i="10"/>
  <c r="V54" i="29"/>
  <c r="V40" i="29"/>
  <c r="V25" i="29"/>
  <c r="V7" i="29"/>
  <c r="V54" i="9"/>
  <c r="V40" i="9"/>
  <c r="V25" i="9"/>
  <c r="V7" i="9"/>
  <c r="V54" i="28"/>
  <c r="V40" i="28"/>
  <c r="V25" i="28"/>
  <c r="V7" i="28"/>
  <c r="V54" i="8"/>
  <c r="V40" i="8"/>
  <c r="V25" i="8"/>
  <c r="V7" i="8"/>
  <c r="V54" i="27"/>
  <c r="V40" i="27"/>
  <c r="V25" i="27"/>
  <c r="V7" i="27"/>
  <c r="V54" i="7"/>
  <c r="V40" i="7"/>
  <c r="V25" i="7"/>
  <c r="V7" i="7"/>
  <c r="V54" i="26"/>
  <c r="V40" i="26"/>
  <c r="V25" i="26"/>
  <c r="V7" i="26"/>
  <c r="V40" i="6"/>
  <c r="V25" i="6"/>
  <c r="V7" i="6"/>
  <c r="V54" i="25"/>
  <c r="V40" i="25"/>
  <c r="V25" i="25"/>
  <c r="V7" i="25"/>
  <c r="V54" i="5"/>
  <c r="V40" i="5"/>
  <c r="V25" i="5"/>
  <c r="V7" i="5"/>
  <c r="V54" i="24"/>
  <c r="V40" i="24"/>
  <c r="V40" i="23" s="1"/>
  <c r="V25" i="24"/>
  <c r="V7" i="24"/>
  <c r="V54" i="3"/>
  <c r="V40" i="3"/>
  <c r="V25" i="3"/>
  <c r="V7" i="3"/>
  <c r="V54" i="22"/>
  <c r="V40" i="22"/>
  <c r="V25" i="22"/>
  <c r="V7" i="22"/>
  <c r="V54" i="2"/>
  <c r="V40" i="2"/>
  <c r="V25" i="2"/>
  <c r="V7" i="2"/>
  <c r="V54" i="21"/>
  <c r="V40" i="21"/>
  <c r="V25" i="21"/>
  <c r="V7" i="21"/>
  <c r="V54" i="1"/>
  <c r="V40" i="1"/>
  <c r="V25" i="1"/>
  <c r="V7" i="1"/>
  <c r="V54" i="20"/>
  <c r="V40" i="20"/>
  <c r="V25" i="20"/>
  <c r="V7" i="20"/>
  <c r="AX5" i="31"/>
  <c r="AX37" i="31"/>
  <c r="AX46" i="31"/>
  <c r="AX5" i="11"/>
  <c r="AX11" i="11"/>
  <c r="AX19" i="11"/>
  <c r="AX28" i="11"/>
  <c r="AX36" i="11"/>
  <c r="V54" i="31"/>
  <c r="V40" i="31"/>
  <c r="V25" i="31"/>
  <c r="V7" i="31"/>
  <c r="V54" i="11"/>
  <c r="V40" i="11"/>
  <c r="V25" i="11"/>
  <c r="V7" i="11"/>
  <c r="AX31" i="31" l="1"/>
  <c r="AX62" i="31"/>
  <c r="AX45" i="31"/>
  <c r="AX27" i="11"/>
  <c r="AX10" i="11"/>
  <c r="AX61" i="31"/>
  <c r="AX44" i="31"/>
  <c r="AX27" i="31"/>
  <c r="AX9" i="11"/>
  <c r="AX51" i="31"/>
  <c r="AX43" i="31"/>
  <c r="AX50" i="11"/>
  <c r="AX33" i="11"/>
  <c r="AX59" i="31"/>
  <c r="AX50" i="31"/>
  <c r="AX42" i="31"/>
  <c r="AX24" i="31"/>
  <c r="AX16" i="31"/>
  <c r="AX58" i="11"/>
  <c r="AX49" i="11"/>
  <c r="AX32" i="11"/>
  <c r="AX23" i="11"/>
  <c r="AX15" i="11"/>
  <c r="AX48" i="31"/>
  <c r="AX53" i="31"/>
  <c r="AX36" i="31"/>
  <c r="AX28" i="31"/>
  <c r="AX35" i="11"/>
  <c r="AX18" i="11"/>
  <c r="AX52" i="31"/>
  <c r="AX35" i="31"/>
  <c r="AX18" i="31"/>
  <c r="AX10" i="31"/>
  <c r="AX34" i="11"/>
  <c r="AX17" i="11"/>
  <c r="AX60" i="31"/>
  <c r="AX34" i="31"/>
  <c r="AX59" i="11"/>
  <c r="AX42" i="11"/>
  <c r="AX24" i="11"/>
  <c r="AX16" i="11"/>
  <c r="AX13" i="31"/>
  <c r="AX58" i="31"/>
  <c r="AX32" i="31"/>
  <c r="AX23" i="31"/>
  <c r="AX15" i="31"/>
  <c r="AX57" i="11"/>
  <c r="AX48" i="11"/>
  <c r="AX39" i="11"/>
  <c r="AX31" i="11"/>
  <c r="AX22" i="11"/>
  <c r="AX14" i="11"/>
  <c r="AX39" i="31"/>
  <c r="AX22" i="31"/>
  <c r="AX14" i="31"/>
  <c r="AX64" i="11"/>
  <c r="AX56" i="11"/>
  <c r="AX47" i="11"/>
  <c r="AX38" i="11"/>
  <c r="AX30" i="11"/>
  <c r="AX64" i="31"/>
  <c r="AX56" i="31"/>
  <c r="AX38" i="31"/>
  <c r="AX30" i="31"/>
  <c r="AX21" i="31"/>
  <c r="AX63" i="11"/>
  <c r="AX46" i="11"/>
  <c r="AX20" i="11"/>
  <c r="AX12" i="11"/>
  <c r="AX63" i="31"/>
  <c r="AX29" i="31"/>
  <c r="AX20" i="31"/>
  <c r="AX12" i="31"/>
  <c r="AX62" i="11"/>
  <c r="V54" i="4"/>
  <c r="W7" i="4"/>
  <c r="AY7" i="11" s="1"/>
  <c r="W25" i="4"/>
  <c r="AY25" i="11" s="1"/>
  <c r="V7" i="23"/>
  <c r="V25" i="23"/>
  <c r="V25" i="4"/>
  <c r="V40" i="4"/>
  <c r="V7" i="4"/>
  <c r="AY59" i="11"/>
  <c r="AY50" i="11"/>
  <c r="AY42" i="11"/>
  <c r="AY33" i="11"/>
  <c r="AY24" i="11"/>
  <c r="AY16" i="11"/>
  <c r="AY58" i="11"/>
  <c r="AY49" i="11"/>
  <c r="AY32" i="11"/>
  <c r="AY23" i="11"/>
  <c r="AY15" i="11"/>
  <c r="AY60" i="11"/>
  <c r="AY34" i="11"/>
  <c r="AY9" i="11"/>
  <c r="AY48" i="11"/>
  <c r="AY22" i="11"/>
  <c r="AY30" i="11"/>
  <c r="AY63" i="11"/>
  <c r="AY46" i="11"/>
  <c r="AY37" i="11"/>
  <c r="AY29" i="11"/>
  <c r="AY20" i="11"/>
  <c r="AY12" i="11"/>
  <c r="AY43" i="11"/>
  <c r="AY57" i="11"/>
  <c r="AY39" i="11"/>
  <c r="AY14" i="11"/>
  <c r="AY56" i="11"/>
  <c r="AY47" i="11"/>
  <c r="AY38" i="11"/>
  <c r="AY13" i="11"/>
  <c r="AY62" i="11"/>
  <c r="AY53" i="11"/>
  <c r="AY45" i="11"/>
  <c r="AY36" i="11"/>
  <c r="AY28" i="11"/>
  <c r="AY19" i="11"/>
  <c r="AY11" i="11"/>
  <c r="AY51" i="11"/>
  <c r="AY17" i="11"/>
  <c r="AY31" i="11"/>
  <c r="AY64" i="11"/>
  <c r="AY21" i="11"/>
  <c r="AY61" i="11"/>
  <c r="AY52" i="11"/>
  <c r="AY44" i="11"/>
  <c r="AY35" i="11"/>
  <c r="AY27" i="11"/>
  <c r="AY18" i="11"/>
  <c r="AY10" i="11"/>
  <c r="V54" i="23"/>
  <c r="AY52" i="31"/>
  <c r="AY27" i="31"/>
  <c r="AY51" i="31"/>
  <c r="AY9" i="31"/>
  <c r="AY49" i="31"/>
  <c r="AY65" i="31"/>
  <c r="AY57" i="31"/>
  <c r="AY48" i="31"/>
  <c r="AY39" i="31"/>
  <c r="AY31" i="31"/>
  <c r="AY22" i="31"/>
  <c r="AY14" i="31"/>
  <c r="AY44" i="31"/>
  <c r="AY35" i="31"/>
  <c r="AY10" i="31"/>
  <c r="AY43" i="31"/>
  <c r="AY17" i="31"/>
  <c r="AY50" i="31"/>
  <c r="AY33" i="31"/>
  <c r="AY23" i="31"/>
  <c r="AY15" i="31"/>
  <c r="AY64" i="31"/>
  <c r="AY56" i="31"/>
  <c r="AY47" i="31"/>
  <c r="AY38" i="31"/>
  <c r="AY30" i="31"/>
  <c r="AY21" i="31"/>
  <c r="AY13" i="31"/>
  <c r="AY34" i="31"/>
  <c r="AY59" i="31"/>
  <c r="AY24" i="31"/>
  <c r="AY58" i="31"/>
  <c r="AY63" i="31"/>
  <c r="AY46" i="31"/>
  <c r="AY37" i="31"/>
  <c r="AY29" i="31"/>
  <c r="AY20" i="31"/>
  <c r="AY12" i="31"/>
  <c r="AY61" i="31"/>
  <c r="AY18" i="31"/>
  <c r="AY60" i="31"/>
  <c r="AY42" i="31"/>
  <c r="AY16" i="31"/>
  <c r="AY32" i="31"/>
  <c r="AY62" i="31"/>
  <c r="AY53" i="31"/>
  <c r="AY45" i="31"/>
  <c r="AY36" i="31"/>
  <c r="AY28" i="31"/>
  <c r="AY19" i="31"/>
  <c r="AY11" i="31"/>
  <c r="W25" i="23"/>
  <c r="W40" i="4"/>
  <c r="W54" i="4"/>
  <c r="AY54" i="11" s="1"/>
  <c r="W54" i="23"/>
  <c r="W40" i="23"/>
  <c r="W7" i="23"/>
  <c r="W6" i="28"/>
  <c r="W6" i="7"/>
  <c r="W6" i="26"/>
  <c r="W6" i="6"/>
  <c r="W6" i="25"/>
  <c r="W6" i="5"/>
  <c r="W6" i="24"/>
  <c r="W6" i="11"/>
  <c r="W6" i="31"/>
  <c r="W6" i="3"/>
  <c r="W6" i="22"/>
  <c r="W6" i="2"/>
  <c r="W6" i="21"/>
  <c r="W6" i="1"/>
  <c r="W6" i="20"/>
  <c r="AX37" i="11"/>
  <c r="AX29" i="11"/>
  <c r="AX53" i="11"/>
  <c r="AX45" i="11"/>
  <c r="AX61" i="11"/>
  <c r="AX33" i="31"/>
  <c r="AX13" i="11"/>
  <c r="AX49" i="31"/>
  <c r="AX17" i="31"/>
  <c r="AX9" i="31"/>
  <c r="AX65" i="31"/>
  <c r="AX57" i="31"/>
  <c r="AX21" i="11"/>
  <c r="AX44" i="11"/>
  <c r="AX52" i="11"/>
  <c r="AX51" i="11"/>
  <c r="AX43" i="11"/>
  <c r="AX47" i="31"/>
  <c r="AX19" i="31"/>
  <c r="AX11" i="31"/>
  <c r="V6" i="8"/>
  <c r="AX60" i="11"/>
  <c r="V6" i="10"/>
  <c r="V6" i="29"/>
  <c r="V6" i="9"/>
  <c r="V6" i="28"/>
  <c r="V6" i="27"/>
  <c r="V6" i="7"/>
  <c r="V6" i="26"/>
  <c r="V6" i="6"/>
  <c r="V6" i="25"/>
  <c r="V6" i="5"/>
  <c r="V6" i="24"/>
  <c r="V6" i="3"/>
  <c r="V6" i="22"/>
  <c r="V6" i="2"/>
  <c r="V6" i="21"/>
  <c r="V6" i="1"/>
  <c r="V6" i="20"/>
  <c r="V6" i="31"/>
  <c r="V6" i="11"/>
  <c r="AX40" i="11" l="1"/>
  <c r="AX54" i="11"/>
  <c r="AX25" i="11"/>
  <c r="AX7" i="11"/>
  <c r="AY40" i="11"/>
  <c r="V6" i="4"/>
  <c r="V6" i="23"/>
  <c r="W6" i="4"/>
  <c r="AY6" i="11" s="1"/>
  <c r="W6" i="23"/>
  <c r="AW5" i="11"/>
  <c r="AE5" i="11"/>
  <c r="AF5" i="11"/>
  <c r="AG5" i="11"/>
  <c r="AH5" i="11"/>
  <c r="AI5" i="11"/>
  <c r="AJ5" i="11"/>
  <c r="AK5" i="11"/>
  <c r="AL5" i="11"/>
  <c r="AM5" i="11"/>
  <c r="AN5" i="11"/>
  <c r="AO5" i="11"/>
  <c r="AP5" i="11"/>
  <c r="AQ5" i="11"/>
  <c r="AR5" i="11"/>
  <c r="AS5" i="11"/>
  <c r="AT5" i="11"/>
  <c r="AU5" i="11"/>
  <c r="AV5" i="11"/>
  <c r="AD5" i="11"/>
  <c r="AD5" i="31"/>
  <c r="AE5" i="31"/>
  <c r="AF5" i="31"/>
  <c r="AG5" i="31"/>
  <c r="AH5" i="31"/>
  <c r="AI5" i="31"/>
  <c r="AJ5" i="31"/>
  <c r="AK5" i="31"/>
  <c r="AL5" i="31"/>
  <c r="AM5" i="31"/>
  <c r="AN5" i="31"/>
  <c r="AO5" i="31"/>
  <c r="AP5" i="31"/>
  <c r="AQ5" i="31"/>
  <c r="AR5" i="31"/>
  <c r="AS5" i="31"/>
  <c r="AT5" i="31"/>
  <c r="AU5" i="31"/>
  <c r="AV5" i="31"/>
  <c r="AW5" i="31"/>
  <c r="N57" i="19"/>
  <c r="M57" i="19"/>
  <c r="L57" i="19"/>
  <c r="K57" i="19"/>
  <c r="J57" i="19"/>
  <c r="I57" i="19"/>
  <c r="N43" i="19"/>
  <c r="M43" i="19"/>
  <c r="L43" i="19"/>
  <c r="K43" i="19"/>
  <c r="J43" i="19"/>
  <c r="I43" i="19"/>
  <c r="N28" i="19"/>
  <c r="M28" i="19"/>
  <c r="L28" i="19"/>
  <c r="K28" i="19"/>
  <c r="J28" i="19"/>
  <c r="I28" i="19"/>
  <c r="AX6" i="11" l="1"/>
  <c r="U65" i="4"/>
  <c r="AW65" i="11" s="1"/>
  <c r="T65" i="4"/>
  <c r="AV65" i="11" s="1"/>
  <c r="S65" i="4"/>
  <c r="AU65" i="11" s="1"/>
  <c r="R65" i="4"/>
  <c r="AT65" i="11" s="1"/>
  <c r="Q65" i="4"/>
  <c r="AS65" i="11" s="1"/>
  <c r="P65" i="4"/>
  <c r="AR65" i="11" s="1"/>
  <c r="O65" i="4"/>
  <c r="AQ65" i="11" s="1"/>
  <c r="N65" i="4"/>
  <c r="AP65" i="11" s="1"/>
  <c r="M65" i="4"/>
  <c r="AO65" i="11" s="1"/>
  <c r="L65" i="4"/>
  <c r="AN65" i="11" s="1"/>
  <c r="K65" i="4"/>
  <c r="AM65" i="11" s="1"/>
  <c r="J65" i="4"/>
  <c r="AL65" i="11" s="1"/>
  <c r="I65" i="4"/>
  <c r="AK65" i="11" s="1"/>
  <c r="H65" i="4"/>
  <c r="AJ65" i="11" s="1"/>
  <c r="G65" i="4"/>
  <c r="AI65" i="11" s="1"/>
  <c r="F65" i="4"/>
  <c r="AH65" i="11" s="1"/>
  <c r="E65" i="4"/>
  <c r="AG65" i="11" s="1"/>
  <c r="D65" i="4"/>
  <c r="AF65" i="11" s="1"/>
  <c r="C65" i="4"/>
  <c r="AE65" i="11" s="1"/>
  <c r="B65" i="4"/>
  <c r="AD65" i="11" s="1"/>
  <c r="U64" i="4"/>
  <c r="AW64" i="11" s="1"/>
  <c r="T64" i="4"/>
  <c r="S64" i="4"/>
  <c r="AU64" i="11" s="1"/>
  <c r="R64" i="4"/>
  <c r="Q64" i="4"/>
  <c r="P64" i="4"/>
  <c r="AR64" i="11" s="1"/>
  <c r="O64" i="4"/>
  <c r="AQ64" i="11" s="1"/>
  <c r="N64" i="4"/>
  <c r="AP64" i="11" s="1"/>
  <c r="M64" i="4"/>
  <c r="AO64" i="11" s="1"/>
  <c r="L64" i="4"/>
  <c r="AN64" i="11" s="1"/>
  <c r="K64" i="4"/>
  <c r="AM64" i="11" s="1"/>
  <c r="J64" i="4"/>
  <c r="AL64" i="11" s="1"/>
  <c r="I64" i="4"/>
  <c r="AK64" i="11" s="1"/>
  <c r="H64" i="4"/>
  <c r="AJ64" i="11" s="1"/>
  <c r="G64" i="4"/>
  <c r="AI64" i="11" s="1"/>
  <c r="F64" i="4"/>
  <c r="AH64" i="11" s="1"/>
  <c r="E64" i="4"/>
  <c r="AG64" i="11" s="1"/>
  <c r="D64" i="4"/>
  <c r="AF64" i="11" s="1"/>
  <c r="C64" i="4"/>
  <c r="AE64" i="11" s="1"/>
  <c r="B64" i="4"/>
  <c r="AD64" i="11" s="1"/>
  <c r="U63" i="4"/>
  <c r="AW63" i="11" s="1"/>
  <c r="T63" i="4"/>
  <c r="S63" i="4"/>
  <c r="AU63" i="11" s="1"/>
  <c r="R63" i="4"/>
  <c r="Q63" i="4"/>
  <c r="P63" i="4"/>
  <c r="AR63" i="11" s="1"/>
  <c r="O63" i="4"/>
  <c r="AQ63" i="11" s="1"/>
  <c r="N63" i="4"/>
  <c r="AP63" i="11" s="1"/>
  <c r="M63" i="4"/>
  <c r="AO63" i="11" s="1"/>
  <c r="L63" i="4"/>
  <c r="AN63" i="11" s="1"/>
  <c r="K63" i="4"/>
  <c r="AM63" i="11" s="1"/>
  <c r="J63" i="4"/>
  <c r="AL63" i="11" s="1"/>
  <c r="I63" i="4"/>
  <c r="AK63" i="11" s="1"/>
  <c r="H63" i="4"/>
  <c r="AJ63" i="11" s="1"/>
  <c r="G63" i="4"/>
  <c r="AI63" i="11" s="1"/>
  <c r="F63" i="4"/>
  <c r="AH63" i="11" s="1"/>
  <c r="E63" i="4"/>
  <c r="AG63" i="11" s="1"/>
  <c r="D63" i="4"/>
  <c r="AF63" i="11" s="1"/>
  <c r="C63" i="4"/>
  <c r="AE63" i="11" s="1"/>
  <c r="B63" i="4"/>
  <c r="AD63" i="11" s="1"/>
  <c r="U62" i="4"/>
  <c r="AW62" i="11" s="1"/>
  <c r="T62" i="4"/>
  <c r="S62" i="4"/>
  <c r="AU62" i="11" s="1"/>
  <c r="R62" i="4"/>
  <c r="Q62" i="4"/>
  <c r="P62" i="4"/>
  <c r="AR62" i="11" s="1"/>
  <c r="O62" i="4"/>
  <c r="AQ62" i="11" s="1"/>
  <c r="N62" i="4"/>
  <c r="AP62" i="11" s="1"/>
  <c r="M62" i="4"/>
  <c r="AO62" i="11" s="1"/>
  <c r="L62" i="4"/>
  <c r="AN62" i="11" s="1"/>
  <c r="K62" i="4"/>
  <c r="AM62" i="11" s="1"/>
  <c r="J62" i="4"/>
  <c r="AL62" i="11" s="1"/>
  <c r="I62" i="4"/>
  <c r="AK62" i="11" s="1"/>
  <c r="H62" i="4"/>
  <c r="AJ62" i="11" s="1"/>
  <c r="G62" i="4"/>
  <c r="AI62" i="11" s="1"/>
  <c r="F62" i="4"/>
  <c r="AH62" i="11" s="1"/>
  <c r="E62" i="4"/>
  <c r="AG62" i="11" s="1"/>
  <c r="D62" i="4"/>
  <c r="AF62" i="11" s="1"/>
  <c r="C62" i="4"/>
  <c r="AE62" i="11" s="1"/>
  <c r="B62" i="4"/>
  <c r="AD62" i="11" s="1"/>
  <c r="U61" i="4"/>
  <c r="AW61" i="11" s="1"/>
  <c r="T61" i="4"/>
  <c r="S61" i="4"/>
  <c r="AU61" i="11" s="1"/>
  <c r="R61" i="4"/>
  <c r="Q61" i="4"/>
  <c r="P61" i="4"/>
  <c r="AR61" i="11" s="1"/>
  <c r="O61" i="4"/>
  <c r="AQ61" i="11" s="1"/>
  <c r="N61" i="4"/>
  <c r="AP61" i="11" s="1"/>
  <c r="M61" i="4"/>
  <c r="AO61" i="11" s="1"/>
  <c r="L61" i="4"/>
  <c r="AN61" i="11" s="1"/>
  <c r="K61" i="4"/>
  <c r="AM61" i="11" s="1"/>
  <c r="J61" i="4"/>
  <c r="AL61" i="11" s="1"/>
  <c r="I61" i="4"/>
  <c r="AK61" i="11" s="1"/>
  <c r="H61" i="4"/>
  <c r="AJ61" i="11" s="1"/>
  <c r="G61" i="4"/>
  <c r="AI61" i="11" s="1"/>
  <c r="F61" i="4"/>
  <c r="AH61" i="11" s="1"/>
  <c r="E61" i="4"/>
  <c r="AG61" i="11" s="1"/>
  <c r="D61" i="4"/>
  <c r="AF61" i="11" s="1"/>
  <c r="C61" i="4"/>
  <c r="AE61" i="11" s="1"/>
  <c r="B61" i="4"/>
  <c r="AD61" i="11" s="1"/>
  <c r="U60" i="4"/>
  <c r="AW60" i="11" s="1"/>
  <c r="T60" i="4"/>
  <c r="S60" i="4"/>
  <c r="AU60" i="11" s="1"/>
  <c r="R60" i="4"/>
  <c r="Q60" i="4"/>
  <c r="P60" i="4"/>
  <c r="AR60" i="11" s="1"/>
  <c r="O60" i="4"/>
  <c r="AQ60" i="11" s="1"/>
  <c r="N60" i="4"/>
  <c r="AP60" i="11" s="1"/>
  <c r="M60" i="4"/>
  <c r="AO60" i="11" s="1"/>
  <c r="L60" i="4"/>
  <c r="AN60" i="11" s="1"/>
  <c r="K60" i="4"/>
  <c r="AM60" i="11" s="1"/>
  <c r="J60" i="4"/>
  <c r="AL60" i="11" s="1"/>
  <c r="I60" i="4"/>
  <c r="AK60" i="11" s="1"/>
  <c r="H60" i="4"/>
  <c r="AJ60" i="11" s="1"/>
  <c r="G60" i="4"/>
  <c r="AI60" i="11" s="1"/>
  <c r="F60" i="4"/>
  <c r="AH60" i="11" s="1"/>
  <c r="E60" i="4"/>
  <c r="AG60" i="11" s="1"/>
  <c r="D60" i="4"/>
  <c r="AF60" i="11" s="1"/>
  <c r="C60" i="4"/>
  <c r="AE60" i="11" s="1"/>
  <c r="B60" i="4"/>
  <c r="AD60" i="11" s="1"/>
  <c r="U59" i="4"/>
  <c r="AW59" i="11" s="1"/>
  <c r="T59" i="4"/>
  <c r="S59" i="4"/>
  <c r="AU59" i="11" s="1"/>
  <c r="R59" i="4"/>
  <c r="Q59" i="4"/>
  <c r="P59" i="4"/>
  <c r="AR59" i="11" s="1"/>
  <c r="O59" i="4"/>
  <c r="AQ59" i="11" s="1"/>
  <c r="N59" i="4"/>
  <c r="AP59" i="11" s="1"/>
  <c r="M59" i="4"/>
  <c r="AO59" i="11" s="1"/>
  <c r="L59" i="4"/>
  <c r="AN59" i="11" s="1"/>
  <c r="K59" i="4"/>
  <c r="AM59" i="11" s="1"/>
  <c r="J59" i="4"/>
  <c r="AL59" i="11" s="1"/>
  <c r="I59" i="4"/>
  <c r="AK59" i="11" s="1"/>
  <c r="H59" i="4"/>
  <c r="AJ59" i="11" s="1"/>
  <c r="G59" i="4"/>
  <c r="AI59" i="11" s="1"/>
  <c r="F59" i="4"/>
  <c r="AH59" i="11" s="1"/>
  <c r="E59" i="4"/>
  <c r="AG59" i="11" s="1"/>
  <c r="D59" i="4"/>
  <c r="AF59" i="11" s="1"/>
  <c r="C59" i="4"/>
  <c r="AE59" i="11" s="1"/>
  <c r="B59" i="4"/>
  <c r="AD59" i="11" s="1"/>
  <c r="U58" i="4"/>
  <c r="AW58" i="11" s="1"/>
  <c r="T58" i="4"/>
  <c r="S58" i="4"/>
  <c r="AU58" i="11" s="1"/>
  <c r="R58" i="4"/>
  <c r="Q58" i="4"/>
  <c r="P58" i="4"/>
  <c r="AR58" i="11" s="1"/>
  <c r="O58" i="4"/>
  <c r="AQ58" i="11" s="1"/>
  <c r="N58" i="4"/>
  <c r="AP58" i="11" s="1"/>
  <c r="M58" i="4"/>
  <c r="AO58" i="11" s="1"/>
  <c r="L58" i="4"/>
  <c r="AN58" i="11" s="1"/>
  <c r="K58" i="4"/>
  <c r="AM58" i="11" s="1"/>
  <c r="J58" i="4"/>
  <c r="AL58" i="11" s="1"/>
  <c r="I58" i="4"/>
  <c r="AK58" i="11" s="1"/>
  <c r="H58" i="4"/>
  <c r="AJ58" i="11" s="1"/>
  <c r="G58" i="4"/>
  <c r="AI58" i="11" s="1"/>
  <c r="F58" i="4"/>
  <c r="AH58" i="11" s="1"/>
  <c r="E58" i="4"/>
  <c r="AG58" i="11" s="1"/>
  <c r="D58" i="4"/>
  <c r="AF58" i="11" s="1"/>
  <c r="C58" i="4"/>
  <c r="AE58" i="11" s="1"/>
  <c r="B58" i="4"/>
  <c r="AD58" i="11" s="1"/>
  <c r="U57" i="4"/>
  <c r="AW57" i="11" s="1"/>
  <c r="T57" i="4"/>
  <c r="S57" i="4"/>
  <c r="AU57" i="11" s="1"/>
  <c r="R57" i="4"/>
  <c r="Q57" i="4"/>
  <c r="P57" i="4"/>
  <c r="AR57" i="11" s="1"/>
  <c r="O57" i="4"/>
  <c r="AQ57" i="11" s="1"/>
  <c r="N57" i="4"/>
  <c r="AP57" i="11" s="1"/>
  <c r="M57" i="4"/>
  <c r="AO57" i="11" s="1"/>
  <c r="L57" i="4"/>
  <c r="AN57" i="11" s="1"/>
  <c r="K57" i="4"/>
  <c r="AM57" i="11" s="1"/>
  <c r="J57" i="4"/>
  <c r="AL57" i="11" s="1"/>
  <c r="I57" i="4"/>
  <c r="AK57" i="11" s="1"/>
  <c r="H57" i="4"/>
  <c r="AJ57" i="11" s="1"/>
  <c r="G57" i="4"/>
  <c r="AI57" i="11" s="1"/>
  <c r="F57" i="4"/>
  <c r="AH57" i="11" s="1"/>
  <c r="E57" i="4"/>
  <c r="AG57" i="11" s="1"/>
  <c r="D57" i="4"/>
  <c r="AF57" i="11" s="1"/>
  <c r="C57" i="4"/>
  <c r="AE57" i="11" s="1"/>
  <c r="B57" i="4"/>
  <c r="AD57" i="11" s="1"/>
  <c r="U56" i="4"/>
  <c r="AW56" i="11" s="1"/>
  <c r="T56" i="4"/>
  <c r="S56" i="4"/>
  <c r="AU56" i="11" s="1"/>
  <c r="R56" i="4"/>
  <c r="Q56" i="4"/>
  <c r="P56" i="4"/>
  <c r="AR56" i="11" s="1"/>
  <c r="O56" i="4"/>
  <c r="AQ56" i="11" s="1"/>
  <c r="N56" i="4"/>
  <c r="AP56" i="11" s="1"/>
  <c r="M56" i="4"/>
  <c r="AO56" i="11" s="1"/>
  <c r="L56" i="4"/>
  <c r="AN56" i="11" s="1"/>
  <c r="K56" i="4"/>
  <c r="AM56" i="11" s="1"/>
  <c r="J56" i="4"/>
  <c r="AL56" i="11" s="1"/>
  <c r="I56" i="4"/>
  <c r="AK56" i="11" s="1"/>
  <c r="H56" i="4"/>
  <c r="AJ56" i="11" s="1"/>
  <c r="AI56" i="11"/>
  <c r="F56" i="4"/>
  <c r="AH56" i="11" s="1"/>
  <c r="E56" i="4"/>
  <c r="AG56" i="11" s="1"/>
  <c r="D56" i="4"/>
  <c r="AF56" i="11" s="1"/>
  <c r="C56" i="4"/>
  <c r="AE56" i="11" s="1"/>
  <c r="B56" i="4"/>
  <c r="AD56" i="11" s="1"/>
  <c r="U55" i="4"/>
  <c r="T55" i="4"/>
  <c r="S55" i="4"/>
  <c r="R55" i="4"/>
  <c r="Q55" i="4"/>
  <c r="P55" i="4"/>
  <c r="O55" i="4"/>
  <c r="N55" i="4"/>
  <c r="M55" i="4"/>
  <c r="L55" i="4"/>
  <c r="K55" i="4"/>
  <c r="J55" i="4"/>
  <c r="I55" i="4"/>
  <c r="H55" i="4"/>
  <c r="G55" i="4"/>
  <c r="F55" i="4"/>
  <c r="E55" i="4"/>
  <c r="D55" i="4"/>
  <c r="C55" i="4"/>
  <c r="B55" i="4"/>
  <c r="U53" i="4"/>
  <c r="AW53" i="11" s="1"/>
  <c r="T53" i="4"/>
  <c r="S53" i="4"/>
  <c r="AU53" i="11" s="1"/>
  <c r="R53" i="4"/>
  <c r="Q53" i="4"/>
  <c r="P53" i="4"/>
  <c r="AR53" i="11" s="1"/>
  <c r="O53" i="4"/>
  <c r="AQ53" i="11" s="1"/>
  <c r="N53" i="4"/>
  <c r="AP53" i="11" s="1"/>
  <c r="M53" i="4"/>
  <c r="AO53" i="11" s="1"/>
  <c r="L53" i="4"/>
  <c r="AN53" i="11" s="1"/>
  <c r="K53" i="4"/>
  <c r="AM53" i="11" s="1"/>
  <c r="J53" i="4"/>
  <c r="AL53" i="11" s="1"/>
  <c r="I53" i="4"/>
  <c r="AK53" i="11" s="1"/>
  <c r="H53" i="4"/>
  <c r="AJ53" i="11" s="1"/>
  <c r="G53" i="4"/>
  <c r="AI53" i="11" s="1"/>
  <c r="F53" i="4"/>
  <c r="AH53" i="11" s="1"/>
  <c r="E53" i="4"/>
  <c r="AG53" i="11" s="1"/>
  <c r="D53" i="4"/>
  <c r="AF53" i="11" s="1"/>
  <c r="C53" i="4"/>
  <c r="AE53" i="11" s="1"/>
  <c r="B53" i="4"/>
  <c r="AD53" i="11" s="1"/>
  <c r="U52" i="4"/>
  <c r="AW52" i="11" s="1"/>
  <c r="T52" i="4"/>
  <c r="S52" i="4"/>
  <c r="AU52" i="11" s="1"/>
  <c r="R52" i="4"/>
  <c r="Q52" i="4"/>
  <c r="P52" i="4"/>
  <c r="AR52" i="11" s="1"/>
  <c r="O52" i="4"/>
  <c r="AQ52" i="11" s="1"/>
  <c r="N52" i="4"/>
  <c r="AP52" i="11" s="1"/>
  <c r="M52" i="4"/>
  <c r="AO52" i="11" s="1"/>
  <c r="L52" i="4"/>
  <c r="AN52" i="11" s="1"/>
  <c r="K52" i="4"/>
  <c r="AM52" i="11" s="1"/>
  <c r="J52" i="4"/>
  <c r="AL52" i="11" s="1"/>
  <c r="I52" i="4"/>
  <c r="AK52" i="11" s="1"/>
  <c r="H52" i="4"/>
  <c r="AJ52" i="11" s="1"/>
  <c r="G52" i="4"/>
  <c r="AI52" i="11" s="1"/>
  <c r="F52" i="4"/>
  <c r="AH52" i="11" s="1"/>
  <c r="E52" i="4"/>
  <c r="AG52" i="11" s="1"/>
  <c r="D52" i="4"/>
  <c r="AF52" i="11" s="1"/>
  <c r="C52" i="4"/>
  <c r="AE52" i="11" s="1"/>
  <c r="B52" i="4"/>
  <c r="AD52" i="11" s="1"/>
  <c r="U51" i="4"/>
  <c r="AW51" i="11" s="1"/>
  <c r="T51" i="4"/>
  <c r="S51" i="4"/>
  <c r="AU51" i="11" s="1"/>
  <c r="R51" i="4"/>
  <c r="Q51" i="4"/>
  <c r="P51" i="4"/>
  <c r="AR51" i="11" s="1"/>
  <c r="O51" i="4"/>
  <c r="AQ51" i="11" s="1"/>
  <c r="N51" i="4"/>
  <c r="AP51" i="11" s="1"/>
  <c r="M51" i="4"/>
  <c r="AO51" i="11" s="1"/>
  <c r="L51" i="4"/>
  <c r="AN51" i="11" s="1"/>
  <c r="K51" i="4"/>
  <c r="AM51" i="11" s="1"/>
  <c r="J51" i="4"/>
  <c r="AL51" i="11" s="1"/>
  <c r="I51" i="4"/>
  <c r="AK51" i="11" s="1"/>
  <c r="H51" i="4"/>
  <c r="AJ51" i="11" s="1"/>
  <c r="G51" i="4"/>
  <c r="AI51" i="11" s="1"/>
  <c r="F51" i="4"/>
  <c r="AH51" i="11" s="1"/>
  <c r="E51" i="4"/>
  <c r="AG51" i="11" s="1"/>
  <c r="D51" i="4"/>
  <c r="AF51" i="11" s="1"/>
  <c r="C51" i="4"/>
  <c r="AE51" i="11" s="1"/>
  <c r="B51" i="4"/>
  <c r="AD51" i="11" s="1"/>
  <c r="U50" i="4"/>
  <c r="AW50" i="11" s="1"/>
  <c r="T50" i="4"/>
  <c r="S50" i="4"/>
  <c r="AU50" i="11" s="1"/>
  <c r="R50" i="4"/>
  <c r="Q50" i="4"/>
  <c r="P50" i="4"/>
  <c r="AR50" i="11" s="1"/>
  <c r="O50" i="4"/>
  <c r="AQ50" i="11" s="1"/>
  <c r="N50" i="4"/>
  <c r="AP50" i="11" s="1"/>
  <c r="M50" i="4"/>
  <c r="AO50" i="11" s="1"/>
  <c r="L50" i="4"/>
  <c r="AN50" i="11" s="1"/>
  <c r="K50" i="4"/>
  <c r="AM50" i="11" s="1"/>
  <c r="J50" i="4"/>
  <c r="AL50" i="11" s="1"/>
  <c r="I50" i="4"/>
  <c r="AK50" i="11" s="1"/>
  <c r="H50" i="4"/>
  <c r="AJ50" i="11" s="1"/>
  <c r="G50" i="4"/>
  <c r="AI50" i="11" s="1"/>
  <c r="F50" i="4"/>
  <c r="AH50" i="11" s="1"/>
  <c r="E50" i="4"/>
  <c r="AG50" i="11" s="1"/>
  <c r="D50" i="4"/>
  <c r="AF50" i="11" s="1"/>
  <c r="C50" i="4"/>
  <c r="AE50" i="11" s="1"/>
  <c r="B50" i="4"/>
  <c r="AD50" i="11" s="1"/>
  <c r="U49" i="4"/>
  <c r="AW49" i="11" s="1"/>
  <c r="T49" i="4"/>
  <c r="S49" i="4"/>
  <c r="AU49" i="11" s="1"/>
  <c r="R49" i="4"/>
  <c r="Q49" i="4"/>
  <c r="P49" i="4"/>
  <c r="AR49" i="11" s="1"/>
  <c r="O49" i="4"/>
  <c r="AQ49" i="11" s="1"/>
  <c r="N49" i="4"/>
  <c r="AP49" i="11" s="1"/>
  <c r="M49" i="4"/>
  <c r="AO49" i="11" s="1"/>
  <c r="L49" i="4"/>
  <c r="AN49" i="11" s="1"/>
  <c r="K49" i="4"/>
  <c r="AM49" i="11" s="1"/>
  <c r="J49" i="4"/>
  <c r="AL49" i="11" s="1"/>
  <c r="I49" i="4"/>
  <c r="AK49" i="11" s="1"/>
  <c r="H49" i="4"/>
  <c r="AJ49" i="11" s="1"/>
  <c r="G49" i="4"/>
  <c r="AI49" i="11" s="1"/>
  <c r="F49" i="4"/>
  <c r="AH49" i="11" s="1"/>
  <c r="E49" i="4"/>
  <c r="AG49" i="11" s="1"/>
  <c r="D49" i="4"/>
  <c r="AF49" i="11" s="1"/>
  <c r="C49" i="4"/>
  <c r="AE49" i="11" s="1"/>
  <c r="B49" i="4"/>
  <c r="AD49" i="11" s="1"/>
  <c r="U48" i="4"/>
  <c r="AW48" i="11" s="1"/>
  <c r="T48" i="4"/>
  <c r="S48" i="4"/>
  <c r="AU48" i="11" s="1"/>
  <c r="R48" i="4"/>
  <c r="Q48" i="4"/>
  <c r="P48" i="4"/>
  <c r="AR48" i="11" s="1"/>
  <c r="O48" i="4"/>
  <c r="AQ48" i="11" s="1"/>
  <c r="N48" i="4"/>
  <c r="AP48" i="11" s="1"/>
  <c r="M48" i="4"/>
  <c r="AO48" i="11" s="1"/>
  <c r="L48" i="4"/>
  <c r="AN48" i="11" s="1"/>
  <c r="K48" i="4"/>
  <c r="AM48" i="11" s="1"/>
  <c r="J48" i="4"/>
  <c r="AL48" i="11" s="1"/>
  <c r="I48" i="4"/>
  <c r="AK48" i="11" s="1"/>
  <c r="H48" i="4"/>
  <c r="AJ48" i="11" s="1"/>
  <c r="G48" i="4"/>
  <c r="AI48" i="11" s="1"/>
  <c r="F48" i="4"/>
  <c r="AH48" i="11" s="1"/>
  <c r="E48" i="4"/>
  <c r="AG48" i="11" s="1"/>
  <c r="D48" i="4"/>
  <c r="AF48" i="11" s="1"/>
  <c r="C48" i="4"/>
  <c r="AE48" i="11" s="1"/>
  <c r="B48" i="4"/>
  <c r="AD48" i="11" s="1"/>
  <c r="U47" i="4"/>
  <c r="AW47" i="11" s="1"/>
  <c r="T47" i="4"/>
  <c r="S47" i="4"/>
  <c r="AU47" i="11" s="1"/>
  <c r="R47" i="4"/>
  <c r="Q47" i="4"/>
  <c r="P47" i="4"/>
  <c r="AR47" i="11" s="1"/>
  <c r="O47" i="4"/>
  <c r="AQ47" i="11" s="1"/>
  <c r="N47" i="4"/>
  <c r="AP47" i="11" s="1"/>
  <c r="M47" i="4"/>
  <c r="AO47" i="11" s="1"/>
  <c r="L47" i="4"/>
  <c r="AN47" i="11" s="1"/>
  <c r="K47" i="4"/>
  <c r="AM47" i="11" s="1"/>
  <c r="J47" i="4"/>
  <c r="AL47" i="11" s="1"/>
  <c r="I47" i="4"/>
  <c r="AK47" i="11" s="1"/>
  <c r="H47" i="4"/>
  <c r="AJ47" i="11" s="1"/>
  <c r="G47" i="4"/>
  <c r="AI47" i="11" s="1"/>
  <c r="F47" i="4"/>
  <c r="AH47" i="11" s="1"/>
  <c r="E47" i="4"/>
  <c r="AG47" i="11" s="1"/>
  <c r="D47" i="4"/>
  <c r="AF47" i="11" s="1"/>
  <c r="C47" i="4"/>
  <c r="AE47" i="11" s="1"/>
  <c r="B47" i="4"/>
  <c r="AD47" i="11" s="1"/>
  <c r="U46" i="4"/>
  <c r="AW46" i="11" s="1"/>
  <c r="T46" i="4"/>
  <c r="S46" i="4"/>
  <c r="AU46" i="11" s="1"/>
  <c r="R46" i="4"/>
  <c r="Q46" i="4"/>
  <c r="P46" i="4"/>
  <c r="AR46" i="11" s="1"/>
  <c r="O46" i="4"/>
  <c r="AQ46" i="11" s="1"/>
  <c r="N46" i="4"/>
  <c r="AP46" i="11" s="1"/>
  <c r="M46" i="4"/>
  <c r="AO46" i="11" s="1"/>
  <c r="L46" i="4"/>
  <c r="AN46" i="11" s="1"/>
  <c r="K46" i="4"/>
  <c r="AM46" i="11" s="1"/>
  <c r="J46" i="4"/>
  <c r="AL46" i="11" s="1"/>
  <c r="I46" i="4"/>
  <c r="AK46" i="11" s="1"/>
  <c r="H46" i="4"/>
  <c r="AJ46" i="11" s="1"/>
  <c r="G46" i="4"/>
  <c r="AI46" i="11" s="1"/>
  <c r="F46" i="4"/>
  <c r="AH46" i="11" s="1"/>
  <c r="E46" i="4"/>
  <c r="AG46" i="11" s="1"/>
  <c r="D46" i="4"/>
  <c r="AF46" i="11" s="1"/>
  <c r="C46" i="4"/>
  <c r="AE46" i="11" s="1"/>
  <c r="B46" i="4"/>
  <c r="AD46" i="11" s="1"/>
  <c r="U45" i="4"/>
  <c r="AW45" i="11" s="1"/>
  <c r="T45" i="4"/>
  <c r="S45" i="4"/>
  <c r="AU45" i="11" s="1"/>
  <c r="R45" i="4"/>
  <c r="Q45" i="4"/>
  <c r="P45" i="4"/>
  <c r="AR45" i="11" s="1"/>
  <c r="O45" i="4"/>
  <c r="AQ45" i="11" s="1"/>
  <c r="N45" i="4"/>
  <c r="AP45" i="11" s="1"/>
  <c r="M45" i="4"/>
  <c r="AO45" i="11" s="1"/>
  <c r="L45" i="4"/>
  <c r="AN45" i="11" s="1"/>
  <c r="K45" i="4"/>
  <c r="AM45" i="11" s="1"/>
  <c r="J45" i="4"/>
  <c r="AL45" i="11" s="1"/>
  <c r="I45" i="4"/>
  <c r="AK45" i="11" s="1"/>
  <c r="H45" i="4"/>
  <c r="AJ45" i="11" s="1"/>
  <c r="G45" i="4"/>
  <c r="AI45" i="11" s="1"/>
  <c r="F45" i="4"/>
  <c r="AH45" i="11" s="1"/>
  <c r="E45" i="4"/>
  <c r="AG45" i="11" s="1"/>
  <c r="D45" i="4"/>
  <c r="AF45" i="11" s="1"/>
  <c r="C45" i="4"/>
  <c r="AE45" i="11" s="1"/>
  <c r="B45" i="4"/>
  <c r="AD45" i="11" s="1"/>
  <c r="U44" i="4"/>
  <c r="AW44" i="11" s="1"/>
  <c r="T44" i="4"/>
  <c r="S44" i="4"/>
  <c r="AU44" i="11" s="1"/>
  <c r="R44" i="4"/>
  <c r="Q44" i="4"/>
  <c r="P44" i="4"/>
  <c r="AR44" i="11" s="1"/>
  <c r="O44" i="4"/>
  <c r="AQ44" i="11" s="1"/>
  <c r="N44" i="4"/>
  <c r="AP44" i="11" s="1"/>
  <c r="M44" i="4"/>
  <c r="AO44" i="11" s="1"/>
  <c r="L44" i="4"/>
  <c r="AN44" i="11" s="1"/>
  <c r="K44" i="4"/>
  <c r="AM44" i="11" s="1"/>
  <c r="J44" i="4"/>
  <c r="AL44" i="11" s="1"/>
  <c r="I44" i="4"/>
  <c r="AK44" i="11" s="1"/>
  <c r="H44" i="4"/>
  <c r="AJ44" i="11" s="1"/>
  <c r="G44" i="4"/>
  <c r="AI44" i="11" s="1"/>
  <c r="F44" i="4"/>
  <c r="AH44" i="11" s="1"/>
  <c r="E44" i="4"/>
  <c r="AG44" i="11" s="1"/>
  <c r="D44" i="4"/>
  <c r="AF44" i="11" s="1"/>
  <c r="C44" i="4"/>
  <c r="AE44" i="11" s="1"/>
  <c r="B44" i="4"/>
  <c r="AD44" i="11" s="1"/>
  <c r="U43" i="4"/>
  <c r="AW43" i="11" s="1"/>
  <c r="T43" i="4"/>
  <c r="S43" i="4"/>
  <c r="AU43" i="11" s="1"/>
  <c r="R43" i="4"/>
  <c r="Q43" i="4"/>
  <c r="P43" i="4"/>
  <c r="AR43" i="11" s="1"/>
  <c r="O43" i="4"/>
  <c r="AQ43" i="11" s="1"/>
  <c r="N43" i="4"/>
  <c r="AP43" i="11" s="1"/>
  <c r="M43" i="4"/>
  <c r="AO43" i="11" s="1"/>
  <c r="L43" i="4"/>
  <c r="AN43" i="11" s="1"/>
  <c r="K43" i="4"/>
  <c r="AM43" i="11" s="1"/>
  <c r="J43" i="4"/>
  <c r="AL43" i="11" s="1"/>
  <c r="I43" i="4"/>
  <c r="AK43" i="11" s="1"/>
  <c r="H43" i="4"/>
  <c r="AJ43" i="11" s="1"/>
  <c r="G43" i="4"/>
  <c r="AI43" i="11" s="1"/>
  <c r="F43" i="4"/>
  <c r="AH43" i="11" s="1"/>
  <c r="E43" i="4"/>
  <c r="AG43" i="11" s="1"/>
  <c r="D43" i="4"/>
  <c r="AF43" i="11" s="1"/>
  <c r="C43" i="4"/>
  <c r="AE43" i="11" s="1"/>
  <c r="B43" i="4"/>
  <c r="AD43" i="11" s="1"/>
  <c r="U42" i="4"/>
  <c r="AW42" i="11" s="1"/>
  <c r="T42" i="4"/>
  <c r="S42" i="4"/>
  <c r="AU42" i="11" s="1"/>
  <c r="R42" i="4"/>
  <c r="Q42" i="4"/>
  <c r="P42" i="4"/>
  <c r="AR42" i="11" s="1"/>
  <c r="O42" i="4"/>
  <c r="AQ42" i="11" s="1"/>
  <c r="N42" i="4"/>
  <c r="AP42" i="11" s="1"/>
  <c r="M42" i="4"/>
  <c r="AO42" i="11" s="1"/>
  <c r="L42" i="4"/>
  <c r="AN42" i="11" s="1"/>
  <c r="K42" i="4"/>
  <c r="AM42" i="11" s="1"/>
  <c r="J42" i="4"/>
  <c r="AL42" i="11" s="1"/>
  <c r="I42" i="4"/>
  <c r="AK42" i="11" s="1"/>
  <c r="H42" i="4"/>
  <c r="AJ42" i="11" s="1"/>
  <c r="G42" i="4"/>
  <c r="AI42" i="11" s="1"/>
  <c r="F42" i="4"/>
  <c r="AH42" i="11" s="1"/>
  <c r="E42" i="4"/>
  <c r="AG42" i="11" s="1"/>
  <c r="D42" i="4"/>
  <c r="AF42" i="11" s="1"/>
  <c r="C42" i="4"/>
  <c r="AE42" i="11" s="1"/>
  <c r="B42" i="4"/>
  <c r="AD42" i="11" s="1"/>
  <c r="U41" i="4"/>
  <c r="T41" i="4"/>
  <c r="S41" i="4"/>
  <c r="R41" i="4"/>
  <c r="Q41" i="4"/>
  <c r="P41" i="4"/>
  <c r="O41" i="4"/>
  <c r="N41" i="4"/>
  <c r="M41" i="4"/>
  <c r="L41" i="4"/>
  <c r="K41" i="4"/>
  <c r="J41" i="4"/>
  <c r="I41" i="4"/>
  <c r="H41" i="4"/>
  <c r="G41" i="4"/>
  <c r="F41" i="4"/>
  <c r="E41" i="4"/>
  <c r="D41" i="4"/>
  <c r="C41" i="4"/>
  <c r="B41" i="4"/>
  <c r="U39" i="4"/>
  <c r="AW39" i="11" s="1"/>
  <c r="T39" i="4"/>
  <c r="S39" i="4"/>
  <c r="AU39" i="11" s="1"/>
  <c r="R39" i="4"/>
  <c r="Q39" i="4"/>
  <c r="P39" i="4"/>
  <c r="AR39" i="11" s="1"/>
  <c r="O39" i="4"/>
  <c r="AQ39" i="11" s="1"/>
  <c r="N39" i="4"/>
  <c r="AP39" i="11" s="1"/>
  <c r="M39" i="4"/>
  <c r="AO39" i="11" s="1"/>
  <c r="L39" i="4"/>
  <c r="AN39" i="11" s="1"/>
  <c r="K39" i="4"/>
  <c r="AM39" i="11" s="1"/>
  <c r="J39" i="4"/>
  <c r="AL39" i="11" s="1"/>
  <c r="I39" i="4"/>
  <c r="AK39" i="11" s="1"/>
  <c r="H39" i="4"/>
  <c r="AJ39" i="11" s="1"/>
  <c r="G39" i="4"/>
  <c r="AI39" i="11" s="1"/>
  <c r="F39" i="4"/>
  <c r="AH39" i="11" s="1"/>
  <c r="E39" i="4"/>
  <c r="AG39" i="11" s="1"/>
  <c r="D39" i="4"/>
  <c r="AF39" i="11" s="1"/>
  <c r="C39" i="4"/>
  <c r="AE39" i="11" s="1"/>
  <c r="B39" i="4"/>
  <c r="AD39" i="11" s="1"/>
  <c r="U38" i="4"/>
  <c r="AW38" i="11" s="1"/>
  <c r="T38" i="4"/>
  <c r="S38" i="4"/>
  <c r="AU38" i="11" s="1"/>
  <c r="R38" i="4"/>
  <c r="Q38" i="4"/>
  <c r="P38" i="4"/>
  <c r="AR38" i="11" s="1"/>
  <c r="O38" i="4"/>
  <c r="AQ38" i="11" s="1"/>
  <c r="N38" i="4"/>
  <c r="AP38" i="11" s="1"/>
  <c r="M38" i="4"/>
  <c r="AO38" i="11" s="1"/>
  <c r="L38" i="4"/>
  <c r="AN38" i="11" s="1"/>
  <c r="K38" i="4"/>
  <c r="AM38" i="11" s="1"/>
  <c r="J38" i="4"/>
  <c r="AL38" i="11" s="1"/>
  <c r="I38" i="4"/>
  <c r="AK38" i="11" s="1"/>
  <c r="H38" i="4"/>
  <c r="AJ38" i="11" s="1"/>
  <c r="G38" i="4"/>
  <c r="AI38" i="11" s="1"/>
  <c r="F38" i="4"/>
  <c r="AH38" i="11" s="1"/>
  <c r="E38" i="4"/>
  <c r="AG38" i="11" s="1"/>
  <c r="D38" i="4"/>
  <c r="AF38" i="11" s="1"/>
  <c r="C38" i="4"/>
  <c r="AE38" i="11" s="1"/>
  <c r="B38" i="4"/>
  <c r="AD38" i="11" s="1"/>
  <c r="U37" i="4"/>
  <c r="AW37" i="11" s="1"/>
  <c r="T37" i="4"/>
  <c r="S37" i="4"/>
  <c r="AU37" i="11" s="1"/>
  <c r="R37" i="4"/>
  <c r="Q37" i="4"/>
  <c r="P37" i="4"/>
  <c r="AR37" i="11" s="1"/>
  <c r="O37" i="4"/>
  <c r="AQ37" i="11" s="1"/>
  <c r="N37" i="4"/>
  <c r="AP37" i="11" s="1"/>
  <c r="M37" i="4"/>
  <c r="AO37" i="11" s="1"/>
  <c r="L37" i="4"/>
  <c r="AN37" i="11" s="1"/>
  <c r="K37" i="4"/>
  <c r="AM37" i="11" s="1"/>
  <c r="J37" i="4"/>
  <c r="AL37" i="11" s="1"/>
  <c r="I37" i="4"/>
  <c r="AK37" i="11" s="1"/>
  <c r="H37" i="4"/>
  <c r="AJ37" i="11" s="1"/>
  <c r="G37" i="4"/>
  <c r="AI37" i="11" s="1"/>
  <c r="F37" i="4"/>
  <c r="AH37" i="11" s="1"/>
  <c r="E37" i="4"/>
  <c r="AG37" i="11" s="1"/>
  <c r="D37" i="4"/>
  <c r="AF37" i="11" s="1"/>
  <c r="C37" i="4"/>
  <c r="AE37" i="11" s="1"/>
  <c r="B37" i="4"/>
  <c r="AD37" i="11" s="1"/>
  <c r="U36" i="4"/>
  <c r="AW36" i="11" s="1"/>
  <c r="T36" i="4"/>
  <c r="S36" i="4"/>
  <c r="AU36" i="11" s="1"/>
  <c r="R36" i="4"/>
  <c r="Q36" i="4"/>
  <c r="P36" i="4"/>
  <c r="AR36" i="11" s="1"/>
  <c r="O36" i="4"/>
  <c r="AQ36" i="11" s="1"/>
  <c r="N36" i="4"/>
  <c r="AP36" i="11" s="1"/>
  <c r="M36" i="4"/>
  <c r="AO36" i="11" s="1"/>
  <c r="L36" i="4"/>
  <c r="AN36" i="11" s="1"/>
  <c r="K36" i="4"/>
  <c r="AM36" i="11" s="1"/>
  <c r="J36" i="4"/>
  <c r="AL36" i="11" s="1"/>
  <c r="I36" i="4"/>
  <c r="AK36" i="11" s="1"/>
  <c r="H36" i="4"/>
  <c r="AJ36" i="11" s="1"/>
  <c r="G36" i="4"/>
  <c r="AI36" i="11" s="1"/>
  <c r="F36" i="4"/>
  <c r="AH36" i="11" s="1"/>
  <c r="E36" i="4"/>
  <c r="AG36" i="11" s="1"/>
  <c r="D36" i="4"/>
  <c r="AF36" i="11" s="1"/>
  <c r="C36" i="4"/>
  <c r="AE36" i="11" s="1"/>
  <c r="B36" i="4"/>
  <c r="AD36" i="11" s="1"/>
  <c r="U35" i="4"/>
  <c r="AW35" i="11" s="1"/>
  <c r="T35" i="4"/>
  <c r="S35" i="4"/>
  <c r="AU35" i="11" s="1"/>
  <c r="R35" i="4"/>
  <c r="Q35" i="4"/>
  <c r="P35" i="4"/>
  <c r="AR35" i="11" s="1"/>
  <c r="O35" i="4"/>
  <c r="AQ35" i="11" s="1"/>
  <c r="N35" i="4"/>
  <c r="AP35" i="11" s="1"/>
  <c r="M35" i="4"/>
  <c r="AO35" i="11" s="1"/>
  <c r="L35" i="4"/>
  <c r="AN35" i="11" s="1"/>
  <c r="K35" i="4"/>
  <c r="AM35" i="11" s="1"/>
  <c r="J35" i="4"/>
  <c r="AL35" i="11" s="1"/>
  <c r="I35" i="4"/>
  <c r="AK35" i="11" s="1"/>
  <c r="H35" i="4"/>
  <c r="AJ35" i="11" s="1"/>
  <c r="G35" i="4"/>
  <c r="AI35" i="11" s="1"/>
  <c r="F35" i="4"/>
  <c r="AH35" i="11" s="1"/>
  <c r="E35" i="4"/>
  <c r="AG35" i="11" s="1"/>
  <c r="D35" i="4"/>
  <c r="AF35" i="11" s="1"/>
  <c r="C35" i="4"/>
  <c r="AE35" i="11" s="1"/>
  <c r="B35" i="4"/>
  <c r="AD35" i="11" s="1"/>
  <c r="U34" i="4"/>
  <c r="AW34" i="11" s="1"/>
  <c r="T34" i="4"/>
  <c r="S34" i="4"/>
  <c r="AU34" i="11" s="1"/>
  <c r="R34" i="4"/>
  <c r="Q34" i="4"/>
  <c r="P34" i="4"/>
  <c r="AR34" i="11" s="1"/>
  <c r="O34" i="4"/>
  <c r="AQ34" i="11" s="1"/>
  <c r="N34" i="4"/>
  <c r="AP34" i="11" s="1"/>
  <c r="M34" i="4"/>
  <c r="AO34" i="11" s="1"/>
  <c r="L34" i="4"/>
  <c r="AN34" i="11" s="1"/>
  <c r="K34" i="4"/>
  <c r="AM34" i="11" s="1"/>
  <c r="J34" i="4"/>
  <c r="AL34" i="11" s="1"/>
  <c r="I34" i="4"/>
  <c r="AK34" i="11" s="1"/>
  <c r="H34" i="4"/>
  <c r="AJ34" i="11" s="1"/>
  <c r="G34" i="4"/>
  <c r="AI34" i="11" s="1"/>
  <c r="F34" i="4"/>
  <c r="AH34" i="11" s="1"/>
  <c r="E34" i="4"/>
  <c r="AG34" i="11" s="1"/>
  <c r="D34" i="4"/>
  <c r="AF34" i="11" s="1"/>
  <c r="C34" i="4"/>
  <c r="AE34" i="11" s="1"/>
  <c r="B34" i="4"/>
  <c r="AD34" i="11" s="1"/>
  <c r="U33" i="4"/>
  <c r="AW33" i="11" s="1"/>
  <c r="T33" i="4"/>
  <c r="S33" i="4"/>
  <c r="AU33" i="11" s="1"/>
  <c r="R33" i="4"/>
  <c r="Q33" i="4"/>
  <c r="P33" i="4"/>
  <c r="AR33" i="11" s="1"/>
  <c r="O33" i="4"/>
  <c r="AQ33" i="11" s="1"/>
  <c r="N33" i="4"/>
  <c r="AP33" i="11" s="1"/>
  <c r="M33" i="4"/>
  <c r="AO33" i="11" s="1"/>
  <c r="L33" i="4"/>
  <c r="AN33" i="11" s="1"/>
  <c r="K33" i="4"/>
  <c r="AM33" i="11" s="1"/>
  <c r="J33" i="4"/>
  <c r="AL33" i="11" s="1"/>
  <c r="I33" i="4"/>
  <c r="AK33" i="11" s="1"/>
  <c r="H33" i="4"/>
  <c r="AJ33" i="11" s="1"/>
  <c r="G33" i="4"/>
  <c r="AI33" i="11" s="1"/>
  <c r="F33" i="4"/>
  <c r="AH33" i="11" s="1"/>
  <c r="E33" i="4"/>
  <c r="AG33" i="11" s="1"/>
  <c r="D33" i="4"/>
  <c r="AF33" i="11" s="1"/>
  <c r="C33" i="4"/>
  <c r="AE33" i="11" s="1"/>
  <c r="B33" i="4"/>
  <c r="AD33" i="11" s="1"/>
  <c r="U32" i="4"/>
  <c r="AW32" i="11" s="1"/>
  <c r="T32" i="4"/>
  <c r="S32" i="4"/>
  <c r="AU32" i="11" s="1"/>
  <c r="R32" i="4"/>
  <c r="Q32" i="4"/>
  <c r="P32" i="4"/>
  <c r="AR32" i="11" s="1"/>
  <c r="O32" i="4"/>
  <c r="AQ32" i="11" s="1"/>
  <c r="N32" i="4"/>
  <c r="AP32" i="11" s="1"/>
  <c r="M32" i="4"/>
  <c r="AO32" i="11" s="1"/>
  <c r="L32" i="4"/>
  <c r="AN32" i="11" s="1"/>
  <c r="K32" i="4"/>
  <c r="AM32" i="11" s="1"/>
  <c r="J32" i="4"/>
  <c r="AL32" i="11" s="1"/>
  <c r="I32" i="4"/>
  <c r="AK32" i="11" s="1"/>
  <c r="H32" i="4"/>
  <c r="AJ32" i="11" s="1"/>
  <c r="G32" i="4"/>
  <c r="AI32" i="11" s="1"/>
  <c r="F32" i="4"/>
  <c r="AH32" i="11" s="1"/>
  <c r="E32" i="4"/>
  <c r="AG32" i="11" s="1"/>
  <c r="D32" i="4"/>
  <c r="AF32" i="11" s="1"/>
  <c r="C32" i="4"/>
  <c r="AE32" i="11" s="1"/>
  <c r="B32" i="4"/>
  <c r="AD32" i="11" s="1"/>
  <c r="U31" i="4"/>
  <c r="AW31" i="11" s="1"/>
  <c r="T31" i="4"/>
  <c r="S31" i="4"/>
  <c r="AU31" i="11" s="1"/>
  <c r="R31" i="4"/>
  <c r="Q31" i="4"/>
  <c r="P31" i="4"/>
  <c r="AR31" i="11" s="1"/>
  <c r="O31" i="4"/>
  <c r="AQ31" i="11" s="1"/>
  <c r="N31" i="4"/>
  <c r="AP31" i="11" s="1"/>
  <c r="M31" i="4"/>
  <c r="AO31" i="11" s="1"/>
  <c r="L31" i="4"/>
  <c r="AN31" i="11" s="1"/>
  <c r="K31" i="4"/>
  <c r="AM31" i="11" s="1"/>
  <c r="J31" i="4"/>
  <c r="AL31" i="11" s="1"/>
  <c r="I31" i="4"/>
  <c r="AK31" i="11" s="1"/>
  <c r="H31" i="4"/>
  <c r="AJ31" i="11" s="1"/>
  <c r="G31" i="4"/>
  <c r="AI31" i="11" s="1"/>
  <c r="F31" i="4"/>
  <c r="AH31" i="11" s="1"/>
  <c r="E31" i="4"/>
  <c r="AG31" i="11" s="1"/>
  <c r="D31" i="4"/>
  <c r="AF31" i="11" s="1"/>
  <c r="C31" i="4"/>
  <c r="AE31" i="11" s="1"/>
  <c r="B31" i="4"/>
  <c r="AD31" i="11" s="1"/>
  <c r="U30" i="4"/>
  <c r="AW30" i="11" s="1"/>
  <c r="T30" i="4"/>
  <c r="S30" i="4"/>
  <c r="AU30" i="11" s="1"/>
  <c r="R30" i="4"/>
  <c r="Q30" i="4"/>
  <c r="P30" i="4"/>
  <c r="AR30" i="11" s="1"/>
  <c r="O30" i="4"/>
  <c r="AQ30" i="11" s="1"/>
  <c r="N30" i="4"/>
  <c r="AP30" i="11" s="1"/>
  <c r="M30" i="4"/>
  <c r="AO30" i="11" s="1"/>
  <c r="L30" i="4"/>
  <c r="AN30" i="11" s="1"/>
  <c r="K30" i="4"/>
  <c r="AM30" i="11" s="1"/>
  <c r="J30" i="4"/>
  <c r="AL30" i="11" s="1"/>
  <c r="I30" i="4"/>
  <c r="AK30" i="11" s="1"/>
  <c r="H30" i="4"/>
  <c r="AJ30" i="11" s="1"/>
  <c r="G30" i="4"/>
  <c r="AI30" i="11" s="1"/>
  <c r="F30" i="4"/>
  <c r="AH30" i="11" s="1"/>
  <c r="E30" i="4"/>
  <c r="AG30" i="11" s="1"/>
  <c r="D30" i="4"/>
  <c r="AF30" i="11" s="1"/>
  <c r="C30" i="4"/>
  <c r="AE30" i="11" s="1"/>
  <c r="B30" i="4"/>
  <c r="AD30" i="11" s="1"/>
  <c r="U29" i="4"/>
  <c r="AW29" i="11" s="1"/>
  <c r="T29" i="4"/>
  <c r="S29" i="4"/>
  <c r="AU29" i="11" s="1"/>
  <c r="R29" i="4"/>
  <c r="Q29" i="4"/>
  <c r="P29" i="4"/>
  <c r="AR29" i="11" s="1"/>
  <c r="O29" i="4"/>
  <c r="AQ29" i="11" s="1"/>
  <c r="N29" i="4"/>
  <c r="AP29" i="11" s="1"/>
  <c r="M29" i="4"/>
  <c r="AO29" i="11" s="1"/>
  <c r="L29" i="4"/>
  <c r="AN29" i="11" s="1"/>
  <c r="K29" i="4"/>
  <c r="AM29" i="11" s="1"/>
  <c r="J29" i="4"/>
  <c r="AL29" i="11" s="1"/>
  <c r="I29" i="4"/>
  <c r="AK29" i="11" s="1"/>
  <c r="H29" i="4"/>
  <c r="AJ29" i="11" s="1"/>
  <c r="G29" i="4"/>
  <c r="AI29" i="11" s="1"/>
  <c r="F29" i="4"/>
  <c r="AH29" i="11" s="1"/>
  <c r="E29" i="4"/>
  <c r="AG29" i="11" s="1"/>
  <c r="D29" i="4"/>
  <c r="AF29" i="11" s="1"/>
  <c r="C29" i="4"/>
  <c r="AE29" i="11" s="1"/>
  <c r="B29" i="4"/>
  <c r="AD29" i="11" s="1"/>
  <c r="U28" i="4"/>
  <c r="AW28" i="11" s="1"/>
  <c r="T28" i="4"/>
  <c r="S28" i="4"/>
  <c r="AU28" i="11" s="1"/>
  <c r="R28" i="4"/>
  <c r="Q28" i="4"/>
  <c r="P28" i="4"/>
  <c r="AR28" i="11" s="1"/>
  <c r="O28" i="4"/>
  <c r="AQ28" i="11" s="1"/>
  <c r="N28" i="4"/>
  <c r="AP28" i="11" s="1"/>
  <c r="M28" i="4"/>
  <c r="AO28" i="11" s="1"/>
  <c r="L28" i="4"/>
  <c r="AN28" i="11" s="1"/>
  <c r="K28" i="4"/>
  <c r="AM28" i="11" s="1"/>
  <c r="J28" i="4"/>
  <c r="AL28" i="11" s="1"/>
  <c r="I28" i="4"/>
  <c r="AK28" i="11" s="1"/>
  <c r="H28" i="4"/>
  <c r="AJ28" i="11" s="1"/>
  <c r="G28" i="4"/>
  <c r="AI28" i="11" s="1"/>
  <c r="F28" i="4"/>
  <c r="AH28" i="11" s="1"/>
  <c r="E28" i="4"/>
  <c r="AG28" i="11" s="1"/>
  <c r="D28" i="4"/>
  <c r="AF28" i="11" s="1"/>
  <c r="C28" i="4"/>
  <c r="AE28" i="11" s="1"/>
  <c r="B28" i="4"/>
  <c r="AD28" i="11" s="1"/>
  <c r="U27" i="4"/>
  <c r="AW27" i="11" s="1"/>
  <c r="T27" i="4"/>
  <c r="S27" i="4"/>
  <c r="AU27" i="11" s="1"/>
  <c r="R27" i="4"/>
  <c r="Q27" i="4"/>
  <c r="P27" i="4"/>
  <c r="AR27" i="11" s="1"/>
  <c r="O27" i="4"/>
  <c r="AQ27" i="11" s="1"/>
  <c r="N27" i="4"/>
  <c r="AP27" i="11" s="1"/>
  <c r="M27" i="4"/>
  <c r="AO27" i="11" s="1"/>
  <c r="L27" i="4"/>
  <c r="AN27" i="11" s="1"/>
  <c r="K27" i="4"/>
  <c r="AM27" i="11" s="1"/>
  <c r="J27" i="4"/>
  <c r="AL27" i="11" s="1"/>
  <c r="I27" i="4"/>
  <c r="AK27" i="11" s="1"/>
  <c r="H27" i="4"/>
  <c r="AJ27" i="11" s="1"/>
  <c r="G27" i="4"/>
  <c r="AI27" i="11" s="1"/>
  <c r="F27" i="4"/>
  <c r="AH27" i="11" s="1"/>
  <c r="E27" i="4"/>
  <c r="AG27" i="11" s="1"/>
  <c r="D27" i="4"/>
  <c r="AF27" i="11" s="1"/>
  <c r="C27" i="4"/>
  <c r="AE27" i="11" s="1"/>
  <c r="B27" i="4"/>
  <c r="AD27" i="11" s="1"/>
  <c r="U26" i="4"/>
  <c r="T26" i="4"/>
  <c r="S26" i="4"/>
  <c r="R26" i="4"/>
  <c r="Q26" i="4"/>
  <c r="P26" i="4"/>
  <c r="O26" i="4"/>
  <c r="N26" i="4"/>
  <c r="M26" i="4"/>
  <c r="L26" i="4"/>
  <c r="K26" i="4"/>
  <c r="J26" i="4"/>
  <c r="I26" i="4"/>
  <c r="H26" i="4"/>
  <c r="G26" i="4"/>
  <c r="F26" i="4"/>
  <c r="E26" i="4"/>
  <c r="D26" i="4"/>
  <c r="C26" i="4"/>
  <c r="B26" i="4"/>
  <c r="U24" i="4"/>
  <c r="AW24" i="11" s="1"/>
  <c r="T24" i="4"/>
  <c r="S24" i="4"/>
  <c r="AU24" i="11" s="1"/>
  <c r="R24" i="4"/>
  <c r="Q24" i="4"/>
  <c r="P24" i="4"/>
  <c r="AR24" i="11" s="1"/>
  <c r="O24" i="4"/>
  <c r="AQ24" i="11" s="1"/>
  <c r="N24" i="4"/>
  <c r="AP24" i="11" s="1"/>
  <c r="M24" i="4"/>
  <c r="AO24" i="11" s="1"/>
  <c r="L24" i="4"/>
  <c r="AN24" i="11" s="1"/>
  <c r="K24" i="4"/>
  <c r="AM24" i="11" s="1"/>
  <c r="J24" i="4"/>
  <c r="I24" i="4"/>
  <c r="AK24" i="11" s="1"/>
  <c r="H24" i="4"/>
  <c r="G24" i="4"/>
  <c r="F24" i="4"/>
  <c r="AH24" i="11" s="1"/>
  <c r="E24" i="4"/>
  <c r="D24" i="4"/>
  <c r="AF24" i="11" s="1"/>
  <c r="C24" i="4"/>
  <c r="AE24" i="11" s="1"/>
  <c r="B24" i="4"/>
  <c r="AD24" i="11" s="1"/>
  <c r="U23" i="4"/>
  <c r="AW23" i="11" s="1"/>
  <c r="T23" i="4"/>
  <c r="S23" i="4"/>
  <c r="AU23" i="11" s="1"/>
  <c r="R23" i="4"/>
  <c r="Q23" i="4"/>
  <c r="P23" i="4"/>
  <c r="AR23" i="11" s="1"/>
  <c r="O23" i="4"/>
  <c r="AQ23" i="11" s="1"/>
  <c r="N23" i="4"/>
  <c r="AP23" i="11" s="1"/>
  <c r="M23" i="4"/>
  <c r="AO23" i="11" s="1"/>
  <c r="L23" i="4"/>
  <c r="AN23" i="11" s="1"/>
  <c r="K23" i="4"/>
  <c r="AM23" i="11" s="1"/>
  <c r="J23" i="4"/>
  <c r="I23" i="4"/>
  <c r="AK23" i="11" s="1"/>
  <c r="H23" i="4"/>
  <c r="G23" i="4"/>
  <c r="F23" i="4"/>
  <c r="AH23" i="11" s="1"/>
  <c r="E23" i="4"/>
  <c r="D23" i="4"/>
  <c r="AF23" i="11" s="1"/>
  <c r="C23" i="4"/>
  <c r="AE23" i="11" s="1"/>
  <c r="B23" i="4"/>
  <c r="AD23" i="11" s="1"/>
  <c r="U22" i="4"/>
  <c r="AW22" i="11" s="1"/>
  <c r="T22" i="4"/>
  <c r="S22" i="4"/>
  <c r="AU22" i="11" s="1"/>
  <c r="R22" i="4"/>
  <c r="Q22" i="4"/>
  <c r="P22" i="4"/>
  <c r="AR22" i="11" s="1"/>
  <c r="O22" i="4"/>
  <c r="AQ22" i="11" s="1"/>
  <c r="N22" i="4"/>
  <c r="AP22" i="11" s="1"/>
  <c r="M22" i="4"/>
  <c r="AO22" i="11" s="1"/>
  <c r="L22" i="4"/>
  <c r="AN22" i="11" s="1"/>
  <c r="K22" i="4"/>
  <c r="AM22" i="11" s="1"/>
  <c r="J22" i="4"/>
  <c r="I22" i="4"/>
  <c r="AK22" i="11" s="1"/>
  <c r="H22" i="4"/>
  <c r="G22" i="4"/>
  <c r="F22" i="4"/>
  <c r="AH22" i="11" s="1"/>
  <c r="E22" i="4"/>
  <c r="D22" i="4"/>
  <c r="AF22" i="11" s="1"/>
  <c r="C22" i="4"/>
  <c r="AE22" i="11" s="1"/>
  <c r="B22" i="4"/>
  <c r="AD22" i="11" s="1"/>
  <c r="U21" i="4"/>
  <c r="AW21" i="11" s="1"/>
  <c r="T21" i="4"/>
  <c r="S21" i="4"/>
  <c r="AU21" i="11" s="1"/>
  <c r="R21" i="4"/>
  <c r="Q21" i="4"/>
  <c r="P21" i="4"/>
  <c r="AR21" i="11" s="1"/>
  <c r="O21" i="4"/>
  <c r="AQ21" i="11" s="1"/>
  <c r="N21" i="4"/>
  <c r="AP21" i="11" s="1"/>
  <c r="M21" i="4"/>
  <c r="AO21" i="11" s="1"/>
  <c r="L21" i="4"/>
  <c r="AN21" i="11" s="1"/>
  <c r="K21" i="4"/>
  <c r="AM21" i="11" s="1"/>
  <c r="J21" i="4"/>
  <c r="I21" i="4"/>
  <c r="AK21" i="11" s="1"/>
  <c r="H21" i="4"/>
  <c r="G21" i="4"/>
  <c r="F21" i="4"/>
  <c r="AH21" i="11" s="1"/>
  <c r="E21" i="4"/>
  <c r="D21" i="4"/>
  <c r="AF21" i="11" s="1"/>
  <c r="C21" i="4"/>
  <c r="AE21" i="11" s="1"/>
  <c r="B21" i="4"/>
  <c r="AD21" i="11" s="1"/>
  <c r="U20" i="4"/>
  <c r="AW20" i="11" s="1"/>
  <c r="T20" i="4"/>
  <c r="S20" i="4"/>
  <c r="AU20" i="11" s="1"/>
  <c r="R20" i="4"/>
  <c r="Q20" i="4"/>
  <c r="P20" i="4"/>
  <c r="AR20" i="11" s="1"/>
  <c r="O20" i="4"/>
  <c r="AQ20" i="11" s="1"/>
  <c r="N20" i="4"/>
  <c r="AP20" i="11" s="1"/>
  <c r="M20" i="4"/>
  <c r="AO20" i="11" s="1"/>
  <c r="L20" i="4"/>
  <c r="AN20" i="11" s="1"/>
  <c r="K20" i="4"/>
  <c r="AM20" i="11" s="1"/>
  <c r="J20" i="4"/>
  <c r="I20" i="4"/>
  <c r="AK20" i="11" s="1"/>
  <c r="H20" i="4"/>
  <c r="G20" i="4"/>
  <c r="F20" i="4"/>
  <c r="AH20" i="11" s="1"/>
  <c r="E20" i="4"/>
  <c r="D20" i="4"/>
  <c r="AF20" i="11" s="1"/>
  <c r="C20" i="4"/>
  <c r="AE20" i="11" s="1"/>
  <c r="B20" i="4"/>
  <c r="AD20" i="11" s="1"/>
  <c r="U19" i="4"/>
  <c r="AW19" i="11" s="1"/>
  <c r="T19" i="4"/>
  <c r="S19" i="4"/>
  <c r="AU19" i="11" s="1"/>
  <c r="R19" i="4"/>
  <c r="Q19" i="4"/>
  <c r="P19" i="4"/>
  <c r="AR19" i="11" s="1"/>
  <c r="O19" i="4"/>
  <c r="AQ19" i="11" s="1"/>
  <c r="N19" i="4"/>
  <c r="AP19" i="11" s="1"/>
  <c r="M19" i="4"/>
  <c r="AO19" i="11" s="1"/>
  <c r="L19" i="4"/>
  <c r="AN19" i="11" s="1"/>
  <c r="K19" i="4"/>
  <c r="AM19" i="11" s="1"/>
  <c r="J19" i="4"/>
  <c r="I19" i="4"/>
  <c r="AK19" i="11" s="1"/>
  <c r="H19" i="4"/>
  <c r="G19" i="4"/>
  <c r="F19" i="4"/>
  <c r="AH19" i="11" s="1"/>
  <c r="E19" i="4"/>
  <c r="D19" i="4"/>
  <c r="AF19" i="11" s="1"/>
  <c r="C19" i="4"/>
  <c r="AE19" i="11" s="1"/>
  <c r="B19" i="4"/>
  <c r="AD19" i="11" s="1"/>
  <c r="U18" i="4"/>
  <c r="AW18" i="11" s="1"/>
  <c r="T18" i="4"/>
  <c r="S18" i="4"/>
  <c r="AU18" i="11" s="1"/>
  <c r="R18" i="4"/>
  <c r="Q18" i="4"/>
  <c r="P18" i="4"/>
  <c r="AR18" i="11" s="1"/>
  <c r="O18" i="4"/>
  <c r="AQ18" i="11" s="1"/>
  <c r="N18" i="4"/>
  <c r="AP18" i="11" s="1"/>
  <c r="M18" i="4"/>
  <c r="AO18" i="11" s="1"/>
  <c r="L18" i="4"/>
  <c r="AN18" i="11" s="1"/>
  <c r="K18" i="4"/>
  <c r="AM18" i="11" s="1"/>
  <c r="J18" i="4"/>
  <c r="I18" i="4"/>
  <c r="AK18" i="11" s="1"/>
  <c r="H18" i="4"/>
  <c r="G18" i="4"/>
  <c r="F18" i="4"/>
  <c r="AH18" i="11" s="1"/>
  <c r="E18" i="4"/>
  <c r="D18" i="4"/>
  <c r="AF18" i="11" s="1"/>
  <c r="C18" i="4"/>
  <c r="AE18" i="11" s="1"/>
  <c r="B18" i="4"/>
  <c r="AD18" i="11" s="1"/>
  <c r="U17" i="4"/>
  <c r="AW17" i="11" s="1"/>
  <c r="T17" i="4"/>
  <c r="S17" i="4"/>
  <c r="AU17" i="11" s="1"/>
  <c r="R17" i="4"/>
  <c r="Q17" i="4"/>
  <c r="P17" i="4"/>
  <c r="AR17" i="11" s="1"/>
  <c r="O17" i="4"/>
  <c r="AQ17" i="11" s="1"/>
  <c r="N17" i="4"/>
  <c r="AP17" i="11" s="1"/>
  <c r="M17" i="4"/>
  <c r="AO17" i="11" s="1"/>
  <c r="L17" i="4"/>
  <c r="AN17" i="11" s="1"/>
  <c r="K17" i="4"/>
  <c r="AM17" i="11" s="1"/>
  <c r="J17" i="4"/>
  <c r="I17" i="4"/>
  <c r="AK17" i="11" s="1"/>
  <c r="H17" i="4"/>
  <c r="G17" i="4"/>
  <c r="F17" i="4"/>
  <c r="AH17" i="11" s="1"/>
  <c r="E17" i="4"/>
  <c r="D17" i="4"/>
  <c r="AF17" i="11" s="1"/>
  <c r="C17" i="4"/>
  <c r="AE17" i="11" s="1"/>
  <c r="B17" i="4"/>
  <c r="AD17" i="11" s="1"/>
  <c r="U16" i="4"/>
  <c r="AW16" i="11" s="1"/>
  <c r="T16" i="4"/>
  <c r="S16" i="4"/>
  <c r="AU16" i="11" s="1"/>
  <c r="R16" i="4"/>
  <c r="Q16" i="4"/>
  <c r="P16" i="4"/>
  <c r="AR16" i="11" s="1"/>
  <c r="O16" i="4"/>
  <c r="AQ16" i="11" s="1"/>
  <c r="N16" i="4"/>
  <c r="AP16" i="11" s="1"/>
  <c r="M16" i="4"/>
  <c r="AO16" i="11" s="1"/>
  <c r="L16" i="4"/>
  <c r="AN16" i="11" s="1"/>
  <c r="K16" i="4"/>
  <c r="AM16" i="11" s="1"/>
  <c r="J16" i="4"/>
  <c r="I16" i="4"/>
  <c r="AK16" i="11" s="1"/>
  <c r="H16" i="4"/>
  <c r="G16" i="4"/>
  <c r="F16" i="4"/>
  <c r="AH16" i="11" s="1"/>
  <c r="E16" i="4"/>
  <c r="D16" i="4"/>
  <c r="C16" i="4"/>
  <c r="AE16" i="11" s="1"/>
  <c r="B16" i="4"/>
  <c r="AD16" i="11" s="1"/>
  <c r="U15" i="4"/>
  <c r="AW15" i="11" s="1"/>
  <c r="T15" i="4"/>
  <c r="S15" i="4"/>
  <c r="AU15" i="11" s="1"/>
  <c r="R15" i="4"/>
  <c r="Q15" i="4"/>
  <c r="P15" i="4"/>
  <c r="AR15" i="11" s="1"/>
  <c r="O15" i="4"/>
  <c r="AQ15" i="11" s="1"/>
  <c r="N15" i="4"/>
  <c r="AP15" i="11" s="1"/>
  <c r="M15" i="4"/>
  <c r="AO15" i="11" s="1"/>
  <c r="L15" i="4"/>
  <c r="AN15" i="11" s="1"/>
  <c r="K15" i="4"/>
  <c r="AM15" i="11" s="1"/>
  <c r="J15" i="4"/>
  <c r="I15" i="4"/>
  <c r="AK15" i="11" s="1"/>
  <c r="H15" i="4"/>
  <c r="G15" i="4"/>
  <c r="F15" i="4"/>
  <c r="AH15" i="11" s="1"/>
  <c r="E15" i="4"/>
  <c r="D15" i="4"/>
  <c r="AF15" i="11" s="1"/>
  <c r="C15" i="4"/>
  <c r="AE15" i="11" s="1"/>
  <c r="B15" i="4"/>
  <c r="AD15" i="11" s="1"/>
  <c r="U14" i="4"/>
  <c r="AW14" i="11" s="1"/>
  <c r="T14" i="4"/>
  <c r="S14" i="4"/>
  <c r="AU14" i="11" s="1"/>
  <c r="R14" i="4"/>
  <c r="Q14" i="4"/>
  <c r="P14" i="4"/>
  <c r="AR14" i="11" s="1"/>
  <c r="O14" i="4"/>
  <c r="AQ14" i="11" s="1"/>
  <c r="N14" i="4"/>
  <c r="AP14" i="11" s="1"/>
  <c r="M14" i="4"/>
  <c r="AO14" i="11" s="1"/>
  <c r="L14" i="4"/>
  <c r="AN14" i="11" s="1"/>
  <c r="K14" i="4"/>
  <c r="AM14" i="11" s="1"/>
  <c r="J14" i="4"/>
  <c r="I14" i="4"/>
  <c r="AK14" i="11" s="1"/>
  <c r="H14" i="4"/>
  <c r="G14" i="4"/>
  <c r="F14" i="4"/>
  <c r="AH14" i="11" s="1"/>
  <c r="E14" i="4"/>
  <c r="D14" i="4"/>
  <c r="AF14" i="11" s="1"/>
  <c r="C14" i="4"/>
  <c r="AE14" i="11" s="1"/>
  <c r="B14" i="4"/>
  <c r="AD14" i="11" s="1"/>
  <c r="U13" i="4"/>
  <c r="AW13" i="11" s="1"/>
  <c r="T13" i="4"/>
  <c r="S13" i="4"/>
  <c r="AU13" i="11" s="1"/>
  <c r="R13" i="4"/>
  <c r="Q13" i="4"/>
  <c r="P13" i="4"/>
  <c r="AR13" i="11" s="1"/>
  <c r="O13" i="4"/>
  <c r="AQ13" i="11" s="1"/>
  <c r="N13" i="4"/>
  <c r="AP13" i="11" s="1"/>
  <c r="M13" i="4"/>
  <c r="AO13" i="11" s="1"/>
  <c r="L13" i="4"/>
  <c r="AN13" i="11" s="1"/>
  <c r="K13" i="4"/>
  <c r="AM13" i="11" s="1"/>
  <c r="J13" i="4"/>
  <c r="I13" i="4"/>
  <c r="AK13" i="11" s="1"/>
  <c r="H13" i="4"/>
  <c r="AJ13" i="11" s="1"/>
  <c r="G13" i="4"/>
  <c r="F13" i="4"/>
  <c r="AH13" i="11" s="1"/>
  <c r="E13" i="4"/>
  <c r="D13" i="4"/>
  <c r="AF13" i="11" s="1"/>
  <c r="C13" i="4"/>
  <c r="AE13" i="11" s="1"/>
  <c r="B13" i="4"/>
  <c r="AD13" i="11" s="1"/>
  <c r="U12" i="4"/>
  <c r="AW12" i="11" s="1"/>
  <c r="T12" i="4"/>
  <c r="S12" i="4"/>
  <c r="AU12" i="11" s="1"/>
  <c r="R12" i="4"/>
  <c r="Q12" i="4"/>
  <c r="P12" i="4"/>
  <c r="AR12" i="11" s="1"/>
  <c r="O12" i="4"/>
  <c r="AQ12" i="11" s="1"/>
  <c r="N12" i="4"/>
  <c r="AP12" i="11" s="1"/>
  <c r="M12" i="4"/>
  <c r="AO12" i="11" s="1"/>
  <c r="L12" i="4"/>
  <c r="AN12" i="11" s="1"/>
  <c r="K12" i="4"/>
  <c r="AM12" i="11" s="1"/>
  <c r="J12" i="4"/>
  <c r="I12" i="4"/>
  <c r="AK12" i="11" s="1"/>
  <c r="H12" i="4"/>
  <c r="G12" i="4"/>
  <c r="F12" i="4"/>
  <c r="AH12" i="11" s="1"/>
  <c r="E12" i="4"/>
  <c r="D12" i="4"/>
  <c r="AF12" i="11" s="1"/>
  <c r="C12" i="4"/>
  <c r="AE12" i="11" s="1"/>
  <c r="B12" i="4"/>
  <c r="AD12" i="11" s="1"/>
  <c r="U11" i="4"/>
  <c r="AW11" i="11" s="1"/>
  <c r="T11" i="4"/>
  <c r="S11" i="4"/>
  <c r="AU11" i="11" s="1"/>
  <c r="R11" i="4"/>
  <c r="Q11" i="4"/>
  <c r="P11" i="4"/>
  <c r="AR11" i="11" s="1"/>
  <c r="O11" i="4"/>
  <c r="AQ11" i="11" s="1"/>
  <c r="N11" i="4"/>
  <c r="AP11" i="11" s="1"/>
  <c r="M11" i="4"/>
  <c r="AO11" i="11" s="1"/>
  <c r="L11" i="4"/>
  <c r="AN11" i="11" s="1"/>
  <c r="K11" i="4"/>
  <c r="AM11" i="11" s="1"/>
  <c r="J11" i="4"/>
  <c r="I11" i="4"/>
  <c r="AK11" i="11" s="1"/>
  <c r="H11" i="4"/>
  <c r="AJ11" i="11" s="1"/>
  <c r="G11" i="4"/>
  <c r="AI11" i="11" s="1"/>
  <c r="F11" i="4"/>
  <c r="AH11" i="11" s="1"/>
  <c r="E11" i="4"/>
  <c r="AG11" i="11" s="1"/>
  <c r="D11" i="4"/>
  <c r="AF11" i="11" s="1"/>
  <c r="C11" i="4"/>
  <c r="AE11" i="11" s="1"/>
  <c r="B11" i="4"/>
  <c r="AD11" i="11" s="1"/>
  <c r="U10" i="4"/>
  <c r="AW10" i="11" s="1"/>
  <c r="T10" i="4"/>
  <c r="S10" i="4"/>
  <c r="AU10" i="11" s="1"/>
  <c r="R10" i="4"/>
  <c r="Q10" i="4"/>
  <c r="P10" i="4"/>
  <c r="AR10" i="11" s="1"/>
  <c r="O10" i="4"/>
  <c r="AQ10" i="11" s="1"/>
  <c r="N10" i="4"/>
  <c r="AP10" i="11" s="1"/>
  <c r="M10" i="4"/>
  <c r="AO10" i="11" s="1"/>
  <c r="L10" i="4"/>
  <c r="AN10" i="11" s="1"/>
  <c r="K10" i="4"/>
  <c r="AM10" i="11" s="1"/>
  <c r="J10" i="4"/>
  <c r="I10" i="4"/>
  <c r="AK10" i="11" s="1"/>
  <c r="H10" i="4"/>
  <c r="G10" i="4"/>
  <c r="F10" i="4"/>
  <c r="AH10" i="11" s="1"/>
  <c r="E10" i="4"/>
  <c r="D10" i="4"/>
  <c r="AF10" i="11" s="1"/>
  <c r="C10" i="4"/>
  <c r="AE10" i="11" s="1"/>
  <c r="B10" i="4"/>
  <c r="AD10" i="11" s="1"/>
  <c r="U9" i="4"/>
  <c r="AW9" i="11" s="1"/>
  <c r="T9" i="4"/>
  <c r="S9" i="4"/>
  <c r="AU9" i="11" s="1"/>
  <c r="R9" i="4"/>
  <c r="Q9" i="4"/>
  <c r="P9" i="4"/>
  <c r="AR9" i="11" s="1"/>
  <c r="O9" i="4"/>
  <c r="AQ9" i="11" s="1"/>
  <c r="N9" i="4"/>
  <c r="AP9" i="11" s="1"/>
  <c r="M9" i="4"/>
  <c r="AO9" i="11" s="1"/>
  <c r="L9" i="4"/>
  <c r="AN9" i="11" s="1"/>
  <c r="K9" i="4"/>
  <c r="AM9" i="11" s="1"/>
  <c r="J9" i="4"/>
  <c r="I9" i="4"/>
  <c r="AK9" i="11" s="1"/>
  <c r="H9" i="4"/>
  <c r="G9" i="4"/>
  <c r="F9" i="4"/>
  <c r="AH9" i="11" s="1"/>
  <c r="E9" i="4"/>
  <c r="D9" i="4"/>
  <c r="AF9" i="11" s="1"/>
  <c r="C9" i="4"/>
  <c r="AE9" i="11" s="1"/>
  <c r="B9" i="4"/>
  <c r="AD9" i="11" s="1"/>
  <c r="U8" i="4"/>
  <c r="T8" i="4"/>
  <c r="S8" i="4"/>
  <c r="R8" i="4"/>
  <c r="Q8" i="4"/>
  <c r="P8" i="4"/>
  <c r="O8" i="4"/>
  <c r="N8" i="4"/>
  <c r="M8" i="4"/>
  <c r="L8" i="4"/>
  <c r="K8" i="4"/>
  <c r="J8" i="4"/>
  <c r="I8" i="4"/>
  <c r="H8" i="4"/>
  <c r="G8" i="4"/>
  <c r="F8" i="4"/>
  <c r="E8" i="4"/>
  <c r="D8" i="4"/>
  <c r="C8" i="4"/>
  <c r="B8" i="4"/>
  <c r="U65" i="23"/>
  <c r="AW65" i="31" s="1"/>
  <c r="S65" i="23"/>
  <c r="AU65" i="31" s="1"/>
  <c r="R65" i="23"/>
  <c r="Q65" i="23"/>
  <c r="P65" i="23"/>
  <c r="AR65" i="31" s="1"/>
  <c r="O65" i="23"/>
  <c r="AQ65" i="31" s="1"/>
  <c r="N65" i="23"/>
  <c r="AP65" i="31" s="1"/>
  <c r="M65" i="23"/>
  <c r="AO65" i="31" s="1"/>
  <c r="L65" i="23"/>
  <c r="AN65" i="31" s="1"/>
  <c r="K65" i="23"/>
  <c r="AM65" i="31" s="1"/>
  <c r="J65" i="23"/>
  <c r="AL65" i="31" s="1"/>
  <c r="I65" i="23"/>
  <c r="AK65" i="31" s="1"/>
  <c r="H65" i="23"/>
  <c r="AJ65" i="31" s="1"/>
  <c r="G65" i="23"/>
  <c r="AI65" i="31" s="1"/>
  <c r="F65" i="23"/>
  <c r="AH65" i="31" s="1"/>
  <c r="E65" i="23"/>
  <c r="AG65" i="31" s="1"/>
  <c r="D65" i="23"/>
  <c r="AF65" i="31" s="1"/>
  <c r="C65" i="23"/>
  <c r="AE65" i="31" s="1"/>
  <c r="B65" i="23"/>
  <c r="AD65" i="31" s="1"/>
  <c r="U64" i="23"/>
  <c r="AW64" i="31" s="1"/>
  <c r="T64" i="23"/>
  <c r="S64" i="23"/>
  <c r="AU64" i="31" s="1"/>
  <c r="R64" i="23"/>
  <c r="Q64" i="23"/>
  <c r="P64" i="23"/>
  <c r="AR64" i="31" s="1"/>
  <c r="O64" i="23"/>
  <c r="AQ64" i="31" s="1"/>
  <c r="N64" i="23"/>
  <c r="AP64" i="31" s="1"/>
  <c r="M64" i="23"/>
  <c r="AO64" i="31" s="1"/>
  <c r="L64" i="23"/>
  <c r="AN64" i="31" s="1"/>
  <c r="K64" i="23"/>
  <c r="AM64" i="31" s="1"/>
  <c r="J64" i="23"/>
  <c r="AL64" i="31" s="1"/>
  <c r="I64" i="23"/>
  <c r="AK64" i="31" s="1"/>
  <c r="H64" i="23"/>
  <c r="AJ64" i="31" s="1"/>
  <c r="G64" i="23"/>
  <c r="AI64" i="31" s="1"/>
  <c r="F64" i="23"/>
  <c r="AH64" i="31" s="1"/>
  <c r="E64" i="23"/>
  <c r="AG64" i="31" s="1"/>
  <c r="D64" i="23"/>
  <c r="AF64" i="31" s="1"/>
  <c r="C64" i="23"/>
  <c r="AE64" i="31" s="1"/>
  <c r="B64" i="23"/>
  <c r="AD64" i="31" s="1"/>
  <c r="U63" i="23"/>
  <c r="AW63" i="31" s="1"/>
  <c r="T63" i="23"/>
  <c r="S63" i="23"/>
  <c r="AU63" i="31" s="1"/>
  <c r="R63" i="23"/>
  <c r="Q63" i="23"/>
  <c r="P63" i="23"/>
  <c r="AR63" i="31" s="1"/>
  <c r="O63" i="23"/>
  <c r="AQ63" i="31" s="1"/>
  <c r="N63" i="23"/>
  <c r="AP63" i="31" s="1"/>
  <c r="M63" i="23"/>
  <c r="AO63" i="31" s="1"/>
  <c r="L63" i="23"/>
  <c r="AN63" i="31" s="1"/>
  <c r="K63" i="23"/>
  <c r="AM63" i="31" s="1"/>
  <c r="J63" i="23"/>
  <c r="AL63" i="31" s="1"/>
  <c r="I63" i="23"/>
  <c r="AK63" i="31" s="1"/>
  <c r="H63" i="23"/>
  <c r="AJ63" i="31" s="1"/>
  <c r="G63" i="23"/>
  <c r="AI63" i="31" s="1"/>
  <c r="F63" i="23"/>
  <c r="AH63" i="31" s="1"/>
  <c r="E63" i="23"/>
  <c r="AG63" i="31" s="1"/>
  <c r="D63" i="23"/>
  <c r="AF63" i="31" s="1"/>
  <c r="C63" i="23"/>
  <c r="AE63" i="31" s="1"/>
  <c r="B63" i="23"/>
  <c r="AD63" i="31" s="1"/>
  <c r="U62" i="23"/>
  <c r="AW62" i="31" s="1"/>
  <c r="T62" i="23"/>
  <c r="S62" i="23"/>
  <c r="AU62" i="31" s="1"/>
  <c r="R62" i="23"/>
  <c r="Q62" i="23"/>
  <c r="P62" i="23"/>
  <c r="AR62" i="31" s="1"/>
  <c r="O62" i="23"/>
  <c r="AQ62" i="31" s="1"/>
  <c r="N62" i="23"/>
  <c r="AP62" i="31" s="1"/>
  <c r="M62" i="23"/>
  <c r="AO62" i="31" s="1"/>
  <c r="L62" i="23"/>
  <c r="AN62" i="31" s="1"/>
  <c r="K62" i="23"/>
  <c r="AM62" i="31" s="1"/>
  <c r="J62" i="23"/>
  <c r="AL62" i="31" s="1"/>
  <c r="I62" i="23"/>
  <c r="AK62" i="31" s="1"/>
  <c r="H62" i="23"/>
  <c r="AJ62" i="31" s="1"/>
  <c r="G62" i="23"/>
  <c r="AI62" i="31" s="1"/>
  <c r="F62" i="23"/>
  <c r="AH62" i="31" s="1"/>
  <c r="E62" i="23"/>
  <c r="AG62" i="31" s="1"/>
  <c r="D62" i="23"/>
  <c r="AF62" i="31" s="1"/>
  <c r="C62" i="23"/>
  <c r="AE62" i="31" s="1"/>
  <c r="B62" i="23"/>
  <c r="AD62" i="31" s="1"/>
  <c r="U61" i="23"/>
  <c r="AW61" i="31" s="1"/>
  <c r="T61" i="23"/>
  <c r="S61" i="23"/>
  <c r="AU61" i="31" s="1"/>
  <c r="R61" i="23"/>
  <c r="Q61" i="23"/>
  <c r="P61" i="23"/>
  <c r="AR61" i="31" s="1"/>
  <c r="O61" i="23"/>
  <c r="AQ61" i="31" s="1"/>
  <c r="N61" i="23"/>
  <c r="AP61" i="31" s="1"/>
  <c r="M61" i="23"/>
  <c r="AO61" i="31" s="1"/>
  <c r="L61" i="23"/>
  <c r="AN61" i="31" s="1"/>
  <c r="K61" i="23"/>
  <c r="AM61" i="31" s="1"/>
  <c r="J61" i="23"/>
  <c r="AL61" i="31" s="1"/>
  <c r="I61" i="23"/>
  <c r="AK61" i="31" s="1"/>
  <c r="H61" i="23"/>
  <c r="AJ61" i="31" s="1"/>
  <c r="G61" i="23"/>
  <c r="AI61" i="31" s="1"/>
  <c r="F61" i="23"/>
  <c r="AH61" i="31" s="1"/>
  <c r="E61" i="23"/>
  <c r="AG61" i="31" s="1"/>
  <c r="D61" i="23"/>
  <c r="AF61" i="31" s="1"/>
  <c r="C61" i="23"/>
  <c r="AE61" i="31" s="1"/>
  <c r="B61" i="23"/>
  <c r="AD61" i="31" s="1"/>
  <c r="U60" i="23"/>
  <c r="AW60" i="31" s="1"/>
  <c r="T60" i="23"/>
  <c r="S60" i="23"/>
  <c r="AU60" i="31" s="1"/>
  <c r="R60" i="23"/>
  <c r="Q60" i="23"/>
  <c r="P60" i="23"/>
  <c r="AR60" i="31" s="1"/>
  <c r="O60" i="23"/>
  <c r="AQ60" i="31" s="1"/>
  <c r="N60" i="23"/>
  <c r="AP60" i="31" s="1"/>
  <c r="M60" i="23"/>
  <c r="AO60" i="31" s="1"/>
  <c r="L60" i="23"/>
  <c r="AN60" i="31" s="1"/>
  <c r="K60" i="23"/>
  <c r="AM60" i="31" s="1"/>
  <c r="J60" i="23"/>
  <c r="AL60" i="31" s="1"/>
  <c r="I60" i="23"/>
  <c r="AK60" i="31" s="1"/>
  <c r="H60" i="23"/>
  <c r="AJ60" i="31" s="1"/>
  <c r="G60" i="23"/>
  <c r="AI60" i="31" s="1"/>
  <c r="F60" i="23"/>
  <c r="AH60" i="31" s="1"/>
  <c r="E60" i="23"/>
  <c r="AG60" i="31" s="1"/>
  <c r="D60" i="23"/>
  <c r="AF60" i="31" s="1"/>
  <c r="C60" i="23"/>
  <c r="AE60" i="31" s="1"/>
  <c r="B60" i="23"/>
  <c r="AD60" i="31" s="1"/>
  <c r="U59" i="23"/>
  <c r="AW59" i="31" s="1"/>
  <c r="T59" i="23"/>
  <c r="S59" i="23"/>
  <c r="AU59" i="31" s="1"/>
  <c r="R59" i="23"/>
  <c r="Q59" i="23"/>
  <c r="P59" i="23"/>
  <c r="AR59" i="31" s="1"/>
  <c r="O59" i="23"/>
  <c r="AQ59" i="31" s="1"/>
  <c r="N59" i="23"/>
  <c r="AP59" i="31" s="1"/>
  <c r="M59" i="23"/>
  <c r="AO59" i="31" s="1"/>
  <c r="L59" i="23"/>
  <c r="AN59" i="31" s="1"/>
  <c r="K59" i="23"/>
  <c r="AM59" i="31" s="1"/>
  <c r="J59" i="23"/>
  <c r="AL59" i="31" s="1"/>
  <c r="I59" i="23"/>
  <c r="AK59" i="31" s="1"/>
  <c r="H59" i="23"/>
  <c r="AJ59" i="31" s="1"/>
  <c r="G59" i="23"/>
  <c r="AI59" i="31" s="1"/>
  <c r="F59" i="23"/>
  <c r="AH59" i="31" s="1"/>
  <c r="E59" i="23"/>
  <c r="AG59" i="31" s="1"/>
  <c r="D59" i="23"/>
  <c r="AF59" i="31" s="1"/>
  <c r="C59" i="23"/>
  <c r="AE59" i="31" s="1"/>
  <c r="B59" i="23"/>
  <c r="AD59" i="31" s="1"/>
  <c r="U58" i="23"/>
  <c r="AW58" i="31" s="1"/>
  <c r="T58" i="23"/>
  <c r="S58" i="23"/>
  <c r="AU58" i="31" s="1"/>
  <c r="R58" i="23"/>
  <c r="Q58" i="23"/>
  <c r="P58" i="23"/>
  <c r="AR58" i="31" s="1"/>
  <c r="O58" i="23"/>
  <c r="AQ58" i="31" s="1"/>
  <c r="N58" i="23"/>
  <c r="AP58" i="31" s="1"/>
  <c r="M58" i="23"/>
  <c r="AO58" i="31" s="1"/>
  <c r="L58" i="23"/>
  <c r="AN58" i="31" s="1"/>
  <c r="K58" i="23"/>
  <c r="AM58" i="31" s="1"/>
  <c r="J58" i="23"/>
  <c r="AL58" i="31" s="1"/>
  <c r="I58" i="23"/>
  <c r="AK58" i="31" s="1"/>
  <c r="H58" i="23"/>
  <c r="AJ58" i="31" s="1"/>
  <c r="G58" i="23"/>
  <c r="AI58" i="31" s="1"/>
  <c r="F58" i="23"/>
  <c r="AH58" i="31" s="1"/>
  <c r="E58" i="23"/>
  <c r="AG58" i="31" s="1"/>
  <c r="D58" i="23"/>
  <c r="AF58" i="31" s="1"/>
  <c r="C58" i="23"/>
  <c r="AE58" i="31" s="1"/>
  <c r="B58" i="23"/>
  <c r="AD58" i="31" s="1"/>
  <c r="U57" i="23"/>
  <c r="AW57" i="31" s="1"/>
  <c r="T57" i="23"/>
  <c r="S57" i="23"/>
  <c r="AU57" i="31" s="1"/>
  <c r="R57" i="23"/>
  <c r="Q57" i="23"/>
  <c r="P57" i="23"/>
  <c r="AR57" i="31" s="1"/>
  <c r="O57" i="23"/>
  <c r="AQ57" i="31" s="1"/>
  <c r="N57" i="23"/>
  <c r="AP57" i="31" s="1"/>
  <c r="M57" i="23"/>
  <c r="AO57" i="31" s="1"/>
  <c r="L57" i="23"/>
  <c r="AN57" i="31" s="1"/>
  <c r="K57" i="23"/>
  <c r="AM57" i="31" s="1"/>
  <c r="J57" i="23"/>
  <c r="AL57" i="31" s="1"/>
  <c r="I57" i="23"/>
  <c r="AK57" i="31" s="1"/>
  <c r="H57" i="23"/>
  <c r="AJ57" i="31" s="1"/>
  <c r="G57" i="23"/>
  <c r="AI57" i="31" s="1"/>
  <c r="F57" i="23"/>
  <c r="AH57" i="31" s="1"/>
  <c r="E57" i="23"/>
  <c r="AG57" i="31" s="1"/>
  <c r="D57" i="23"/>
  <c r="AF57" i="31" s="1"/>
  <c r="C57" i="23"/>
  <c r="AE57" i="31" s="1"/>
  <c r="B57" i="23"/>
  <c r="AD57" i="31" s="1"/>
  <c r="U56" i="23"/>
  <c r="AW56" i="31" s="1"/>
  <c r="T56" i="23"/>
  <c r="S56" i="23"/>
  <c r="AU56" i="31" s="1"/>
  <c r="R56" i="23"/>
  <c r="Q56" i="23"/>
  <c r="P56" i="23"/>
  <c r="AR56" i="31" s="1"/>
  <c r="O56" i="23"/>
  <c r="AQ56" i="31" s="1"/>
  <c r="N56" i="23"/>
  <c r="AP56" i="31" s="1"/>
  <c r="M56" i="23"/>
  <c r="AO56" i="31" s="1"/>
  <c r="L56" i="23"/>
  <c r="AN56" i="31" s="1"/>
  <c r="K56" i="23"/>
  <c r="AM56" i="31" s="1"/>
  <c r="J56" i="23"/>
  <c r="AL56" i="31" s="1"/>
  <c r="I56" i="23"/>
  <c r="AK56" i="31" s="1"/>
  <c r="H56" i="23"/>
  <c r="AJ56" i="31" s="1"/>
  <c r="AI56" i="31"/>
  <c r="F56" i="23"/>
  <c r="AH56" i="31" s="1"/>
  <c r="E56" i="23"/>
  <c r="AG56" i="31" s="1"/>
  <c r="D56" i="23"/>
  <c r="AF56" i="31" s="1"/>
  <c r="C56" i="23"/>
  <c r="AE56" i="31" s="1"/>
  <c r="B56" i="23"/>
  <c r="AD56" i="31" s="1"/>
  <c r="U55" i="23"/>
  <c r="T55" i="23"/>
  <c r="S55" i="23"/>
  <c r="R55" i="23"/>
  <c r="Q55" i="23"/>
  <c r="P55" i="23"/>
  <c r="O55" i="23"/>
  <c r="N55" i="23"/>
  <c r="M55" i="23"/>
  <c r="L55" i="23"/>
  <c r="K55" i="23"/>
  <c r="J55" i="23"/>
  <c r="I55" i="23"/>
  <c r="H55" i="23"/>
  <c r="G55" i="23"/>
  <c r="F55" i="23"/>
  <c r="E55" i="23"/>
  <c r="D55" i="23"/>
  <c r="C55" i="23"/>
  <c r="B55" i="23"/>
  <c r="U53" i="23"/>
  <c r="AW53" i="31" s="1"/>
  <c r="T53" i="23"/>
  <c r="S53" i="23"/>
  <c r="AU53" i="31" s="1"/>
  <c r="R53" i="23"/>
  <c r="Q53" i="23"/>
  <c r="P53" i="23"/>
  <c r="AR53" i="31" s="1"/>
  <c r="O53" i="23"/>
  <c r="AQ53" i="31" s="1"/>
  <c r="N53" i="23"/>
  <c r="AP53" i="31" s="1"/>
  <c r="M53" i="23"/>
  <c r="AO53" i="31" s="1"/>
  <c r="L53" i="23"/>
  <c r="AN53" i="31" s="1"/>
  <c r="K53" i="23"/>
  <c r="AM53" i="31" s="1"/>
  <c r="J53" i="23"/>
  <c r="AL53" i="31" s="1"/>
  <c r="I53" i="23"/>
  <c r="AK53" i="31" s="1"/>
  <c r="H53" i="23"/>
  <c r="AJ53" i="31" s="1"/>
  <c r="G53" i="23"/>
  <c r="AI53" i="31" s="1"/>
  <c r="F53" i="23"/>
  <c r="AH53" i="31" s="1"/>
  <c r="E53" i="23"/>
  <c r="AG53" i="31" s="1"/>
  <c r="D53" i="23"/>
  <c r="AF53" i="31" s="1"/>
  <c r="C53" i="23"/>
  <c r="AE53" i="31" s="1"/>
  <c r="B53" i="23"/>
  <c r="AD53" i="31" s="1"/>
  <c r="U52" i="23"/>
  <c r="AW52" i="31" s="1"/>
  <c r="T52" i="23"/>
  <c r="S52" i="23"/>
  <c r="AU52" i="31" s="1"/>
  <c r="R52" i="23"/>
  <c r="Q52" i="23"/>
  <c r="P52" i="23"/>
  <c r="AR52" i="31" s="1"/>
  <c r="O52" i="23"/>
  <c r="AQ52" i="31" s="1"/>
  <c r="N52" i="23"/>
  <c r="AP52" i="31" s="1"/>
  <c r="M52" i="23"/>
  <c r="AO52" i="31" s="1"/>
  <c r="L52" i="23"/>
  <c r="AN52" i="31" s="1"/>
  <c r="K52" i="23"/>
  <c r="AM52" i="31" s="1"/>
  <c r="J52" i="23"/>
  <c r="AL52" i="31" s="1"/>
  <c r="I52" i="23"/>
  <c r="AK52" i="31" s="1"/>
  <c r="H52" i="23"/>
  <c r="AJ52" i="31" s="1"/>
  <c r="G52" i="23"/>
  <c r="AI52" i="31" s="1"/>
  <c r="F52" i="23"/>
  <c r="AH52" i="31" s="1"/>
  <c r="E52" i="23"/>
  <c r="AG52" i="31" s="1"/>
  <c r="D52" i="23"/>
  <c r="AF52" i="31" s="1"/>
  <c r="C52" i="23"/>
  <c r="AE52" i="31" s="1"/>
  <c r="B52" i="23"/>
  <c r="AD52" i="31" s="1"/>
  <c r="U51" i="23"/>
  <c r="AW51" i="31" s="1"/>
  <c r="T51" i="23"/>
  <c r="S51" i="23"/>
  <c r="AU51" i="31" s="1"/>
  <c r="R51" i="23"/>
  <c r="Q51" i="23"/>
  <c r="P51" i="23"/>
  <c r="AR51" i="31" s="1"/>
  <c r="O51" i="23"/>
  <c r="AQ51" i="31" s="1"/>
  <c r="N51" i="23"/>
  <c r="AP51" i="31" s="1"/>
  <c r="M51" i="23"/>
  <c r="AO51" i="31" s="1"/>
  <c r="L51" i="23"/>
  <c r="AN51" i="31" s="1"/>
  <c r="K51" i="23"/>
  <c r="AM51" i="31" s="1"/>
  <c r="J51" i="23"/>
  <c r="AL51" i="31" s="1"/>
  <c r="I51" i="23"/>
  <c r="AK51" i="31" s="1"/>
  <c r="H51" i="23"/>
  <c r="AJ51" i="31" s="1"/>
  <c r="G51" i="23"/>
  <c r="AI51" i="31" s="1"/>
  <c r="F51" i="23"/>
  <c r="AH51" i="31" s="1"/>
  <c r="E51" i="23"/>
  <c r="AG51" i="31" s="1"/>
  <c r="D51" i="23"/>
  <c r="AF51" i="31" s="1"/>
  <c r="C51" i="23"/>
  <c r="AE51" i="31" s="1"/>
  <c r="B51" i="23"/>
  <c r="AD51" i="31" s="1"/>
  <c r="U50" i="23"/>
  <c r="AW50" i="31" s="1"/>
  <c r="T50" i="23"/>
  <c r="S50" i="23"/>
  <c r="AU50" i="31" s="1"/>
  <c r="R50" i="23"/>
  <c r="Q50" i="23"/>
  <c r="P50" i="23"/>
  <c r="AR50" i="31" s="1"/>
  <c r="O50" i="23"/>
  <c r="AQ50" i="31" s="1"/>
  <c r="N50" i="23"/>
  <c r="AP50" i="31" s="1"/>
  <c r="M50" i="23"/>
  <c r="AO50" i="31" s="1"/>
  <c r="L50" i="23"/>
  <c r="AN50" i="31" s="1"/>
  <c r="K50" i="23"/>
  <c r="AM50" i="31" s="1"/>
  <c r="J50" i="23"/>
  <c r="AL50" i="31" s="1"/>
  <c r="I50" i="23"/>
  <c r="AK50" i="31" s="1"/>
  <c r="H50" i="23"/>
  <c r="AJ50" i="31" s="1"/>
  <c r="G50" i="23"/>
  <c r="AI50" i="31" s="1"/>
  <c r="F50" i="23"/>
  <c r="AH50" i="31" s="1"/>
  <c r="E50" i="23"/>
  <c r="AG50" i="31" s="1"/>
  <c r="D50" i="23"/>
  <c r="AF50" i="31" s="1"/>
  <c r="C50" i="23"/>
  <c r="AE50" i="31" s="1"/>
  <c r="B50" i="23"/>
  <c r="AD50" i="31" s="1"/>
  <c r="U49" i="23"/>
  <c r="AW49" i="31" s="1"/>
  <c r="T49" i="23"/>
  <c r="S49" i="23"/>
  <c r="AU49" i="31" s="1"/>
  <c r="R49" i="23"/>
  <c r="Q49" i="23"/>
  <c r="P49" i="23"/>
  <c r="AR49" i="31" s="1"/>
  <c r="O49" i="23"/>
  <c r="AQ49" i="31" s="1"/>
  <c r="N49" i="23"/>
  <c r="AP49" i="31" s="1"/>
  <c r="M49" i="23"/>
  <c r="AO49" i="31" s="1"/>
  <c r="L49" i="23"/>
  <c r="AN49" i="31" s="1"/>
  <c r="K49" i="23"/>
  <c r="AM49" i="31" s="1"/>
  <c r="J49" i="23"/>
  <c r="AL49" i="31" s="1"/>
  <c r="I49" i="23"/>
  <c r="AK49" i="31" s="1"/>
  <c r="H49" i="23"/>
  <c r="AJ49" i="31" s="1"/>
  <c r="G49" i="23"/>
  <c r="AI49" i="31" s="1"/>
  <c r="F49" i="23"/>
  <c r="AH49" i="31" s="1"/>
  <c r="E49" i="23"/>
  <c r="AG49" i="31" s="1"/>
  <c r="D49" i="23"/>
  <c r="AF49" i="31" s="1"/>
  <c r="C49" i="23"/>
  <c r="AE49" i="31" s="1"/>
  <c r="B49" i="23"/>
  <c r="AD49" i="31" s="1"/>
  <c r="U48" i="23"/>
  <c r="AW48" i="31" s="1"/>
  <c r="T48" i="23"/>
  <c r="S48" i="23"/>
  <c r="AU48" i="31" s="1"/>
  <c r="R48" i="23"/>
  <c r="Q48" i="23"/>
  <c r="P48" i="23"/>
  <c r="AR48" i="31" s="1"/>
  <c r="O48" i="23"/>
  <c r="AQ48" i="31" s="1"/>
  <c r="N48" i="23"/>
  <c r="AP48" i="31" s="1"/>
  <c r="M48" i="23"/>
  <c r="AO48" i="31" s="1"/>
  <c r="L48" i="23"/>
  <c r="AN48" i="31" s="1"/>
  <c r="K48" i="23"/>
  <c r="AM48" i="31" s="1"/>
  <c r="J48" i="23"/>
  <c r="AL48" i="31" s="1"/>
  <c r="I48" i="23"/>
  <c r="AK48" i="31" s="1"/>
  <c r="H48" i="23"/>
  <c r="AJ48" i="31" s="1"/>
  <c r="G48" i="23"/>
  <c r="AI48" i="31" s="1"/>
  <c r="F48" i="23"/>
  <c r="AH48" i="31" s="1"/>
  <c r="E48" i="23"/>
  <c r="AG48" i="31" s="1"/>
  <c r="D48" i="23"/>
  <c r="AF48" i="31" s="1"/>
  <c r="C48" i="23"/>
  <c r="AE48" i="31" s="1"/>
  <c r="B48" i="23"/>
  <c r="AD48" i="31" s="1"/>
  <c r="U47" i="23"/>
  <c r="AW47" i="31" s="1"/>
  <c r="T47" i="23"/>
  <c r="S47" i="23"/>
  <c r="AU47" i="31" s="1"/>
  <c r="R47" i="23"/>
  <c r="Q47" i="23"/>
  <c r="P47" i="23"/>
  <c r="AR47" i="31" s="1"/>
  <c r="O47" i="23"/>
  <c r="AQ47" i="31" s="1"/>
  <c r="N47" i="23"/>
  <c r="AP47" i="31" s="1"/>
  <c r="M47" i="23"/>
  <c r="AO47" i="31" s="1"/>
  <c r="L47" i="23"/>
  <c r="AN47" i="31" s="1"/>
  <c r="K47" i="23"/>
  <c r="AM47" i="31" s="1"/>
  <c r="J47" i="23"/>
  <c r="AL47" i="31" s="1"/>
  <c r="I47" i="23"/>
  <c r="AK47" i="31" s="1"/>
  <c r="H47" i="23"/>
  <c r="AJ47" i="31" s="1"/>
  <c r="G47" i="23"/>
  <c r="AI47" i="31" s="1"/>
  <c r="F47" i="23"/>
  <c r="AH47" i="31" s="1"/>
  <c r="E47" i="23"/>
  <c r="AG47" i="31" s="1"/>
  <c r="D47" i="23"/>
  <c r="AF47" i="31" s="1"/>
  <c r="C47" i="23"/>
  <c r="AE47" i="31" s="1"/>
  <c r="B47" i="23"/>
  <c r="AD47" i="31" s="1"/>
  <c r="U46" i="23"/>
  <c r="AW46" i="31" s="1"/>
  <c r="T46" i="23"/>
  <c r="S46" i="23"/>
  <c r="AU46" i="31" s="1"/>
  <c r="R46" i="23"/>
  <c r="Q46" i="23"/>
  <c r="P46" i="23"/>
  <c r="AR46" i="31" s="1"/>
  <c r="O46" i="23"/>
  <c r="AQ46" i="31" s="1"/>
  <c r="N46" i="23"/>
  <c r="AP46" i="31" s="1"/>
  <c r="M46" i="23"/>
  <c r="AO46" i="31" s="1"/>
  <c r="L46" i="23"/>
  <c r="AN46" i="31" s="1"/>
  <c r="K46" i="23"/>
  <c r="AM46" i="31" s="1"/>
  <c r="J46" i="23"/>
  <c r="AL46" i="31" s="1"/>
  <c r="I46" i="23"/>
  <c r="AK46" i="31" s="1"/>
  <c r="H46" i="23"/>
  <c r="AJ46" i="31" s="1"/>
  <c r="G46" i="23"/>
  <c r="AI46" i="31" s="1"/>
  <c r="F46" i="23"/>
  <c r="AH46" i="31" s="1"/>
  <c r="E46" i="23"/>
  <c r="AG46" i="31" s="1"/>
  <c r="D46" i="23"/>
  <c r="AF46" i="31" s="1"/>
  <c r="C46" i="23"/>
  <c r="AE46" i="31" s="1"/>
  <c r="B46" i="23"/>
  <c r="AD46" i="31" s="1"/>
  <c r="U45" i="23"/>
  <c r="AW45" i="31" s="1"/>
  <c r="T45" i="23"/>
  <c r="S45" i="23"/>
  <c r="AU45" i="31" s="1"/>
  <c r="R45" i="23"/>
  <c r="Q45" i="23"/>
  <c r="P45" i="23"/>
  <c r="AR45" i="31" s="1"/>
  <c r="O45" i="23"/>
  <c r="AQ45" i="31" s="1"/>
  <c r="N45" i="23"/>
  <c r="AP45" i="31" s="1"/>
  <c r="M45" i="23"/>
  <c r="AO45" i="31" s="1"/>
  <c r="L45" i="23"/>
  <c r="AN45" i="31" s="1"/>
  <c r="K45" i="23"/>
  <c r="AM45" i="31" s="1"/>
  <c r="J45" i="23"/>
  <c r="AL45" i="31" s="1"/>
  <c r="I45" i="23"/>
  <c r="AK45" i="31" s="1"/>
  <c r="H45" i="23"/>
  <c r="AJ45" i="31" s="1"/>
  <c r="G45" i="23"/>
  <c r="AI45" i="31" s="1"/>
  <c r="F45" i="23"/>
  <c r="AH45" i="31" s="1"/>
  <c r="E45" i="23"/>
  <c r="AG45" i="31" s="1"/>
  <c r="D45" i="23"/>
  <c r="AF45" i="31" s="1"/>
  <c r="C45" i="23"/>
  <c r="AE45" i="31" s="1"/>
  <c r="B45" i="23"/>
  <c r="AD45" i="31" s="1"/>
  <c r="U44" i="23"/>
  <c r="AW44" i="31" s="1"/>
  <c r="T44" i="23"/>
  <c r="S44" i="23"/>
  <c r="AU44" i="31" s="1"/>
  <c r="R44" i="23"/>
  <c r="Q44" i="23"/>
  <c r="P44" i="23"/>
  <c r="AR44" i="31" s="1"/>
  <c r="O44" i="23"/>
  <c r="AQ44" i="31" s="1"/>
  <c r="N44" i="23"/>
  <c r="AP44" i="31" s="1"/>
  <c r="M44" i="23"/>
  <c r="AO44" i="31" s="1"/>
  <c r="L44" i="23"/>
  <c r="AN44" i="31" s="1"/>
  <c r="K44" i="23"/>
  <c r="AM44" i="31" s="1"/>
  <c r="J44" i="23"/>
  <c r="AL44" i="31" s="1"/>
  <c r="I44" i="23"/>
  <c r="AK44" i="31" s="1"/>
  <c r="H44" i="23"/>
  <c r="AJ44" i="31" s="1"/>
  <c r="G44" i="23"/>
  <c r="AI44" i="31" s="1"/>
  <c r="F44" i="23"/>
  <c r="AH44" i="31" s="1"/>
  <c r="E44" i="23"/>
  <c r="AG44" i="31" s="1"/>
  <c r="D44" i="23"/>
  <c r="AF44" i="31" s="1"/>
  <c r="C44" i="23"/>
  <c r="AE44" i="31" s="1"/>
  <c r="B44" i="23"/>
  <c r="AD44" i="31" s="1"/>
  <c r="U43" i="23"/>
  <c r="AW43" i="31" s="1"/>
  <c r="T43" i="23"/>
  <c r="S43" i="23"/>
  <c r="AU43" i="31" s="1"/>
  <c r="R43" i="23"/>
  <c r="Q43" i="23"/>
  <c r="P43" i="23"/>
  <c r="AR43" i="31" s="1"/>
  <c r="O43" i="23"/>
  <c r="AQ43" i="31" s="1"/>
  <c r="N43" i="23"/>
  <c r="AP43" i="31" s="1"/>
  <c r="M43" i="23"/>
  <c r="AO43" i="31" s="1"/>
  <c r="L43" i="23"/>
  <c r="AN43" i="31" s="1"/>
  <c r="K43" i="23"/>
  <c r="AM43" i="31" s="1"/>
  <c r="J43" i="23"/>
  <c r="AL43" i="31" s="1"/>
  <c r="I43" i="23"/>
  <c r="AK43" i="31" s="1"/>
  <c r="H43" i="23"/>
  <c r="AJ43" i="31" s="1"/>
  <c r="G43" i="23"/>
  <c r="AI43" i="31" s="1"/>
  <c r="F43" i="23"/>
  <c r="AH43" i="31" s="1"/>
  <c r="E43" i="23"/>
  <c r="AG43" i="31" s="1"/>
  <c r="D43" i="23"/>
  <c r="AF43" i="31" s="1"/>
  <c r="C43" i="23"/>
  <c r="AE43" i="31" s="1"/>
  <c r="B43" i="23"/>
  <c r="AD43" i="31" s="1"/>
  <c r="U42" i="23"/>
  <c r="AW42" i="31" s="1"/>
  <c r="T42" i="23"/>
  <c r="S42" i="23"/>
  <c r="AU42" i="31" s="1"/>
  <c r="R42" i="23"/>
  <c r="Q42" i="23"/>
  <c r="P42" i="23"/>
  <c r="AR42" i="31" s="1"/>
  <c r="O42" i="23"/>
  <c r="AQ42" i="31" s="1"/>
  <c r="N42" i="23"/>
  <c r="AP42" i="31" s="1"/>
  <c r="M42" i="23"/>
  <c r="AO42" i="31" s="1"/>
  <c r="L42" i="23"/>
  <c r="AN42" i="31" s="1"/>
  <c r="K42" i="23"/>
  <c r="AM42" i="31" s="1"/>
  <c r="J42" i="23"/>
  <c r="AL42" i="31" s="1"/>
  <c r="I42" i="23"/>
  <c r="AK42" i="31" s="1"/>
  <c r="H42" i="23"/>
  <c r="AJ42" i="31" s="1"/>
  <c r="G42" i="23"/>
  <c r="AI42" i="31" s="1"/>
  <c r="F42" i="23"/>
  <c r="AH42" i="31" s="1"/>
  <c r="E42" i="23"/>
  <c r="AG42" i="31" s="1"/>
  <c r="D42" i="23"/>
  <c r="AF42" i="31" s="1"/>
  <c r="C42" i="23"/>
  <c r="AE42" i="31" s="1"/>
  <c r="B42" i="23"/>
  <c r="AD42" i="31" s="1"/>
  <c r="U41" i="23"/>
  <c r="T41" i="23"/>
  <c r="S41" i="23"/>
  <c r="R41" i="23"/>
  <c r="Q41" i="23"/>
  <c r="P41" i="23"/>
  <c r="O41" i="23"/>
  <c r="N41" i="23"/>
  <c r="M41" i="23"/>
  <c r="L41" i="23"/>
  <c r="K41" i="23"/>
  <c r="J41" i="23"/>
  <c r="I41" i="23"/>
  <c r="H41" i="23"/>
  <c r="G41" i="23"/>
  <c r="F41" i="23"/>
  <c r="E41" i="23"/>
  <c r="D41" i="23"/>
  <c r="C41" i="23"/>
  <c r="B41" i="23"/>
  <c r="U39" i="23"/>
  <c r="AW39" i="31" s="1"/>
  <c r="T39" i="23"/>
  <c r="S39" i="23"/>
  <c r="AU39" i="31" s="1"/>
  <c r="R39" i="23"/>
  <c r="Q39" i="23"/>
  <c r="P39" i="23"/>
  <c r="AR39" i="31" s="1"/>
  <c r="O39" i="23"/>
  <c r="AQ39" i="31" s="1"/>
  <c r="N39" i="23"/>
  <c r="AP39" i="31" s="1"/>
  <c r="M39" i="23"/>
  <c r="AO39" i="31" s="1"/>
  <c r="L39" i="23"/>
  <c r="AN39" i="31" s="1"/>
  <c r="K39" i="23"/>
  <c r="AM39" i="31" s="1"/>
  <c r="J39" i="23"/>
  <c r="AL39" i="31" s="1"/>
  <c r="I39" i="23"/>
  <c r="AK39" i="31" s="1"/>
  <c r="H39" i="23"/>
  <c r="AJ39" i="31" s="1"/>
  <c r="G39" i="23"/>
  <c r="AI39" i="31" s="1"/>
  <c r="F39" i="23"/>
  <c r="AH39" i="31" s="1"/>
  <c r="E39" i="23"/>
  <c r="AG39" i="31" s="1"/>
  <c r="D39" i="23"/>
  <c r="AF39" i="31" s="1"/>
  <c r="C39" i="23"/>
  <c r="AE39" i="31" s="1"/>
  <c r="B39" i="23"/>
  <c r="AD39" i="31" s="1"/>
  <c r="U38" i="23"/>
  <c r="AW38" i="31" s="1"/>
  <c r="T38" i="23"/>
  <c r="S38" i="23"/>
  <c r="AU38" i="31" s="1"/>
  <c r="R38" i="23"/>
  <c r="Q38" i="23"/>
  <c r="P38" i="23"/>
  <c r="AR38" i="31" s="1"/>
  <c r="O38" i="23"/>
  <c r="AQ38" i="31" s="1"/>
  <c r="N38" i="23"/>
  <c r="AP38" i="31" s="1"/>
  <c r="M38" i="23"/>
  <c r="AO38" i="31" s="1"/>
  <c r="L38" i="23"/>
  <c r="AN38" i="31" s="1"/>
  <c r="K38" i="23"/>
  <c r="AM38" i="31" s="1"/>
  <c r="J38" i="23"/>
  <c r="AL38" i="31" s="1"/>
  <c r="I38" i="23"/>
  <c r="AK38" i="31" s="1"/>
  <c r="H38" i="23"/>
  <c r="AJ38" i="31" s="1"/>
  <c r="G38" i="23"/>
  <c r="AI38" i="31" s="1"/>
  <c r="F38" i="23"/>
  <c r="AH38" i="31" s="1"/>
  <c r="E38" i="23"/>
  <c r="AG38" i="31" s="1"/>
  <c r="D38" i="23"/>
  <c r="AF38" i="31" s="1"/>
  <c r="C38" i="23"/>
  <c r="AE38" i="31" s="1"/>
  <c r="B38" i="23"/>
  <c r="AD38" i="31" s="1"/>
  <c r="U37" i="23"/>
  <c r="AW37" i="31" s="1"/>
  <c r="T37" i="23"/>
  <c r="S37" i="23"/>
  <c r="AU37" i="31" s="1"/>
  <c r="R37" i="23"/>
  <c r="Q37" i="23"/>
  <c r="P37" i="23"/>
  <c r="AR37" i="31" s="1"/>
  <c r="O37" i="23"/>
  <c r="AQ37" i="31" s="1"/>
  <c r="N37" i="23"/>
  <c r="AP37" i="31" s="1"/>
  <c r="M37" i="23"/>
  <c r="AO37" i="31" s="1"/>
  <c r="L37" i="23"/>
  <c r="AN37" i="31" s="1"/>
  <c r="K37" i="23"/>
  <c r="AM37" i="31" s="1"/>
  <c r="J37" i="23"/>
  <c r="AL37" i="31" s="1"/>
  <c r="I37" i="23"/>
  <c r="AK37" i="31" s="1"/>
  <c r="H37" i="23"/>
  <c r="AJ37" i="31" s="1"/>
  <c r="G37" i="23"/>
  <c r="AI37" i="31" s="1"/>
  <c r="F37" i="23"/>
  <c r="AH37" i="31" s="1"/>
  <c r="E37" i="23"/>
  <c r="AG37" i="31" s="1"/>
  <c r="D37" i="23"/>
  <c r="AF37" i="31" s="1"/>
  <c r="C37" i="23"/>
  <c r="AE37" i="31" s="1"/>
  <c r="B37" i="23"/>
  <c r="AD37" i="31" s="1"/>
  <c r="U36" i="23"/>
  <c r="AW36" i="31" s="1"/>
  <c r="T36" i="23"/>
  <c r="S36" i="23"/>
  <c r="AU36" i="31" s="1"/>
  <c r="R36" i="23"/>
  <c r="Q36" i="23"/>
  <c r="P36" i="23"/>
  <c r="AR36" i="31" s="1"/>
  <c r="O36" i="23"/>
  <c r="AQ36" i="31" s="1"/>
  <c r="N36" i="23"/>
  <c r="AP36" i="31" s="1"/>
  <c r="M36" i="23"/>
  <c r="AO36" i="31" s="1"/>
  <c r="L36" i="23"/>
  <c r="AN36" i="31" s="1"/>
  <c r="K36" i="23"/>
  <c r="AM36" i="31" s="1"/>
  <c r="J36" i="23"/>
  <c r="AL36" i="31" s="1"/>
  <c r="I36" i="23"/>
  <c r="AK36" i="31" s="1"/>
  <c r="H36" i="23"/>
  <c r="AJ36" i="31" s="1"/>
  <c r="G36" i="23"/>
  <c r="AI36" i="31" s="1"/>
  <c r="F36" i="23"/>
  <c r="AH36" i="31" s="1"/>
  <c r="E36" i="23"/>
  <c r="AG36" i="31" s="1"/>
  <c r="D36" i="23"/>
  <c r="AF36" i="31" s="1"/>
  <c r="C36" i="23"/>
  <c r="AE36" i="31" s="1"/>
  <c r="B36" i="23"/>
  <c r="AD36" i="31" s="1"/>
  <c r="U35" i="23"/>
  <c r="AW35" i="31" s="1"/>
  <c r="T35" i="23"/>
  <c r="S35" i="23"/>
  <c r="AU35" i="31" s="1"/>
  <c r="R35" i="23"/>
  <c r="Q35" i="23"/>
  <c r="P35" i="23"/>
  <c r="AR35" i="31" s="1"/>
  <c r="O35" i="23"/>
  <c r="AQ35" i="31" s="1"/>
  <c r="N35" i="23"/>
  <c r="AP35" i="31" s="1"/>
  <c r="M35" i="23"/>
  <c r="AO35" i="31" s="1"/>
  <c r="L35" i="23"/>
  <c r="AN35" i="31" s="1"/>
  <c r="K35" i="23"/>
  <c r="AM35" i="31" s="1"/>
  <c r="J35" i="23"/>
  <c r="AL35" i="31" s="1"/>
  <c r="I35" i="23"/>
  <c r="AK35" i="31" s="1"/>
  <c r="H35" i="23"/>
  <c r="AJ35" i="31" s="1"/>
  <c r="G35" i="23"/>
  <c r="AI35" i="31" s="1"/>
  <c r="F35" i="23"/>
  <c r="AH35" i="31" s="1"/>
  <c r="E35" i="23"/>
  <c r="AG35" i="31" s="1"/>
  <c r="D35" i="23"/>
  <c r="AF35" i="31" s="1"/>
  <c r="C35" i="23"/>
  <c r="AE35" i="31" s="1"/>
  <c r="B35" i="23"/>
  <c r="AD35" i="31" s="1"/>
  <c r="U34" i="23"/>
  <c r="AW34" i="31" s="1"/>
  <c r="T34" i="23"/>
  <c r="S34" i="23"/>
  <c r="AU34" i="31" s="1"/>
  <c r="R34" i="23"/>
  <c r="Q34" i="23"/>
  <c r="P34" i="23"/>
  <c r="AR34" i="31" s="1"/>
  <c r="O34" i="23"/>
  <c r="AQ34" i="31" s="1"/>
  <c r="N34" i="23"/>
  <c r="AP34" i="31" s="1"/>
  <c r="M34" i="23"/>
  <c r="AO34" i="31" s="1"/>
  <c r="L34" i="23"/>
  <c r="AN34" i="31" s="1"/>
  <c r="K34" i="23"/>
  <c r="AM34" i="31" s="1"/>
  <c r="J34" i="23"/>
  <c r="AL34" i="31" s="1"/>
  <c r="I34" i="23"/>
  <c r="AK34" i="31" s="1"/>
  <c r="H34" i="23"/>
  <c r="AJ34" i="31" s="1"/>
  <c r="G34" i="23"/>
  <c r="AI34" i="31" s="1"/>
  <c r="F34" i="23"/>
  <c r="AH34" i="31" s="1"/>
  <c r="E34" i="23"/>
  <c r="AG34" i="31" s="1"/>
  <c r="D34" i="23"/>
  <c r="AF34" i="31" s="1"/>
  <c r="C34" i="23"/>
  <c r="AE34" i="31" s="1"/>
  <c r="B34" i="23"/>
  <c r="AD34" i="31" s="1"/>
  <c r="U33" i="23"/>
  <c r="AW33" i="31" s="1"/>
  <c r="T33" i="23"/>
  <c r="S33" i="23"/>
  <c r="AU33" i="31" s="1"/>
  <c r="R33" i="23"/>
  <c r="Q33" i="23"/>
  <c r="P33" i="23"/>
  <c r="AR33" i="31" s="1"/>
  <c r="O33" i="23"/>
  <c r="AQ33" i="31" s="1"/>
  <c r="N33" i="23"/>
  <c r="AP33" i="31" s="1"/>
  <c r="M33" i="23"/>
  <c r="AO33" i="31" s="1"/>
  <c r="L33" i="23"/>
  <c r="AN33" i="31" s="1"/>
  <c r="K33" i="23"/>
  <c r="AM33" i="31" s="1"/>
  <c r="J33" i="23"/>
  <c r="AL33" i="31" s="1"/>
  <c r="I33" i="23"/>
  <c r="AK33" i="31" s="1"/>
  <c r="H33" i="23"/>
  <c r="AJ33" i="31" s="1"/>
  <c r="G33" i="23"/>
  <c r="AI33" i="31" s="1"/>
  <c r="F33" i="23"/>
  <c r="AH33" i="31" s="1"/>
  <c r="E33" i="23"/>
  <c r="AG33" i="31" s="1"/>
  <c r="D33" i="23"/>
  <c r="AF33" i="31" s="1"/>
  <c r="C33" i="23"/>
  <c r="AE33" i="31" s="1"/>
  <c r="B33" i="23"/>
  <c r="AD33" i="31" s="1"/>
  <c r="U32" i="23"/>
  <c r="AW32" i="31" s="1"/>
  <c r="T32" i="23"/>
  <c r="S32" i="23"/>
  <c r="AU32" i="31" s="1"/>
  <c r="R32" i="23"/>
  <c r="Q32" i="23"/>
  <c r="P32" i="23"/>
  <c r="AR32" i="31" s="1"/>
  <c r="O32" i="23"/>
  <c r="AQ32" i="31" s="1"/>
  <c r="N32" i="23"/>
  <c r="AP32" i="31" s="1"/>
  <c r="M32" i="23"/>
  <c r="AO32" i="31" s="1"/>
  <c r="L32" i="23"/>
  <c r="AN32" i="31" s="1"/>
  <c r="K32" i="23"/>
  <c r="AM32" i="31" s="1"/>
  <c r="J32" i="23"/>
  <c r="AL32" i="31" s="1"/>
  <c r="I32" i="23"/>
  <c r="AK32" i="31" s="1"/>
  <c r="H32" i="23"/>
  <c r="AJ32" i="31" s="1"/>
  <c r="G32" i="23"/>
  <c r="AI32" i="31" s="1"/>
  <c r="F32" i="23"/>
  <c r="AH32" i="31" s="1"/>
  <c r="E32" i="23"/>
  <c r="AG32" i="31" s="1"/>
  <c r="D32" i="23"/>
  <c r="AF32" i="31" s="1"/>
  <c r="C32" i="23"/>
  <c r="AE32" i="31" s="1"/>
  <c r="B32" i="23"/>
  <c r="AD32" i="31" s="1"/>
  <c r="U31" i="23"/>
  <c r="AW31" i="31" s="1"/>
  <c r="T31" i="23"/>
  <c r="S31" i="23"/>
  <c r="AU31" i="31" s="1"/>
  <c r="R31" i="23"/>
  <c r="Q31" i="23"/>
  <c r="P31" i="23"/>
  <c r="AR31" i="31" s="1"/>
  <c r="O31" i="23"/>
  <c r="AQ31" i="31" s="1"/>
  <c r="N31" i="23"/>
  <c r="AP31" i="31" s="1"/>
  <c r="M31" i="23"/>
  <c r="AO31" i="31" s="1"/>
  <c r="L31" i="23"/>
  <c r="AN31" i="31" s="1"/>
  <c r="K31" i="23"/>
  <c r="AM31" i="31" s="1"/>
  <c r="J31" i="23"/>
  <c r="AL31" i="31" s="1"/>
  <c r="I31" i="23"/>
  <c r="AK31" i="31" s="1"/>
  <c r="H31" i="23"/>
  <c r="AJ31" i="31" s="1"/>
  <c r="G31" i="23"/>
  <c r="AI31" i="31" s="1"/>
  <c r="F31" i="23"/>
  <c r="AH31" i="31" s="1"/>
  <c r="E31" i="23"/>
  <c r="AG31" i="31" s="1"/>
  <c r="D31" i="23"/>
  <c r="AF31" i="31" s="1"/>
  <c r="C31" i="23"/>
  <c r="AE31" i="31" s="1"/>
  <c r="B31" i="23"/>
  <c r="AD31" i="31" s="1"/>
  <c r="U30" i="23"/>
  <c r="AW30" i="31" s="1"/>
  <c r="T30" i="23"/>
  <c r="S30" i="23"/>
  <c r="AU30" i="31" s="1"/>
  <c r="R30" i="23"/>
  <c r="Q30" i="23"/>
  <c r="P30" i="23"/>
  <c r="AR30" i="31" s="1"/>
  <c r="O30" i="23"/>
  <c r="AQ30" i="31" s="1"/>
  <c r="N30" i="23"/>
  <c r="AP30" i="31" s="1"/>
  <c r="M30" i="23"/>
  <c r="AO30" i="31" s="1"/>
  <c r="L30" i="23"/>
  <c r="AN30" i="31" s="1"/>
  <c r="K30" i="23"/>
  <c r="AM30" i="31" s="1"/>
  <c r="J30" i="23"/>
  <c r="AL30" i="31" s="1"/>
  <c r="I30" i="23"/>
  <c r="AK30" i="31" s="1"/>
  <c r="H30" i="23"/>
  <c r="AJ30" i="31" s="1"/>
  <c r="G30" i="23"/>
  <c r="AI30" i="31" s="1"/>
  <c r="F30" i="23"/>
  <c r="AH30" i="31" s="1"/>
  <c r="E30" i="23"/>
  <c r="AG30" i="31" s="1"/>
  <c r="D30" i="23"/>
  <c r="AF30" i="31" s="1"/>
  <c r="C30" i="23"/>
  <c r="AE30" i="31" s="1"/>
  <c r="B30" i="23"/>
  <c r="AD30" i="31" s="1"/>
  <c r="U29" i="23"/>
  <c r="AW29" i="31" s="1"/>
  <c r="T29" i="23"/>
  <c r="S29" i="23"/>
  <c r="AU29" i="31" s="1"/>
  <c r="R29" i="23"/>
  <c r="Q29" i="23"/>
  <c r="P29" i="23"/>
  <c r="AR29" i="31" s="1"/>
  <c r="O29" i="23"/>
  <c r="AQ29" i="31" s="1"/>
  <c r="N29" i="23"/>
  <c r="AP29" i="31" s="1"/>
  <c r="M29" i="23"/>
  <c r="AO29" i="31" s="1"/>
  <c r="L29" i="23"/>
  <c r="AN29" i="31" s="1"/>
  <c r="K29" i="23"/>
  <c r="AM29" i="31" s="1"/>
  <c r="J29" i="23"/>
  <c r="AL29" i="31" s="1"/>
  <c r="I29" i="23"/>
  <c r="AK29" i="31" s="1"/>
  <c r="H29" i="23"/>
  <c r="AJ29" i="31" s="1"/>
  <c r="G29" i="23"/>
  <c r="AI29" i="31" s="1"/>
  <c r="F29" i="23"/>
  <c r="AH29" i="31" s="1"/>
  <c r="E29" i="23"/>
  <c r="AG29" i="31" s="1"/>
  <c r="D29" i="23"/>
  <c r="AF29" i="31" s="1"/>
  <c r="C29" i="23"/>
  <c r="AE29" i="31" s="1"/>
  <c r="B29" i="23"/>
  <c r="AD29" i="31" s="1"/>
  <c r="U28" i="23"/>
  <c r="AW28" i="31" s="1"/>
  <c r="T28" i="23"/>
  <c r="S28" i="23"/>
  <c r="AU28" i="31" s="1"/>
  <c r="R28" i="23"/>
  <c r="Q28" i="23"/>
  <c r="P28" i="23"/>
  <c r="AR28" i="31" s="1"/>
  <c r="O28" i="23"/>
  <c r="AQ28" i="31" s="1"/>
  <c r="N28" i="23"/>
  <c r="AP28" i="31" s="1"/>
  <c r="M28" i="23"/>
  <c r="AO28" i="31" s="1"/>
  <c r="L28" i="23"/>
  <c r="AN28" i="31" s="1"/>
  <c r="K28" i="23"/>
  <c r="AM28" i="31" s="1"/>
  <c r="J28" i="23"/>
  <c r="AL28" i="31" s="1"/>
  <c r="I28" i="23"/>
  <c r="AK28" i="31" s="1"/>
  <c r="H28" i="23"/>
  <c r="AJ28" i="31" s="1"/>
  <c r="G28" i="23"/>
  <c r="AI28" i="31" s="1"/>
  <c r="F28" i="23"/>
  <c r="AH28" i="31" s="1"/>
  <c r="E28" i="23"/>
  <c r="AG28" i="31" s="1"/>
  <c r="D28" i="23"/>
  <c r="AF28" i="31" s="1"/>
  <c r="C28" i="23"/>
  <c r="AE28" i="31" s="1"/>
  <c r="B28" i="23"/>
  <c r="AD28" i="31" s="1"/>
  <c r="U27" i="23"/>
  <c r="AW27" i="31" s="1"/>
  <c r="T27" i="23"/>
  <c r="S27" i="23"/>
  <c r="AU27" i="31" s="1"/>
  <c r="R27" i="23"/>
  <c r="Q27" i="23"/>
  <c r="P27" i="23"/>
  <c r="AR27" i="31" s="1"/>
  <c r="O27" i="23"/>
  <c r="AQ27" i="31" s="1"/>
  <c r="N27" i="23"/>
  <c r="AP27" i="31" s="1"/>
  <c r="M27" i="23"/>
  <c r="AO27" i="31" s="1"/>
  <c r="L27" i="23"/>
  <c r="AN27" i="31" s="1"/>
  <c r="K27" i="23"/>
  <c r="AM27" i="31" s="1"/>
  <c r="J27" i="23"/>
  <c r="AL27" i="31" s="1"/>
  <c r="I27" i="23"/>
  <c r="AK27" i="31" s="1"/>
  <c r="H27" i="23"/>
  <c r="AJ27" i="31" s="1"/>
  <c r="G27" i="23"/>
  <c r="AI27" i="31" s="1"/>
  <c r="F27" i="23"/>
  <c r="AH27" i="31" s="1"/>
  <c r="E27" i="23"/>
  <c r="AG27" i="31" s="1"/>
  <c r="D27" i="23"/>
  <c r="AF27" i="31" s="1"/>
  <c r="C27" i="23"/>
  <c r="AE27" i="31" s="1"/>
  <c r="B27" i="23"/>
  <c r="AD27" i="31" s="1"/>
  <c r="U26" i="23"/>
  <c r="T26" i="23"/>
  <c r="S26" i="23"/>
  <c r="R26" i="23"/>
  <c r="Q26" i="23"/>
  <c r="P26" i="23"/>
  <c r="O26" i="23"/>
  <c r="N26" i="23"/>
  <c r="M26" i="23"/>
  <c r="L26" i="23"/>
  <c r="K26" i="23"/>
  <c r="J26" i="23"/>
  <c r="I26" i="23"/>
  <c r="H26" i="23"/>
  <c r="G26" i="23"/>
  <c r="F26" i="23"/>
  <c r="E26" i="23"/>
  <c r="D26" i="23"/>
  <c r="C26" i="23"/>
  <c r="B26" i="23"/>
  <c r="U24" i="23"/>
  <c r="AW24" i="31" s="1"/>
  <c r="T24" i="23"/>
  <c r="S24" i="23"/>
  <c r="AU24" i="31" s="1"/>
  <c r="R24" i="23"/>
  <c r="Q24" i="23"/>
  <c r="P24" i="23"/>
  <c r="AR24" i="31" s="1"/>
  <c r="O24" i="23"/>
  <c r="AQ24" i="31" s="1"/>
  <c r="N24" i="23"/>
  <c r="AP24" i="31" s="1"/>
  <c r="M24" i="23"/>
  <c r="AO24" i="31" s="1"/>
  <c r="L24" i="23"/>
  <c r="AN24" i="31" s="1"/>
  <c r="K24" i="23"/>
  <c r="AM24" i="31" s="1"/>
  <c r="J24" i="23"/>
  <c r="I24" i="23"/>
  <c r="AK24" i="31" s="1"/>
  <c r="H24" i="23"/>
  <c r="G24" i="23"/>
  <c r="F24" i="23"/>
  <c r="AH24" i="31" s="1"/>
  <c r="E24" i="23"/>
  <c r="U23" i="23"/>
  <c r="AW23" i="31" s="1"/>
  <c r="T23" i="23"/>
  <c r="S23" i="23"/>
  <c r="AU23" i="31" s="1"/>
  <c r="R23" i="23"/>
  <c r="Q23" i="23"/>
  <c r="P23" i="23"/>
  <c r="AR23" i="31" s="1"/>
  <c r="O23" i="23"/>
  <c r="AQ23" i="31" s="1"/>
  <c r="N23" i="23"/>
  <c r="AP23" i="31" s="1"/>
  <c r="M23" i="23"/>
  <c r="AO23" i="31" s="1"/>
  <c r="L23" i="23"/>
  <c r="AN23" i="31" s="1"/>
  <c r="K23" i="23"/>
  <c r="AM23" i="31" s="1"/>
  <c r="J23" i="23"/>
  <c r="I23" i="23"/>
  <c r="AK23" i="31" s="1"/>
  <c r="H23" i="23"/>
  <c r="G23" i="23"/>
  <c r="F23" i="23"/>
  <c r="AH23" i="31" s="1"/>
  <c r="E23" i="23"/>
  <c r="U22" i="23"/>
  <c r="AW22" i="31" s="1"/>
  <c r="T22" i="23"/>
  <c r="S22" i="23"/>
  <c r="AU22" i="31" s="1"/>
  <c r="R22" i="23"/>
  <c r="Q22" i="23"/>
  <c r="P22" i="23"/>
  <c r="AR22" i="31" s="1"/>
  <c r="O22" i="23"/>
  <c r="AQ22" i="31" s="1"/>
  <c r="N22" i="23"/>
  <c r="AP22" i="31" s="1"/>
  <c r="M22" i="23"/>
  <c r="AO22" i="31" s="1"/>
  <c r="L22" i="23"/>
  <c r="AN22" i="31" s="1"/>
  <c r="K22" i="23"/>
  <c r="AM22" i="31" s="1"/>
  <c r="J22" i="23"/>
  <c r="I22" i="23"/>
  <c r="AK22" i="31" s="1"/>
  <c r="H22" i="23"/>
  <c r="G22" i="23"/>
  <c r="F22" i="23"/>
  <c r="AH22" i="31" s="1"/>
  <c r="E22" i="23"/>
  <c r="U21" i="23"/>
  <c r="AW21" i="31" s="1"/>
  <c r="T21" i="23"/>
  <c r="S21" i="23"/>
  <c r="AU21" i="31" s="1"/>
  <c r="R21" i="23"/>
  <c r="Q21" i="23"/>
  <c r="P21" i="23"/>
  <c r="AR21" i="31" s="1"/>
  <c r="O21" i="23"/>
  <c r="AQ21" i="31" s="1"/>
  <c r="N21" i="23"/>
  <c r="AP21" i="31" s="1"/>
  <c r="M21" i="23"/>
  <c r="AO21" i="31" s="1"/>
  <c r="L21" i="23"/>
  <c r="AN21" i="31" s="1"/>
  <c r="K21" i="23"/>
  <c r="AM21" i="31" s="1"/>
  <c r="J21" i="23"/>
  <c r="I21" i="23"/>
  <c r="AK21" i="31" s="1"/>
  <c r="H21" i="23"/>
  <c r="G21" i="23"/>
  <c r="F21" i="23"/>
  <c r="AH21" i="31" s="1"/>
  <c r="E21" i="23"/>
  <c r="U20" i="23"/>
  <c r="AW20" i="31" s="1"/>
  <c r="T20" i="23"/>
  <c r="S20" i="23"/>
  <c r="AU20" i="31" s="1"/>
  <c r="R20" i="23"/>
  <c r="Q20" i="23"/>
  <c r="P20" i="23"/>
  <c r="AR20" i="31" s="1"/>
  <c r="O20" i="23"/>
  <c r="AQ20" i="31" s="1"/>
  <c r="N20" i="23"/>
  <c r="AP20" i="31" s="1"/>
  <c r="M20" i="23"/>
  <c r="AO20" i="31" s="1"/>
  <c r="L20" i="23"/>
  <c r="AN20" i="31" s="1"/>
  <c r="K20" i="23"/>
  <c r="AM20" i="31" s="1"/>
  <c r="J20" i="23"/>
  <c r="I20" i="23"/>
  <c r="AK20" i="31" s="1"/>
  <c r="H20" i="23"/>
  <c r="G20" i="23"/>
  <c r="F20" i="23"/>
  <c r="AH20" i="31" s="1"/>
  <c r="E20" i="23"/>
  <c r="U19" i="23"/>
  <c r="AW19" i="31" s="1"/>
  <c r="T19" i="23"/>
  <c r="S19" i="23"/>
  <c r="AU19" i="31" s="1"/>
  <c r="R19" i="23"/>
  <c r="Q19" i="23"/>
  <c r="P19" i="23"/>
  <c r="AR19" i="31" s="1"/>
  <c r="O19" i="23"/>
  <c r="AQ19" i="31" s="1"/>
  <c r="N19" i="23"/>
  <c r="AP19" i="31" s="1"/>
  <c r="M19" i="23"/>
  <c r="AO19" i="31" s="1"/>
  <c r="L19" i="23"/>
  <c r="AN19" i="31" s="1"/>
  <c r="K19" i="23"/>
  <c r="AM19" i="31" s="1"/>
  <c r="J19" i="23"/>
  <c r="I19" i="23"/>
  <c r="AK19" i="31" s="1"/>
  <c r="H19" i="23"/>
  <c r="G19" i="23"/>
  <c r="F19" i="23"/>
  <c r="AH19" i="31" s="1"/>
  <c r="E19" i="23"/>
  <c r="B19" i="23"/>
  <c r="AD19" i="31" s="1"/>
  <c r="U18" i="23"/>
  <c r="AW18" i="31" s="1"/>
  <c r="T18" i="23"/>
  <c r="S18" i="23"/>
  <c r="AU18" i="31" s="1"/>
  <c r="R18" i="23"/>
  <c r="Q18" i="23"/>
  <c r="P18" i="23"/>
  <c r="AR18" i="31" s="1"/>
  <c r="O18" i="23"/>
  <c r="AQ18" i="31" s="1"/>
  <c r="N18" i="23"/>
  <c r="AP18" i="31" s="1"/>
  <c r="M18" i="23"/>
  <c r="AO18" i="31" s="1"/>
  <c r="L18" i="23"/>
  <c r="AN18" i="31" s="1"/>
  <c r="K18" i="23"/>
  <c r="AM18" i="31" s="1"/>
  <c r="J18" i="23"/>
  <c r="I18" i="23"/>
  <c r="AK18" i="31" s="1"/>
  <c r="H18" i="23"/>
  <c r="G18" i="23"/>
  <c r="F18" i="23"/>
  <c r="AH18" i="31" s="1"/>
  <c r="E18" i="23"/>
  <c r="U17" i="23"/>
  <c r="AW17" i="31" s="1"/>
  <c r="T17" i="23"/>
  <c r="S17" i="23"/>
  <c r="AU17" i="31" s="1"/>
  <c r="R17" i="23"/>
  <c r="Q17" i="23"/>
  <c r="P17" i="23"/>
  <c r="AR17" i="31" s="1"/>
  <c r="O17" i="23"/>
  <c r="AQ17" i="31" s="1"/>
  <c r="N17" i="23"/>
  <c r="AP17" i="31" s="1"/>
  <c r="M17" i="23"/>
  <c r="AO17" i="31" s="1"/>
  <c r="L17" i="23"/>
  <c r="AN17" i="31" s="1"/>
  <c r="K17" i="23"/>
  <c r="AM17" i="31" s="1"/>
  <c r="J17" i="23"/>
  <c r="I17" i="23"/>
  <c r="AK17" i="31" s="1"/>
  <c r="H17" i="23"/>
  <c r="G17" i="23"/>
  <c r="F17" i="23"/>
  <c r="AH17" i="31" s="1"/>
  <c r="E17" i="23"/>
  <c r="U16" i="23"/>
  <c r="AW16" i="31" s="1"/>
  <c r="T16" i="23"/>
  <c r="S16" i="23"/>
  <c r="AU16" i="31" s="1"/>
  <c r="R16" i="23"/>
  <c r="Q16" i="23"/>
  <c r="P16" i="23"/>
  <c r="AR16" i="31" s="1"/>
  <c r="O16" i="23"/>
  <c r="AQ16" i="31" s="1"/>
  <c r="N16" i="23"/>
  <c r="AP16" i="31" s="1"/>
  <c r="M16" i="23"/>
  <c r="AO16" i="31" s="1"/>
  <c r="L16" i="23"/>
  <c r="AN16" i="31" s="1"/>
  <c r="K16" i="23"/>
  <c r="AM16" i="31" s="1"/>
  <c r="J16" i="23"/>
  <c r="I16" i="23"/>
  <c r="AK16" i="31" s="1"/>
  <c r="H16" i="23"/>
  <c r="G16" i="23"/>
  <c r="F16" i="23"/>
  <c r="AH16" i="31" s="1"/>
  <c r="E16" i="23"/>
  <c r="B16" i="23"/>
  <c r="AD16" i="31" s="1"/>
  <c r="U15" i="23"/>
  <c r="AW15" i="31" s="1"/>
  <c r="T15" i="23"/>
  <c r="S15" i="23"/>
  <c r="AU15" i="31" s="1"/>
  <c r="R15" i="23"/>
  <c r="Q15" i="23"/>
  <c r="P15" i="23"/>
  <c r="AR15" i="31" s="1"/>
  <c r="O15" i="23"/>
  <c r="AQ15" i="31" s="1"/>
  <c r="N15" i="23"/>
  <c r="AP15" i="31" s="1"/>
  <c r="M15" i="23"/>
  <c r="AO15" i="31" s="1"/>
  <c r="L15" i="23"/>
  <c r="AN15" i="31" s="1"/>
  <c r="K15" i="23"/>
  <c r="AM15" i="31" s="1"/>
  <c r="J15" i="23"/>
  <c r="I15" i="23"/>
  <c r="AK15" i="31" s="1"/>
  <c r="H15" i="23"/>
  <c r="G15" i="23"/>
  <c r="F15" i="23"/>
  <c r="AH15" i="31" s="1"/>
  <c r="E15" i="23"/>
  <c r="U14" i="23"/>
  <c r="AW14" i="31" s="1"/>
  <c r="T14" i="23"/>
  <c r="S14" i="23"/>
  <c r="AU14" i="31" s="1"/>
  <c r="R14" i="23"/>
  <c r="Q14" i="23"/>
  <c r="P14" i="23"/>
  <c r="AR14" i="31" s="1"/>
  <c r="O14" i="23"/>
  <c r="AQ14" i="31" s="1"/>
  <c r="N14" i="23"/>
  <c r="AP14" i="31" s="1"/>
  <c r="M14" i="23"/>
  <c r="AO14" i="31" s="1"/>
  <c r="L14" i="23"/>
  <c r="AN14" i="31" s="1"/>
  <c r="K14" i="23"/>
  <c r="AM14" i="31" s="1"/>
  <c r="J14" i="23"/>
  <c r="I14" i="23"/>
  <c r="AK14" i="31" s="1"/>
  <c r="H14" i="23"/>
  <c r="G14" i="23"/>
  <c r="F14" i="23"/>
  <c r="AH14" i="31" s="1"/>
  <c r="E14" i="23"/>
  <c r="U13" i="23"/>
  <c r="AW13" i="31" s="1"/>
  <c r="T13" i="23"/>
  <c r="S13" i="23"/>
  <c r="AU13" i="31" s="1"/>
  <c r="R13" i="23"/>
  <c r="Q13" i="23"/>
  <c r="P13" i="23"/>
  <c r="AR13" i="31" s="1"/>
  <c r="O13" i="23"/>
  <c r="AQ13" i="31" s="1"/>
  <c r="N13" i="23"/>
  <c r="AP13" i="31" s="1"/>
  <c r="M13" i="23"/>
  <c r="AO13" i="31" s="1"/>
  <c r="L13" i="23"/>
  <c r="AN13" i="31" s="1"/>
  <c r="K13" i="23"/>
  <c r="AM13" i="31" s="1"/>
  <c r="J13" i="23"/>
  <c r="I13" i="23"/>
  <c r="AK13" i="31" s="1"/>
  <c r="H13" i="23"/>
  <c r="G13" i="23"/>
  <c r="F13" i="23"/>
  <c r="AH13" i="31" s="1"/>
  <c r="E13" i="23"/>
  <c r="U12" i="23"/>
  <c r="AW12" i="31" s="1"/>
  <c r="T12" i="23"/>
  <c r="S12" i="23"/>
  <c r="AU12" i="31" s="1"/>
  <c r="R12" i="23"/>
  <c r="Q12" i="23"/>
  <c r="P12" i="23"/>
  <c r="AR12" i="31" s="1"/>
  <c r="O12" i="23"/>
  <c r="AQ12" i="31" s="1"/>
  <c r="N12" i="23"/>
  <c r="AP12" i="31" s="1"/>
  <c r="M12" i="23"/>
  <c r="AO12" i="31" s="1"/>
  <c r="L12" i="23"/>
  <c r="AN12" i="31" s="1"/>
  <c r="K12" i="23"/>
  <c r="AM12" i="31" s="1"/>
  <c r="J12" i="23"/>
  <c r="I12" i="23"/>
  <c r="AK12" i="31" s="1"/>
  <c r="H12" i="23"/>
  <c r="G12" i="23"/>
  <c r="F12" i="23"/>
  <c r="AH12" i="31" s="1"/>
  <c r="E12" i="23"/>
  <c r="U11" i="23"/>
  <c r="AW11" i="31" s="1"/>
  <c r="T11" i="23"/>
  <c r="S11" i="23"/>
  <c r="AU11" i="31" s="1"/>
  <c r="R11" i="23"/>
  <c r="P11" i="23"/>
  <c r="AR11" i="31" s="1"/>
  <c r="O11" i="23"/>
  <c r="AQ11" i="31" s="1"/>
  <c r="N11" i="23"/>
  <c r="AP11" i="31" s="1"/>
  <c r="M11" i="23"/>
  <c r="AO11" i="31" s="1"/>
  <c r="L11" i="23"/>
  <c r="AN11" i="31" s="1"/>
  <c r="K11" i="23"/>
  <c r="AM11" i="31" s="1"/>
  <c r="J11" i="23"/>
  <c r="I11" i="23"/>
  <c r="AK11" i="31" s="1"/>
  <c r="H11" i="23"/>
  <c r="AJ11" i="31" s="1"/>
  <c r="G11" i="23"/>
  <c r="AI11" i="31" s="1"/>
  <c r="F11" i="23"/>
  <c r="AH11" i="31" s="1"/>
  <c r="E11" i="23"/>
  <c r="AG11" i="31" s="1"/>
  <c r="C11" i="23"/>
  <c r="AE11" i="31" s="1"/>
  <c r="B11" i="23"/>
  <c r="AD11" i="31" s="1"/>
  <c r="U10" i="23"/>
  <c r="AW10" i="31" s="1"/>
  <c r="T10" i="23"/>
  <c r="S10" i="23"/>
  <c r="AU10" i="31" s="1"/>
  <c r="R10" i="23"/>
  <c r="Q10" i="23"/>
  <c r="P10" i="23"/>
  <c r="AR10" i="31" s="1"/>
  <c r="O10" i="23"/>
  <c r="AQ10" i="31" s="1"/>
  <c r="N10" i="23"/>
  <c r="AP10" i="31" s="1"/>
  <c r="M10" i="23"/>
  <c r="AO10" i="31" s="1"/>
  <c r="L10" i="23"/>
  <c r="AN10" i="31" s="1"/>
  <c r="K10" i="23"/>
  <c r="AM10" i="31" s="1"/>
  <c r="J10" i="23"/>
  <c r="I10" i="23"/>
  <c r="AK10" i="31" s="1"/>
  <c r="H10" i="23"/>
  <c r="G10" i="23"/>
  <c r="F10" i="23"/>
  <c r="AH10" i="31" s="1"/>
  <c r="E10" i="23"/>
  <c r="U9" i="23"/>
  <c r="AW9" i="31" s="1"/>
  <c r="T9" i="23"/>
  <c r="S9" i="23"/>
  <c r="AU9" i="31" s="1"/>
  <c r="R9" i="23"/>
  <c r="Q9" i="23"/>
  <c r="P9" i="23"/>
  <c r="AR9" i="31" s="1"/>
  <c r="O9" i="23"/>
  <c r="AQ9" i="31" s="1"/>
  <c r="N9" i="23"/>
  <c r="AP9" i="31" s="1"/>
  <c r="M9" i="23"/>
  <c r="AO9" i="31" s="1"/>
  <c r="L9" i="23"/>
  <c r="AN9" i="31" s="1"/>
  <c r="K9" i="23"/>
  <c r="AM9" i="31" s="1"/>
  <c r="J9" i="23"/>
  <c r="I9" i="23"/>
  <c r="AK9" i="31" s="1"/>
  <c r="H9" i="23"/>
  <c r="G9" i="23"/>
  <c r="F9" i="23"/>
  <c r="AH9" i="31" s="1"/>
  <c r="E9" i="23"/>
  <c r="U8" i="23"/>
  <c r="T8" i="23"/>
  <c r="S8" i="23"/>
  <c r="R8" i="23"/>
  <c r="Q8" i="23"/>
  <c r="P8" i="23"/>
  <c r="O8" i="23"/>
  <c r="N8" i="23"/>
  <c r="M8" i="23"/>
  <c r="L8" i="23"/>
  <c r="K8" i="23"/>
  <c r="J8" i="23"/>
  <c r="I8" i="23"/>
  <c r="H8" i="23"/>
  <c r="G8" i="23"/>
  <c r="F8" i="23"/>
  <c r="E8" i="23"/>
  <c r="D8" i="23"/>
  <c r="C8" i="23"/>
  <c r="B8" i="23"/>
  <c r="N66" i="19"/>
  <c r="M66" i="19"/>
  <c r="K66" i="19"/>
  <c r="J66" i="19"/>
  <c r="I66" i="19"/>
  <c r="N65" i="19"/>
  <c r="M65" i="19"/>
  <c r="K65" i="19"/>
  <c r="J65" i="19"/>
  <c r="I65" i="19"/>
  <c r="N64" i="19"/>
  <c r="M64" i="19"/>
  <c r="K64" i="19"/>
  <c r="J64" i="19"/>
  <c r="I64" i="19"/>
  <c r="N63" i="19"/>
  <c r="M63" i="19"/>
  <c r="K63" i="19"/>
  <c r="J63" i="19"/>
  <c r="I63" i="19"/>
  <c r="N62" i="19"/>
  <c r="M62" i="19"/>
  <c r="K62" i="19"/>
  <c r="J62" i="19"/>
  <c r="I62" i="19"/>
  <c r="N61" i="19"/>
  <c r="M61" i="19"/>
  <c r="K61" i="19"/>
  <c r="J61" i="19"/>
  <c r="I61" i="19"/>
  <c r="N60" i="19"/>
  <c r="M60" i="19"/>
  <c r="K60" i="19"/>
  <c r="J60" i="19"/>
  <c r="I60" i="19"/>
  <c r="N59" i="19"/>
  <c r="M59" i="19"/>
  <c r="K59" i="19"/>
  <c r="J59" i="19"/>
  <c r="I59" i="19"/>
  <c r="N58" i="19"/>
  <c r="M58" i="19"/>
  <c r="K58" i="19"/>
  <c r="J58" i="19"/>
  <c r="I58" i="19"/>
  <c r="N55" i="19"/>
  <c r="M55" i="19"/>
  <c r="K55" i="19"/>
  <c r="J55" i="19"/>
  <c r="I55" i="19"/>
  <c r="N54" i="19"/>
  <c r="M54" i="19"/>
  <c r="K54" i="19"/>
  <c r="J54" i="19"/>
  <c r="I54" i="19"/>
  <c r="N53" i="19"/>
  <c r="M53" i="19"/>
  <c r="K53" i="19"/>
  <c r="J53" i="19"/>
  <c r="I53" i="19"/>
  <c r="N52" i="19"/>
  <c r="M52" i="19"/>
  <c r="K52" i="19"/>
  <c r="J52" i="19"/>
  <c r="I52" i="19"/>
  <c r="N51" i="19"/>
  <c r="M51" i="19"/>
  <c r="K51" i="19"/>
  <c r="J51" i="19"/>
  <c r="I51" i="19"/>
  <c r="N50" i="19"/>
  <c r="M50" i="19"/>
  <c r="K50" i="19"/>
  <c r="J50" i="19"/>
  <c r="N49" i="19"/>
  <c r="M49" i="19"/>
  <c r="K49" i="19"/>
  <c r="J49" i="19"/>
  <c r="I49" i="19"/>
  <c r="N48" i="19"/>
  <c r="M48" i="19"/>
  <c r="K48" i="19"/>
  <c r="J48" i="19"/>
  <c r="N47" i="19"/>
  <c r="M47" i="19"/>
  <c r="K47" i="19"/>
  <c r="J47" i="19"/>
  <c r="I47" i="19"/>
  <c r="N46" i="19"/>
  <c r="M46" i="19"/>
  <c r="K46" i="19"/>
  <c r="J46" i="19"/>
  <c r="N45" i="19"/>
  <c r="M45" i="19"/>
  <c r="K45" i="19"/>
  <c r="J45" i="19"/>
  <c r="I45" i="19"/>
  <c r="N44" i="19"/>
  <c r="M44" i="19"/>
  <c r="K44" i="19"/>
  <c r="J44" i="19"/>
  <c r="N41" i="19"/>
  <c r="M41" i="19"/>
  <c r="K41" i="19"/>
  <c r="J41" i="19"/>
  <c r="I41" i="19"/>
  <c r="N40" i="19"/>
  <c r="M40" i="19"/>
  <c r="K40" i="19"/>
  <c r="J40" i="19"/>
  <c r="N39" i="19"/>
  <c r="M39" i="19"/>
  <c r="K39" i="19"/>
  <c r="J39" i="19"/>
  <c r="I39" i="19"/>
  <c r="N38" i="19"/>
  <c r="M38" i="19"/>
  <c r="K38" i="19"/>
  <c r="J38" i="19"/>
  <c r="N37" i="19"/>
  <c r="M37" i="19"/>
  <c r="K37" i="19"/>
  <c r="J37" i="19"/>
  <c r="I37" i="19"/>
  <c r="N36" i="19"/>
  <c r="M36" i="19"/>
  <c r="K36" i="19"/>
  <c r="J36" i="19"/>
  <c r="N35" i="19"/>
  <c r="M35" i="19"/>
  <c r="K35" i="19"/>
  <c r="J35" i="19"/>
  <c r="I35" i="19"/>
  <c r="N34" i="19"/>
  <c r="M34" i="19"/>
  <c r="K34" i="19"/>
  <c r="J34" i="19"/>
  <c r="N33" i="19"/>
  <c r="M33" i="19"/>
  <c r="K33" i="19"/>
  <c r="J33" i="19"/>
  <c r="I33" i="19"/>
  <c r="N32" i="19"/>
  <c r="M32" i="19"/>
  <c r="K32" i="19"/>
  <c r="J32" i="19"/>
  <c r="N31" i="19"/>
  <c r="M31" i="19"/>
  <c r="K31" i="19"/>
  <c r="J31" i="19"/>
  <c r="I31" i="19"/>
  <c r="N30" i="19"/>
  <c r="M30" i="19"/>
  <c r="K30" i="19"/>
  <c r="J30" i="19"/>
  <c r="N26" i="19"/>
  <c r="M26" i="19"/>
  <c r="K26" i="19"/>
  <c r="J26" i="19"/>
  <c r="N25" i="19"/>
  <c r="M25" i="19"/>
  <c r="K25" i="19"/>
  <c r="J25" i="19"/>
  <c r="I25" i="19"/>
  <c r="N24" i="19"/>
  <c r="M24" i="19"/>
  <c r="K24" i="19"/>
  <c r="J24" i="19"/>
  <c r="N23" i="19"/>
  <c r="M23" i="19"/>
  <c r="K23" i="19"/>
  <c r="J23" i="19"/>
  <c r="I23" i="19"/>
  <c r="N22" i="19"/>
  <c r="M22" i="19"/>
  <c r="K22" i="19"/>
  <c r="J22" i="19"/>
  <c r="N21" i="19"/>
  <c r="M21" i="19"/>
  <c r="K21" i="19"/>
  <c r="J21" i="19"/>
  <c r="I21" i="19"/>
  <c r="N20" i="19"/>
  <c r="M20" i="19"/>
  <c r="K20" i="19"/>
  <c r="J20" i="19"/>
  <c r="N19" i="19"/>
  <c r="M19" i="19"/>
  <c r="K19" i="19"/>
  <c r="J19" i="19"/>
  <c r="I19" i="19"/>
  <c r="N18" i="19"/>
  <c r="M18" i="19"/>
  <c r="K18" i="19"/>
  <c r="J18" i="19"/>
  <c r="N17" i="19"/>
  <c r="M17" i="19"/>
  <c r="K17" i="19"/>
  <c r="J17" i="19"/>
  <c r="I17" i="19"/>
  <c r="N16" i="19"/>
  <c r="M16" i="19"/>
  <c r="K16" i="19"/>
  <c r="J16" i="19"/>
  <c r="N15" i="19"/>
  <c r="M15" i="19"/>
  <c r="K15" i="19"/>
  <c r="J15" i="19"/>
  <c r="I15" i="19"/>
  <c r="N14" i="19"/>
  <c r="M14" i="19"/>
  <c r="K14" i="19"/>
  <c r="J14" i="19"/>
  <c r="N13" i="19"/>
  <c r="M13" i="19"/>
  <c r="K13" i="19"/>
  <c r="J13" i="19"/>
  <c r="I13" i="19"/>
  <c r="N12" i="19"/>
  <c r="M12" i="19"/>
  <c r="K12" i="19"/>
  <c r="J12" i="19"/>
  <c r="N11" i="19"/>
  <c r="M11" i="19"/>
  <c r="K11" i="19"/>
  <c r="J11" i="19"/>
  <c r="I11" i="19"/>
  <c r="M67" i="18"/>
  <c r="K67" i="18"/>
  <c r="J67" i="18"/>
  <c r="I67" i="18"/>
  <c r="J66" i="18"/>
  <c r="I66" i="18"/>
  <c r="N65" i="18"/>
  <c r="I65" i="18"/>
  <c r="N64" i="18"/>
  <c r="M64" i="18"/>
  <c r="K64" i="18"/>
  <c r="N63" i="18"/>
  <c r="M63" i="18"/>
  <c r="J63" i="18"/>
  <c r="M62" i="18"/>
  <c r="I62" i="18"/>
  <c r="K61" i="18"/>
  <c r="N60" i="18"/>
  <c r="K60" i="18"/>
  <c r="J60" i="18"/>
  <c r="M59" i="18"/>
  <c r="K59" i="18"/>
  <c r="J59" i="18"/>
  <c r="I59" i="18"/>
  <c r="J58" i="18"/>
  <c r="I58" i="18"/>
  <c r="N55" i="18"/>
  <c r="M55" i="18"/>
  <c r="K55" i="18"/>
  <c r="N54" i="18"/>
  <c r="M54" i="18"/>
  <c r="J54" i="18"/>
  <c r="M53" i="18"/>
  <c r="I53" i="18"/>
  <c r="K52" i="18"/>
  <c r="N51" i="18"/>
  <c r="K51" i="18"/>
  <c r="J51" i="18"/>
  <c r="M50" i="18"/>
  <c r="K50" i="18"/>
  <c r="J50" i="18"/>
  <c r="I50" i="18"/>
  <c r="J49" i="18"/>
  <c r="I49" i="18"/>
  <c r="N48" i="18"/>
  <c r="I48" i="18"/>
  <c r="N47" i="18"/>
  <c r="M47" i="18"/>
  <c r="K47" i="18"/>
  <c r="N46" i="18"/>
  <c r="M46" i="18"/>
  <c r="J46" i="18"/>
  <c r="M45" i="18"/>
  <c r="I45" i="18"/>
  <c r="K44" i="18"/>
  <c r="M41" i="18"/>
  <c r="K41" i="18"/>
  <c r="J41" i="18"/>
  <c r="I41" i="18"/>
  <c r="J40" i="18"/>
  <c r="I40" i="18"/>
  <c r="N39" i="18"/>
  <c r="I39" i="18"/>
  <c r="N38" i="18"/>
  <c r="M38" i="18"/>
  <c r="K38" i="18"/>
  <c r="N37" i="18"/>
  <c r="M37" i="18"/>
  <c r="J37" i="18"/>
  <c r="M36" i="18"/>
  <c r="I36" i="18"/>
  <c r="K35" i="18"/>
  <c r="N34" i="18"/>
  <c r="K34" i="18"/>
  <c r="J34" i="18"/>
  <c r="M33" i="18"/>
  <c r="K33" i="18"/>
  <c r="J33" i="18"/>
  <c r="I33" i="18"/>
  <c r="J32" i="18"/>
  <c r="I32" i="18"/>
  <c r="N31" i="18"/>
  <c r="I31" i="18"/>
  <c r="N30" i="18"/>
  <c r="M30" i="18"/>
  <c r="K30" i="18"/>
  <c r="N29" i="18"/>
  <c r="M29" i="18"/>
  <c r="J29" i="18"/>
  <c r="K26" i="18"/>
  <c r="N25" i="18"/>
  <c r="K25" i="18"/>
  <c r="J25" i="18"/>
  <c r="M24" i="18"/>
  <c r="K24" i="18"/>
  <c r="J24" i="18"/>
  <c r="I24" i="18"/>
  <c r="J23" i="18"/>
  <c r="I23" i="18"/>
  <c r="N22" i="18"/>
  <c r="I22" i="18"/>
  <c r="N21" i="18"/>
  <c r="M21" i="18"/>
  <c r="K21" i="18"/>
  <c r="N20" i="18"/>
  <c r="M20" i="18"/>
  <c r="J20" i="18"/>
  <c r="M19" i="18"/>
  <c r="I19" i="18"/>
  <c r="K18" i="18"/>
  <c r="N17" i="18"/>
  <c r="K17" i="18"/>
  <c r="J17" i="18"/>
  <c r="M16" i="18"/>
  <c r="K16" i="18"/>
  <c r="J16" i="18"/>
  <c r="J15" i="18"/>
  <c r="N14" i="18"/>
  <c r="N13" i="18"/>
  <c r="M13" i="18"/>
  <c r="N12" i="18"/>
  <c r="M12" i="18"/>
  <c r="J12" i="18"/>
  <c r="M11" i="18"/>
  <c r="I11" i="18"/>
  <c r="AV39" i="31" l="1"/>
  <c r="X41" i="18"/>
  <c r="AV46" i="31"/>
  <c r="L48" i="18"/>
  <c r="AV63" i="31"/>
  <c r="L65" i="18"/>
  <c r="AV15" i="31"/>
  <c r="L17" i="18"/>
  <c r="AV9" i="31"/>
  <c r="L11" i="18"/>
  <c r="AV22" i="31"/>
  <c r="L24" i="18"/>
  <c r="AV24" i="31"/>
  <c r="L26" i="18"/>
  <c r="AV29" i="31"/>
  <c r="L31" i="18"/>
  <c r="AV31" i="31"/>
  <c r="AV37" i="31"/>
  <c r="L39" i="18"/>
  <c r="AV48" i="31"/>
  <c r="L50" i="18"/>
  <c r="AV57" i="31"/>
  <c r="X59" i="18"/>
  <c r="AV59" i="31"/>
  <c r="AV18" i="31"/>
  <c r="AV19" i="31"/>
  <c r="L21" i="18"/>
  <c r="AV21" i="31"/>
  <c r="L23" i="18"/>
  <c r="AV10" i="31"/>
  <c r="X12" i="18"/>
  <c r="AV16" i="31"/>
  <c r="L18" i="18"/>
  <c r="AV23" i="31"/>
  <c r="L25" i="18"/>
  <c r="AV9" i="11"/>
  <c r="L11" i="19"/>
  <c r="AV11" i="11"/>
  <c r="AV13" i="11"/>
  <c r="L15" i="19"/>
  <c r="AV15" i="11"/>
  <c r="L17" i="19"/>
  <c r="AV17" i="11"/>
  <c r="L19" i="19"/>
  <c r="AV19" i="11"/>
  <c r="AV21" i="11"/>
  <c r="X23" i="19"/>
  <c r="AV23" i="11"/>
  <c r="L25" i="19"/>
  <c r="AV28" i="11"/>
  <c r="X30" i="19"/>
  <c r="AV30" i="11"/>
  <c r="AV32" i="11"/>
  <c r="AV34" i="11"/>
  <c r="L36" i="19"/>
  <c r="AV36" i="11"/>
  <c r="L38" i="19"/>
  <c r="AV38" i="11"/>
  <c r="AV43" i="11"/>
  <c r="AV45" i="11"/>
  <c r="X47" i="19"/>
  <c r="AV47" i="11"/>
  <c r="X49" i="19"/>
  <c r="AV49" i="11"/>
  <c r="AV51" i="11"/>
  <c r="AV53" i="11"/>
  <c r="L55" i="19"/>
  <c r="AV56" i="11"/>
  <c r="L58" i="19"/>
  <c r="AV58" i="11"/>
  <c r="AV60" i="11"/>
  <c r="AV62" i="11"/>
  <c r="X64" i="19"/>
  <c r="AV64" i="11"/>
  <c r="X66" i="19"/>
  <c r="AV35" i="31"/>
  <c r="AV44" i="31"/>
  <c r="X46" i="18"/>
  <c r="AV50" i="31"/>
  <c r="X52" i="18"/>
  <c r="AV12" i="31"/>
  <c r="L14" i="18"/>
  <c r="AV24" i="11"/>
  <c r="AV27" i="11"/>
  <c r="AV29" i="11"/>
  <c r="L31" i="19"/>
  <c r="AV31" i="11"/>
  <c r="L33" i="19"/>
  <c r="AV33" i="11"/>
  <c r="AV35" i="11"/>
  <c r="AV37" i="11"/>
  <c r="L39" i="19"/>
  <c r="AV39" i="11"/>
  <c r="L41" i="19"/>
  <c r="AV42" i="11"/>
  <c r="AV44" i="11"/>
  <c r="L46" i="19"/>
  <c r="AV46" i="11"/>
  <c r="L48" i="19"/>
  <c r="AV48" i="11"/>
  <c r="L50" i="19"/>
  <c r="AV50" i="11"/>
  <c r="AV52" i="11"/>
  <c r="AV57" i="11"/>
  <c r="AV59" i="11"/>
  <c r="L61" i="19"/>
  <c r="AV61" i="11"/>
  <c r="AV63" i="11"/>
  <c r="L65" i="19"/>
  <c r="AV17" i="31"/>
  <c r="L19" i="18"/>
  <c r="AV27" i="31"/>
  <c r="L29" i="18"/>
  <c r="AV33" i="31"/>
  <c r="AV42" i="31"/>
  <c r="L44" i="18"/>
  <c r="AV52" i="31"/>
  <c r="L54" i="18"/>
  <c r="AV61" i="31"/>
  <c r="L63" i="18"/>
  <c r="AV11" i="31"/>
  <c r="AV13" i="31"/>
  <c r="L15" i="18"/>
  <c r="AV10" i="11"/>
  <c r="X12" i="19"/>
  <c r="AV12" i="11"/>
  <c r="X14" i="19"/>
  <c r="AV14" i="11"/>
  <c r="AV16" i="11"/>
  <c r="AV18" i="11"/>
  <c r="L20" i="19"/>
  <c r="AV20" i="11"/>
  <c r="X22" i="19"/>
  <c r="AV22" i="11"/>
  <c r="AV14" i="31"/>
  <c r="L16" i="18"/>
  <c r="AV20" i="31"/>
  <c r="L22" i="18"/>
  <c r="AV28" i="31"/>
  <c r="X30" i="18"/>
  <c r="AV30" i="31"/>
  <c r="X32" i="18"/>
  <c r="AV32" i="31"/>
  <c r="L34" i="18"/>
  <c r="AV34" i="31"/>
  <c r="L36" i="18"/>
  <c r="AV36" i="31"/>
  <c r="L38" i="18"/>
  <c r="AV38" i="31"/>
  <c r="AV43" i="31"/>
  <c r="X45" i="18"/>
  <c r="AV45" i="31"/>
  <c r="L47" i="18"/>
  <c r="AV47" i="31"/>
  <c r="L49" i="18"/>
  <c r="AV49" i="31"/>
  <c r="L51" i="18"/>
  <c r="AV51" i="31"/>
  <c r="L53" i="18"/>
  <c r="AV53" i="31"/>
  <c r="L55" i="18"/>
  <c r="AV56" i="31"/>
  <c r="L58" i="18"/>
  <c r="AV58" i="31"/>
  <c r="AV60" i="31"/>
  <c r="L62" i="18"/>
  <c r="AV62" i="31"/>
  <c r="L64" i="18"/>
  <c r="AV64" i="31"/>
  <c r="X66" i="18"/>
  <c r="AT10" i="11"/>
  <c r="AT12" i="11"/>
  <c r="AT14" i="11"/>
  <c r="L16" i="19"/>
  <c r="AT16" i="11"/>
  <c r="L18" i="19"/>
  <c r="AT18" i="11"/>
  <c r="AT20" i="11"/>
  <c r="AT22" i="11"/>
  <c r="L24" i="19"/>
  <c r="AT24" i="11"/>
  <c r="L26" i="19"/>
  <c r="AT27" i="11"/>
  <c r="AT29" i="11"/>
  <c r="AT31" i="11"/>
  <c r="AT33" i="11"/>
  <c r="X35" i="19"/>
  <c r="AT35" i="11"/>
  <c r="AT37" i="11"/>
  <c r="AT39" i="11"/>
  <c r="AT42" i="11"/>
  <c r="L44" i="19"/>
  <c r="AT44" i="11"/>
  <c r="AT46" i="11"/>
  <c r="AT48" i="11"/>
  <c r="AT50" i="11"/>
  <c r="L52" i="19"/>
  <c r="AT52" i="11"/>
  <c r="AT57" i="11"/>
  <c r="L59" i="19"/>
  <c r="AT59" i="11"/>
  <c r="AT61" i="11"/>
  <c r="L63" i="19"/>
  <c r="AT63" i="11"/>
  <c r="AT9" i="11"/>
  <c r="AT11" i="11"/>
  <c r="X13" i="19"/>
  <c r="AT13" i="11"/>
  <c r="AT15" i="11"/>
  <c r="AT17" i="11"/>
  <c r="AT19" i="11"/>
  <c r="L21" i="19"/>
  <c r="AT21" i="11"/>
  <c r="AT23" i="11"/>
  <c r="AT28" i="11"/>
  <c r="AT30" i="11"/>
  <c r="X32" i="19"/>
  <c r="AT32" i="11"/>
  <c r="L34" i="19"/>
  <c r="AT34" i="11"/>
  <c r="AT36" i="11"/>
  <c r="AT38" i="11"/>
  <c r="X40" i="19"/>
  <c r="AT43" i="11"/>
  <c r="L45" i="19"/>
  <c r="AT45" i="11"/>
  <c r="AT47" i="11"/>
  <c r="AT49" i="11"/>
  <c r="X51" i="19"/>
  <c r="AT51" i="11"/>
  <c r="L53" i="19"/>
  <c r="AT53" i="11"/>
  <c r="AT56" i="11"/>
  <c r="AT58" i="11"/>
  <c r="L60" i="19"/>
  <c r="AT60" i="11"/>
  <c r="X62" i="19"/>
  <c r="AT62" i="11"/>
  <c r="AT64" i="11"/>
  <c r="AT31" i="31"/>
  <c r="L33" i="18"/>
  <c r="AT39" i="31"/>
  <c r="AT44" i="31"/>
  <c r="AT63" i="31"/>
  <c r="AT18" i="31"/>
  <c r="L20" i="18"/>
  <c r="AT13" i="31"/>
  <c r="AT19" i="31"/>
  <c r="AT50" i="31"/>
  <c r="AT52" i="31"/>
  <c r="AT57" i="31"/>
  <c r="AT59" i="31"/>
  <c r="L61" i="18"/>
  <c r="AT61" i="31"/>
  <c r="AT65" i="31"/>
  <c r="AT11" i="31"/>
  <c r="AT12" i="31"/>
  <c r="AT14" i="31"/>
  <c r="AT20" i="31"/>
  <c r="AT28" i="31"/>
  <c r="AT30" i="31"/>
  <c r="AT32" i="31"/>
  <c r="AT34" i="31"/>
  <c r="AT36" i="31"/>
  <c r="AT38" i="31"/>
  <c r="L40" i="18"/>
  <c r="AT43" i="31"/>
  <c r="AT45" i="31"/>
  <c r="AT47" i="31"/>
  <c r="AT49" i="31"/>
  <c r="AT51" i="31"/>
  <c r="AT53" i="31"/>
  <c r="AT56" i="31"/>
  <c r="AT58" i="31"/>
  <c r="X60" i="18"/>
  <c r="AT60" i="31"/>
  <c r="AT62" i="31"/>
  <c r="AT64" i="31"/>
  <c r="AT24" i="31"/>
  <c r="AT29" i="31"/>
  <c r="AT33" i="31"/>
  <c r="L35" i="18"/>
  <c r="AT35" i="31"/>
  <c r="L37" i="18"/>
  <c r="AT42" i="31"/>
  <c r="AT46" i="31"/>
  <c r="AT15" i="31"/>
  <c r="AT21" i="31"/>
  <c r="AT17" i="31"/>
  <c r="AT27" i="31"/>
  <c r="AT37" i="31"/>
  <c r="AT48" i="31"/>
  <c r="AT9" i="31"/>
  <c r="AT22" i="31"/>
  <c r="AT10" i="31"/>
  <c r="AT16" i="31"/>
  <c r="AT23" i="31"/>
  <c r="AS18" i="31"/>
  <c r="AS30" i="31"/>
  <c r="AS42" i="31"/>
  <c r="AS48" i="31"/>
  <c r="AS52" i="31"/>
  <c r="AS60" i="31"/>
  <c r="AS9" i="11"/>
  <c r="AS13" i="11"/>
  <c r="AS17" i="11"/>
  <c r="AS49" i="11"/>
  <c r="AS57" i="11"/>
  <c r="AS14" i="31"/>
  <c r="AS20" i="31"/>
  <c r="AS22" i="31"/>
  <c r="AS24" i="31"/>
  <c r="AS28" i="31"/>
  <c r="AS32" i="31"/>
  <c r="AS34" i="31"/>
  <c r="AS36" i="31"/>
  <c r="AS38" i="31"/>
  <c r="AS44" i="31"/>
  <c r="AS50" i="31"/>
  <c r="AS56" i="31"/>
  <c r="AS62" i="31"/>
  <c r="AS64" i="31"/>
  <c r="AS15" i="11"/>
  <c r="AS19" i="11"/>
  <c r="AS21" i="11"/>
  <c r="AS23" i="11"/>
  <c r="AS27" i="11"/>
  <c r="AS33" i="11"/>
  <c r="AS37" i="11"/>
  <c r="AS43" i="11"/>
  <c r="AS63" i="11"/>
  <c r="AS12" i="31"/>
  <c r="AS46" i="31"/>
  <c r="AS58" i="31"/>
  <c r="AS29" i="11"/>
  <c r="L37" i="19"/>
  <c r="AS35" i="11"/>
  <c r="AS45" i="11"/>
  <c r="AS53" i="11"/>
  <c r="AS59" i="11"/>
  <c r="AS10" i="31"/>
  <c r="AS16" i="31"/>
  <c r="AS11" i="11"/>
  <c r="AS31" i="11"/>
  <c r="AS39" i="11"/>
  <c r="AS47" i="11"/>
  <c r="AS51" i="11"/>
  <c r="AS61" i="11"/>
  <c r="AS9" i="31"/>
  <c r="AS13" i="31"/>
  <c r="AS15" i="31"/>
  <c r="AS17" i="31"/>
  <c r="AS19" i="31"/>
  <c r="AS21" i="31"/>
  <c r="AS23" i="31"/>
  <c r="AS27" i="31"/>
  <c r="AS29" i="31"/>
  <c r="AS31" i="31"/>
  <c r="AS33" i="31"/>
  <c r="AS35" i="31"/>
  <c r="AS37" i="31"/>
  <c r="AS39" i="31"/>
  <c r="AS43" i="31"/>
  <c r="AS45" i="31"/>
  <c r="AS47" i="31"/>
  <c r="AS49" i="31"/>
  <c r="AS51" i="31"/>
  <c r="AS53" i="31"/>
  <c r="AS57" i="31"/>
  <c r="AS59" i="31"/>
  <c r="AS61" i="31"/>
  <c r="AS63" i="31"/>
  <c r="AS65" i="31"/>
  <c r="AS10" i="11"/>
  <c r="AS12" i="11"/>
  <c r="AS14" i="11"/>
  <c r="AS16" i="11"/>
  <c r="AS18" i="11"/>
  <c r="AS20" i="11"/>
  <c r="AS22" i="11"/>
  <c r="AS24" i="11"/>
  <c r="AS28" i="11"/>
  <c r="AS30" i="11"/>
  <c r="AS32" i="11"/>
  <c r="AS34" i="11"/>
  <c r="AS36" i="11"/>
  <c r="AS38" i="11"/>
  <c r="AS42" i="11"/>
  <c r="AS44" i="11"/>
  <c r="AS46" i="11"/>
  <c r="AS48" i="11"/>
  <c r="AS50" i="11"/>
  <c r="L54" i="19"/>
  <c r="AS52" i="11"/>
  <c r="AS56" i="11"/>
  <c r="AS58" i="11"/>
  <c r="AS60" i="11"/>
  <c r="AS62" i="11"/>
  <c r="AS64" i="11"/>
  <c r="K11" i="18"/>
  <c r="M14" i="18"/>
  <c r="N15" i="18"/>
  <c r="I17" i="18"/>
  <c r="J18" i="18"/>
  <c r="K19" i="18"/>
  <c r="M22" i="18"/>
  <c r="N23" i="18"/>
  <c r="I25" i="18"/>
  <c r="J26" i="18"/>
  <c r="M31" i="18"/>
  <c r="N32" i="18"/>
  <c r="I34" i="18"/>
  <c r="J35" i="18"/>
  <c r="K36" i="18"/>
  <c r="M39" i="18"/>
  <c r="N40" i="18"/>
  <c r="J44" i="18"/>
  <c r="K45" i="18"/>
  <c r="M48" i="18"/>
  <c r="N49" i="18"/>
  <c r="I51" i="18"/>
  <c r="J52" i="18"/>
  <c r="K53" i="18"/>
  <c r="N58" i="18"/>
  <c r="I60" i="18"/>
  <c r="J61" i="18"/>
  <c r="K62" i="18"/>
  <c r="M65" i="18"/>
  <c r="N66" i="18"/>
  <c r="J11" i="18"/>
  <c r="K12" i="18"/>
  <c r="M15" i="18"/>
  <c r="N16" i="18"/>
  <c r="I18" i="18"/>
  <c r="J19" i="18"/>
  <c r="K20" i="18"/>
  <c r="M23" i="18"/>
  <c r="N24" i="18"/>
  <c r="I26" i="18"/>
  <c r="K29" i="18"/>
  <c r="M32" i="18"/>
  <c r="N33" i="18"/>
  <c r="I35" i="18"/>
  <c r="J36" i="18"/>
  <c r="K37" i="18"/>
  <c r="M40" i="18"/>
  <c r="N41" i="18"/>
  <c r="I44" i="18"/>
  <c r="J45" i="18"/>
  <c r="K46" i="18"/>
  <c r="M49" i="18"/>
  <c r="N50" i="18"/>
  <c r="I52" i="18"/>
  <c r="J53" i="18"/>
  <c r="K54" i="18"/>
  <c r="M58" i="18"/>
  <c r="N59" i="18"/>
  <c r="I61" i="18"/>
  <c r="J62" i="18"/>
  <c r="K63" i="18"/>
  <c r="M66" i="18"/>
  <c r="N67" i="18"/>
  <c r="N18" i="18"/>
  <c r="K22" i="18"/>
  <c r="M25" i="18"/>
  <c r="J30" i="18"/>
  <c r="N35" i="18"/>
  <c r="J38" i="18"/>
  <c r="N44" i="18"/>
  <c r="J47" i="18"/>
  <c r="I54" i="18"/>
  <c r="N61" i="18"/>
  <c r="J64" i="18"/>
  <c r="N11" i="18"/>
  <c r="J14" i="18"/>
  <c r="K15" i="18"/>
  <c r="M18" i="18"/>
  <c r="N19" i="18"/>
  <c r="I21" i="18"/>
  <c r="J22" i="18"/>
  <c r="K23" i="18"/>
  <c r="M26" i="18"/>
  <c r="I30" i="18"/>
  <c r="J31" i="18"/>
  <c r="K32" i="18"/>
  <c r="M35" i="18"/>
  <c r="N36" i="18"/>
  <c r="I38" i="18"/>
  <c r="J39" i="18"/>
  <c r="K40" i="18"/>
  <c r="M44" i="18"/>
  <c r="N45" i="18"/>
  <c r="I47" i="18"/>
  <c r="J48" i="18"/>
  <c r="K49" i="18"/>
  <c r="M52" i="18"/>
  <c r="N53" i="18"/>
  <c r="I55" i="18"/>
  <c r="K58" i="18"/>
  <c r="M61" i="18"/>
  <c r="N62" i="18"/>
  <c r="I64" i="18"/>
  <c r="J65" i="18"/>
  <c r="K66" i="18"/>
  <c r="I20" i="18"/>
  <c r="N26" i="18"/>
  <c r="K31" i="18"/>
  <c r="M34" i="18"/>
  <c r="K39" i="18"/>
  <c r="I46" i="18"/>
  <c r="M51" i="18"/>
  <c r="J55" i="18"/>
  <c r="M60" i="18"/>
  <c r="K65" i="18"/>
  <c r="K14" i="18"/>
  <c r="M17" i="18"/>
  <c r="J21" i="18"/>
  <c r="I29" i="18"/>
  <c r="I37" i="18"/>
  <c r="K48" i="18"/>
  <c r="N52" i="18"/>
  <c r="I63" i="18"/>
  <c r="I15" i="18"/>
  <c r="Y15" i="18"/>
  <c r="I12" i="18"/>
  <c r="Y12" i="18"/>
  <c r="I14" i="18"/>
  <c r="Y14" i="18"/>
  <c r="I16" i="18"/>
  <c r="Y16" i="18"/>
  <c r="Y13" i="18"/>
  <c r="Y30" i="19"/>
  <c r="I30" i="19"/>
  <c r="Y32" i="19"/>
  <c r="I32" i="19"/>
  <c r="Y34" i="19"/>
  <c r="I34" i="19"/>
  <c r="Y36" i="19"/>
  <c r="I36" i="19"/>
  <c r="Y38" i="19"/>
  <c r="I38" i="19"/>
  <c r="Y40" i="19"/>
  <c r="I40" i="19"/>
  <c r="Y42" i="19"/>
  <c r="Y12" i="19"/>
  <c r="I12" i="19"/>
  <c r="Y14" i="19"/>
  <c r="I14" i="19"/>
  <c r="Y16" i="19"/>
  <c r="I16" i="19"/>
  <c r="Y18" i="19"/>
  <c r="I18" i="19"/>
  <c r="Y20" i="19"/>
  <c r="I20" i="19"/>
  <c r="Y22" i="19"/>
  <c r="I22" i="19"/>
  <c r="Y24" i="19"/>
  <c r="I24" i="19"/>
  <c r="Y26" i="19"/>
  <c r="I26" i="19"/>
  <c r="Y44" i="19"/>
  <c r="I44" i="19"/>
  <c r="Y46" i="19"/>
  <c r="I46" i="19"/>
  <c r="Y48" i="19"/>
  <c r="I48" i="19"/>
  <c r="Y50" i="19"/>
  <c r="I50" i="19"/>
  <c r="Y9" i="19"/>
  <c r="Y11" i="19"/>
  <c r="Y13" i="19"/>
  <c r="Y15" i="19"/>
  <c r="Y17" i="19"/>
  <c r="Y19" i="19"/>
  <c r="Y21" i="19"/>
  <c r="Y23" i="19"/>
  <c r="Y25" i="19"/>
  <c r="Y27" i="19"/>
  <c r="Y29" i="19"/>
  <c r="Y31" i="19"/>
  <c r="Y33" i="19"/>
  <c r="Y35" i="19"/>
  <c r="Y37" i="19"/>
  <c r="Y39" i="19"/>
  <c r="Y41" i="19"/>
  <c r="Y45" i="19"/>
  <c r="Y47" i="19"/>
  <c r="Y49" i="19"/>
  <c r="Y51" i="19"/>
  <c r="Y53" i="19"/>
  <c r="Y55" i="19"/>
  <c r="Y59" i="19"/>
  <c r="Y61" i="19"/>
  <c r="Y63" i="19"/>
  <c r="Y65" i="19"/>
  <c r="X37" i="19"/>
  <c r="Y52" i="19"/>
  <c r="Y54" i="19"/>
  <c r="Y56" i="19"/>
  <c r="Y58" i="19"/>
  <c r="Y60" i="19"/>
  <c r="Y62" i="19"/>
  <c r="Y64" i="19"/>
  <c r="Y66" i="19"/>
  <c r="Y67" i="18"/>
  <c r="Y66" i="18"/>
  <c r="Y65" i="18"/>
  <c r="Y64" i="18"/>
  <c r="Y63" i="18"/>
  <c r="Y62" i="18"/>
  <c r="Y61" i="18"/>
  <c r="Y60" i="18"/>
  <c r="Y59" i="18"/>
  <c r="Y58" i="18"/>
  <c r="Y55" i="18"/>
  <c r="Y54" i="18"/>
  <c r="Y53" i="18"/>
  <c r="Y52" i="18"/>
  <c r="Y51" i="18"/>
  <c r="Y50" i="18"/>
  <c r="Y49" i="18"/>
  <c r="Y48" i="18"/>
  <c r="Y47" i="18"/>
  <c r="Y46" i="18"/>
  <c r="Y45" i="18"/>
  <c r="Y44" i="18"/>
  <c r="Y41" i="18"/>
  <c r="Y40" i="18"/>
  <c r="Y39" i="18"/>
  <c r="Y38" i="18"/>
  <c r="Y37" i="18"/>
  <c r="Y36" i="18"/>
  <c r="Y35" i="18"/>
  <c r="Y34" i="18"/>
  <c r="Y33" i="18"/>
  <c r="Y32" i="18"/>
  <c r="Y31" i="18"/>
  <c r="Y30" i="18"/>
  <c r="Y29" i="18"/>
  <c r="X25" i="19" l="1"/>
  <c r="X55" i="19"/>
  <c r="L12" i="19"/>
  <c r="X17" i="19"/>
  <c r="L64" i="19"/>
  <c r="L47" i="19"/>
  <c r="X46" i="19"/>
  <c r="X21" i="19"/>
  <c r="L30" i="19"/>
  <c r="X59" i="19"/>
  <c r="L66" i="19"/>
  <c r="L40" i="19"/>
  <c r="L14" i="19"/>
  <c r="L22" i="19"/>
  <c r="X48" i="19"/>
  <c r="L62" i="19"/>
  <c r="X50" i="19"/>
  <c r="L51" i="19"/>
  <c r="X60" i="19"/>
  <c r="L32" i="19"/>
  <c r="X19" i="19"/>
  <c r="L49" i="19"/>
  <c r="X34" i="19"/>
  <c r="X53" i="19"/>
  <c r="X45" i="19"/>
  <c r="X58" i="19"/>
  <c r="L23" i="19"/>
  <c r="X18" i="19"/>
  <c r="X24" i="19"/>
  <c r="L13" i="19"/>
  <c r="L35" i="19"/>
  <c r="X52" i="19"/>
  <c r="X54" i="18"/>
  <c r="L60" i="18"/>
  <c r="L32" i="18"/>
  <c r="L46" i="18"/>
  <c r="X62" i="18"/>
  <c r="X51" i="18"/>
  <c r="L41" i="18"/>
  <c r="L52" i="18"/>
  <c r="L45" i="18"/>
  <c r="L66" i="18"/>
  <c r="X65" i="18"/>
  <c r="X53" i="18"/>
  <c r="X36" i="18"/>
  <c r="X35" i="18"/>
  <c r="X47" i="18"/>
  <c r="X34" i="18"/>
  <c r="X39" i="19"/>
  <c r="X44" i="19"/>
  <c r="X38" i="19"/>
  <c r="X63" i="18"/>
  <c r="X33" i="18"/>
  <c r="X14" i="18"/>
  <c r="L12" i="18"/>
  <c r="X48" i="18"/>
  <c r="X15" i="18"/>
  <c r="X50" i="18"/>
  <c r="X64" i="18"/>
  <c r="L30" i="18"/>
  <c r="X16" i="19"/>
  <c r="X40" i="18"/>
  <c r="X11" i="19"/>
  <c r="X63" i="19"/>
  <c r="X36" i="19"/>
  <c r="X20" i="19"/>
  <c r="X37" i="18"/>
  <c r="X61" i="18"/>
  <c r="X49" i="18"/>
  <c r="L59" i="18"/>
  <c r="X29" i="18"/>
  <c r="X54" i="19"/>
  <c r="X61" i="19"/>
  <c r="X16" i="18"/>
  <c r="X58" i="18"/>
  <c r="X29" i="19"/>
  <c r="X65" i="19"/>
  <c r="X31" i="19"/>
  <c r="X39" i="18"/>
  <c r="X44" i="18"/>
  <c r="X41" i="19"/>
  <c r="X38" i="18"/>
  <c r="X55" i="18"/>
  <c r="X15" i="19"/>
  <c r="X33" i="19"/>
  <c r="X26" i="19"/>
  <c r="X31" i="18"/>
  <c r="U54" i="11"/>
  <c r="U40" i="11"/>
  <c r="U25" i="11"/>
  <c r="U7" i="11"/>
  <c r="U54" i="20"/>
  <c r="U40" i="20"/>
  <c r="U25" i="20"/>
  <c r="U7" i="20"/>
  <c r="U54" i="1"/>
  <c r="U40" i="1"/>
  <c r="U25" i="1"/>
  <c r="U7" i="1"/>
  <c r="U54" i="21"/>
  <c r="U40" i="21"/>
  <c r="U25" i="21"/>
  <c r="U7" i="21"/>
  <c r="U54" i="2"/>
  <c r="U40" i="2"/>
  <c r="U25" i="2"/>
  <c r="U7" i="2"/>
  <c r="U54" i="22"/>
  <c r="U40" i="22"/>
  <c r="U25" i="22"/>
  <c r="U7" i="22"/>
  <c r="U54" i="3"/>
  <c r="U40" i="3"/>
  <c r="U25" i="3"/>
  <c r="U7" i="3"/>
  <c r="U54" i="24"/>
  <c r="U40" i="24"/>
  <c r="U25" i="24"/>
  <c r="U7" i="24"/>
  <c r="U54" i="5"/>
  <c r="U40" i="5"/>
  <c r="U25" i="5"/>
  <c r="U7" i="5"/>
  <c r="U54" i="25"/>
  <c r="U40" i="25"/>
  <c r="U25" i="25"/>
  <c r="U7" i="25"/>
  <c r="U40" i="6"/>
  <c r="U25" i="6"/>
  <c r="U7" i="6"/>
  <c r="T65" i="26"/>
  <c r="T65" i="23" s="1"/>
  <c r="U54" i="26"/>
  <c r="U40" i="26"/>
  <c r="U25" i="26"/>
  <c r="U7" i="26"/>
  <c r="U54" i="7"/>
  <c r="U40" i="7"/>
  <c r="U25" i="7"/>
  <c r="U7" i="7"/>
  <c r="U54" i="27"/>
  <c r="U40" i="27"/>
  <c r="U25" i="27"/>
  <c r="U7" i="27"/>
  <c r="U54" i="8"/>
  <c r="U40" i="8"/>
  <c r="U25" i="8"/>
  <c r="U7" i="8"/>
  <c r="U54" i="28"/>
  <c r="U40" i="28"/>
  <c r="U25" i="28"/>
  <c r="U7" i="28"/>
  <c r="U54" i="9"/>
  <c r="U40" i="9"/>
  <c r="U25" i="9"/>
  <c r="U7" i="9"/>
  <c r="U54" i="29"/>
  <c r="T54" i="29"/>
  <c r="U40" i="29"/>
  <c r="U25" i="29"/>
  <c r="U7" i="29"/>
  <c r="U54" i="10"/>
  <c r="U40" i="10"/>
  <c r="U25" i="10"/>
  <c r="U7" i="10"/>
  <c r="U54" i="31"/>
  <c r="U40" i="31"/>
  <c r="U25" i="31"/>
  <c r="U7" i="31"/>
  <c r="C6" i="4"/>
  <c r="AE6" i="11" s="1"/>
  <c r="D6" i="4"/>
  <c r="E6" i="4"/>
  <c r="G6" i="4"/>
  <c r="H6" i="4"/>
  <c r="J6" i="4"/>
  <c r="AL6" i="11" s="1"/>
  <c r="B6" i="4"/>
  <c r="AD6" i="11" s="1"/>
  <c r="E6" i="23"/>
  <c r="G6" i="23"/>
  <c r="H6" i="23"/>
  <c r="J6" i="23"/>
  <c r="J6" i="10"/>
  <c r="H6" i="10"/>
  <c r="G6" i="10"/>
  <c r="E6" i="10"/>
  <c r="D6" i="10"/>
  <c r="J6" i="29"/>
  <c r="H6" i="29"/>
  <c r="G6" i="29"/>
  <c r="E6" i="29"/>
  <c r="D6" i="29"/>
  <c r="C6" i="29"/>
  <c r="B6" i="29"/>
  <c r="D6" i="28"/>
  <c r="C6" i="28"/>
  <c r="B6" i="28"/>
  <c r="D6" i="27"/>
  <c r="C6" i="27"/>
  <c r="B6" i="27"/>
  <c r="D6" i="26"/>
  <c r="C6" i="26"/>
  <c r="B6" i="26"/>
  <c r="D6" i="25"/>
  <c r="C6" i="25"/>
  <c r="B6" i="25"/>
  <c r="D6" i="24"/>
  <c r="C6" i="24"/>
  <c r="B6" i="24"/>
  <c r="D6" i="22"/>
  <c r="C6" i="22"/>
  <c r="B6" i="22"/>
  <c r="D6" i="21"/>
  <c r="C6" i="21"/>
  <c r="B6" i="21"/>
  <c r="D6" i="20"/>
  <c r="C6" i="20"/>
  <c r="B6" i="20"/>
  <c r="D6" i="31"/>
  <c r="C6" i="31"/>
  <c r="B6" i="31"/>
  <c r="T54" i="10"/>
  <c r="S54" i="10"/>
  <c r="R54" i="10"/>
  <c r="Q54" i="10"/>
  <c r="P54" i="10"/>
  <c r="O54" i="10"/>
  <c r="N54" i="10"/>
  <c r="M54" i="10"/>
  <c r="L54" i="10"/>
  <c r="K54" i="10"/>
  <c r="J54" i="10"/>
  <c r="I54" i="10"/>
  <c r="H54" i="10"/>
  <c r="G54" i="10"/>
  <c r="F54" i="10"/>
  <c r="E54" i="10"/>
  <c r="D54" i="10"/>
  <c r="C54" i="10"/>
  <c r="B54" i="10"/>
  <c r="S54" i="29"/>
  <c r="R54" i="29"/>
  <c r="Q54" i="29"/>
  <c r="P54" i="29"/>
  <c r="O54" i="29"/>
  <c r="N54" i="29"/>
  <c r="M54" i="29"/>
  <c r="L54" i="29"/>
  <c r="K54" i="29"/>
  <c r="J54" i="29"/>
  <c r="I54" i="29"/>
  <c r="H54" i="29"/>
  <c r="G54" i="29"/>
  <c r="F54" i="29"/>
  <c r="E54" i="29"/>
  <c r="D54" i="29"/>
  <c r="C54" i="29"/>
  <c r="B54" i="29"/>
  <c r="T54" i="9"/>
  <c r="S54" i="9"/>
  <c r="R54" i="9"/>
  <c r="Q54" i="9"/>
  <c r="P54" i="9"/>
  <c r="O54" i="9"/>
  <c r="N54" i="9"/>
  <c r="M54" i="9"/>
  <c r="L54" i="9"/>
  <c r="K54" i="9"/>
  <c r="J54" i="9"/>
  <c r="I54" i="9"/>
  <c r="H54" i="9"/>
  <c r="G54" i="9"/>
  <c r="F54" i="9"/>
  <c r="E54" i="9"/>
  <c r="D54" i="9"/>
  <c r="C54" i="9"/>
  <c r="B54" i="9"/>
  <c r="T54" i="28"/>
  <c r="S54" i="28"/>
  <c r="R54" i="28"/>
  <c r="Q54" i="28"/>
  <c r="P54" i="28"/>
  <c r="O54" i="28"/>
  <c r="N54" i="28"/>
  <c r="M54" i="28"/>
  <c r="L54" i="28"/>
  <c r="K54" i="28"/>
  <c r="J54" i="28"/>
  <c r="I54" i="28"/>
  <c r="H54" i="28"/>
  <c r="G54" i="28"/>
  <c r="F54" i="28"/>
  <c r="E54" i="28"/>
  <c r="D54" i="28"/>
  <c r="C54" i="28"/>
  <c r="B54" i="28"/>
  <c r="T54" i="8"/>
  <c r="S54" i="8"/>
  <c r="R54" i="8"/>
  <c r="Q54" i="8"/>
  <c r="P54" i="8"/>
  <c r="O54" i="8"/>
  <c r="N54" i="8"/>
  <c r="M54" i="8"/>
  <c r="L54" i="8"/>
  <c r="K54" i="8"/>
  <c r="J54" i="8"/>
  <c r="I54" i="8"/>
  <c r="H54" i="8"/>
  <c r="G54" i="8"/>
  <c r="F54" i="8"/>
  <c r="E54" i="8"/>
  <c r="D54" i="8"/>
  <c r="C54" i="8"/>
  <c r="B54" i="8"/>
  <c r="T54" i="27"/>
  <c r="S54" i="27"/>
  <c r="R54" i="27"/>
  <c r="Q54" i="27"/>
  <c r="P54" i="27"/>
  <c r="O54" i="27"/>
  <c r="N54" i="27"/>
  <c r="M54" i="27"/>
  <c r="L54" i="27"/>
  <c r="K54" i="27"/>
  <c r="J54" i="27"/>
  <c r="I54" i="27"/>
  <c r="H54" i="27"/>
  <c r="G54" i="27"/>
  <c r="F54" i="27"/>
  <c r="E54" i="27"/>
  <c r="D54" i="27"/>
  <c r="C54" i="27"/>
  <c r="B54" i="27"/>
  <c r="T54" i="7"/>
  <c r="S54" i="7"/>
  <c r="R54" i="7"/>
  <c r="Q54" i="7"/>
  <c r="P54" i="7"/>
  <c r="O54" i="7"/>
  <c r="N54" i="7"/>
  <c r="M54" i="7"/>
  <c r="L54" i="7"/>
  <c r="K54" i="7"/>
  <c r="J54" i="7"/>
  <c r="I54" i="7"/>
  <c r="H54" i="7"/>
  <c r="G54" i="7"/>
  <c r="F54" i="7"/>
  <c r="E54" i="7"/>
  <c r="D54" i="7"/>
  <c r="C54" i="7"/>
  <c r="B54" i="7"/>
  <c r="T54" i="26"/>
  <c r="S54" i="26"/>
  <c r="R54" i="26"/>
  <c r="Q54" i="26"/>
  <c r="P54" i="26"/>
  <c r="O54" i="26"/>
  <c r="N54" i="26"/>
  <c r="M54" i="26"/>
  <c r="L54" i="26"/>
  <c r="K54" i="26"/>
  <c r="J54" i="26"/>
  <c r="I54" i="26"/>
  <c r="H54" i="26"/>
  <c r="G54" i="26"/>
  <c r="F54" i="26"/>
  <c r="E54" i="26"/>
  <c r="D54" i="26"/>
  <c r="C54" i="26"/>
  <c r="B54" i="26"/>
  <c r="J54" i="6"/>
  <c r="H54" i="6"/>
  <c r="G54" i="6"/>
  <c r="E54" i="6"/>
  <c r="D54" i="6"/>
  <c r="C54" i="6"/>
  <c r="B54" i="6"/>
  <c r="T54" i="25"/>
  <c r="S54" i="25"/>
  <c r="R54" i="25"/>
  <c r="Q54" i="25"/>
  <c r="P54" i="25"/>
  <c r="O54" i="25"/>
  <c r="N54" i="25"/>
  <c r="M54" i="25"/>
  <c r="L54" i="25"/>
  <c r="K54" i="25"/>
  <c r="J54" i="25"/>
  <c r="I54" i="25"/>
  <c r="H54" i="25"/>
  <c r="G54" i="25"/>
  <c r="E54" i="25"/>
  <c r="D54" i="25"/>
  <c r="C54" i="25"/>
  <c r="B54" i="25"/>
  <c r="T54" i="5"/>
  <c r="S54" i="5"/>
  <c r="R54" i="5"/>
  <c r="Q54" i="5"/>
  <c r="P54" i="5"/>
  <c r="O54" i="5"/>
  <c r="N54" i="5"/>
  <c r="M54" i="5"/>
  <c r="L54" i="5"/>
  <c r="K54" i="5"/>
  <c r="J54" i="5"/>
  <c r="I54" i="5"/>
  <c r="H54" i="5"/>
  <c r="G54" i="5"/>
  <c r="E54" i="5"/>
  <c r="D54" i="5"/>
  <c r="C54" i="5"/>
  <c r="B54" i="5"/>
  <c r="T54" i="24"/>
  <c r="S54" i="24"/>
  <c r="R54" i="24"/>
  <c r="Q54" i="24"/>
  <c r="P54" i="24"/>
  <c r="O54" i="24"/>
  <c r="N54" i="24"/>
  <c r="M54" i="24"/>
  <c r="L54" i="24"/>
  <c r="K54" i="24"/>
  <c r="J54" i="24"/>
  <c r="I54" i="24"/>
  <c r="H54" i="24"/>
  <c r="G54" i="24"/>
  <c r="F54" i="24"/>
  <c r="E54" i="24"/>
  <c r="D54" i="24"/>
  <c r="C54" i="24"/>
  <c r="B54" i="24"/>
  <c r="T54" i="3"/>
  <c r="S54" i="3"/>
  <c r="R54" i="3"/>
  <c r="Q54" i="3"/>
  <c r="P54" i="3"/>
  <c r="O54" i="3"/>
  <c r="N54" i="3"/>
  <c r="M54" i="3"/>
  <c r="L54" i="3"/>
  <c r="K54" i="3"/>
  <c r="J54" i="3"/>
  <c r="I54" i="3"/>
  <c r="H54" i="3"/>
  <c r="G54" i="3"/>
  <c r="E54" i="3"/>
  <c r="D54" i="3"/>
  <c r="C54" i="3"/>
  <c r="B54" i="3"/>
  <c r="T54" i="22"/>
  <c r="S54" i="22"/>
  <c r="R54" i="22"/>
  <c r="Q54" i="22"/>
  <c r="P54" i="22"/>
  <c r="O54" i="22"/>
  <c r="N54" i="22"/>
  <c r="M54" i="22"/>
  <c r="L54" i="22"/>
  <c r="K54" i="22"/>
  <c r="J54" i="22"/>
  <c r="I54" i="22"/>
  <c r="H54" i="22"/>
  <c r="G54" i="22"/>
  <c r="F54" i="22"/>
  <c r="E54" i="22"/>
  <c r="D54" i="22"/>
  <c r="C54" i="22"/>
  <c r="B54" i="22"/>
  <c r="T54" i="2"/>
  <c r="S54" i="2"/>
  <c r="R54" i="2"/>
  <c r="Q54" i="2"/>
  <c r="P54" i="2"/>
  <c r="O54" i="2"/>
  <c r="N54" i="2"/>
  <c r="M54" i="2"/>
  <c r="L54" i="2"/>
  <c r="K54" i="2"/>
  <c r="J54" i="2"/>
  <c r="I54" i="2"/>
  <c r="H54" i="2"/>
  <c r="G54" i="2"/>
  <c r="E54" i="2"/>
  <c r="D54" i="2"/>
  <c r="C54" i="2"/>
  <c r="B54" i="2"/>
  <c r="T54" i="21"/>
  <c r="S54" i="21"/>
  <c r="R54" i="21"/>
  <c r="Q54" i="21"/>
  <c r="P54" i="21"/>
  <c r="O54" i="21"/>
  <c r="N54" i="21"/>
  <c r="M54" i="21"/>
  <c r="L54" i="21"/>
  <c r="K54" i="21"/>
  <c r="J54" i="21"/>
  <c r="I54" i="21"/>
  <c r="H54" i="21"/>
  <c r="G54" i="21"/>
  <c r="F54" i="21"/>
  <c r="E54" i="21"/>
  <c r="D54" i="21"/>
  <c r="C54" i="21"/>
  <c r="B54" i="21"/>
  <c r="T54" i="1"/>
  <c r="S54" i="1"/>
  <c r="R54" i="1"/>
  <c r="Q54" i="1"/>
  <c r="P54" i="1"/>
  <c r="O54" i="1"/>
  <c r="N54" i="1"/>
  <c r="M54" i="1"/>
  <c r="L54" i="1"/>
  <c r="K54" i="1"/>
  <c r="J54" i="1"/>
  <c r="I54" i="1"/>
  <c r="H54" i="1"/>
  <c r="G54" i="1"/>
  <c r="F54" i="1"/>
  <c r="E54" i="1"/>
  <c r="D54" i="1"/>
  <c r="C54" i="1"/>
  <c r="B54" i="1"/>
  <c r="T54" i="20"/>
  <c r="S54" i="20"/>
  <c r="R54" i="20"/>
  <c r="Q54" i="20"/>
  <c r="P54" i="20"/>
  <c r="O54" i="20"/>
  <c r="N54" i="20"/>
  <c r="M54" i="20"/>
  <c r="L54" i="20"/>
  <c r="K54" i="20"/>
  <c r="J54" i="20"/>
  <c r="I54" i="20"/>
  <c r="H54" i="20"/>
  <c r="G54" i="20"/>
  <c r="F54" i="20"/>
  <c r="E54" i="20"/>
  <c r="D54" i="20"/>
  <c r="C54" i="20"/>
  <c r="B54" i="20"/>
  <c r="S54" i="11"/>
  <c r="R54" i="11"/>
  <c r="Q54" i="11"/>
  <c r="P54" i="11"/>
  <c r="O54" i="11"/>
  <c r="N54" i="11"/>
  <c r="M54" i="11"/>
  <c r="L54" i="11"/>
  <c r="K54" i="11"/>
  <c r="J54" i="11"/>
  <c r="I54" i="11"/>
  <c r="H54" i="11"/>
  <c r="G54" i="11"/>
  <c r="F54" i="11"/>
  <c r="E54" i="11"/>
  <c r="D54" i="11"/>
  <c r="C54" i="11"/>
  <c r="B54" i="11"/>
  <c r="T40" i="10"/>
  <c r="S40" i="10"/>
  <c r="R40" i="10"/>
  <c r="Q40" i="10"/>
  <c r="P40" i="10"/>
  <c r="O40" i="10"/>
  <c r="N40" i="10"/>
  <c r="M40" i="10"/>
  <c r="L40" i="10"/>
  <c r="K40" i="10"/>
  <c r="J40" i="10"/>
  <c r="I40" i="10"/>
  <c r="H40" i="10"/>
  <c r="G40" i="10"/>
  <c r="F40" i="10"/>
  <c r="E40" i="10"/>
  <c r="D40" i="10"/>
  <c r="C40" i="10"/>
  <c r="B40" i="10"/>
  <c r="T40" i="29"/>
  <c r="S40" i="29"/>
  <c r="R40" i="29"/>
  <c r="Q40" i="29"/>
  <c r="P40" i="29"/>
  <c r="O40" i="29"/>
  <c r="N40" i="29"/>
  <c r="M40" i="29"/>
  <c r="L40" i="29"/>
  <c r="K40" i="29"/>
  <c r="J40" i="29"/>
  <c r="I40" i="29"/>
  <c r="H40" i="29"/>
  <c r="G40" i="29"/>
  <c r="F40" i="29"/>
  <c r="E40" i="29"/>
  <c r="D40" i="29"/>
  <c r="C40" i="29"/>
  <c r="B40" i="29"/>
  <c r="T40" i="9"/>
  <c r="S40" i="9"/>
  <c r="R40" i="9"/>
  <c r="Q40" i="9"/>
  <c r="P40" i="9"/>
  <c r="O40" i="9"/>
  <c r="N40" i="9"/>
  <c r="M40" i="9"/>
  <c r="L40" i="9"/>
  <c r="K40" i="9"/>
  <c r="J40" i="9"/>
  <c r="I40" i="9"/>
  <c r="H40" i="9"/>
  <c r="G40" i="9"/>
  <c r="F40" i="9"/>
  <c r="E40" i="9"/>
  <c r="D40" i="9"/>
  <c r="C40" i="9"/>
  <c r="B40" i="9"/>
  <c r="T40" i="28"/>
  <c r="S40" i="28"/>
  <c r="R40" i="28"/>
  <c r="Q40" i="28"/>
  <c r="P40" i="28"/>
  <c r="O40" i="28"/>
  <c r="N40" i="28"/>
  <c r="M40" i="28"/>
  <c r="L40" i="28"/>
  <c r="K40" i="28"/>
  <c r="J40" i="28"/>
  <c r="I40" i="28"/>
  <c r="H40" i="28"/>
  <c r="G40" i="28"/>
  <c r="F40" i="28"/>
  <c r="E40" i="28"/>
  <c r="D40" i="28"/>
  <c r="C40" i="28"/>
  <c r="B40" i="28"/>
  <c r="T40" i="8"/>
  <c r="S40" i="8"/>
  <c r="R40" i="8"/>
  <c r="Q40" i="8"/>
  <c r="P40" i="8"/>
  <c r="O40" i="8"/>
  <c r="N40" i="8"/>
  <c r="M40" i="8"/>
  <c r="L40" i="8"/>
  <c r="K40" i="8"/>
  <c r="J40" i="8"/>
  <c r="I40" i="8"/>
  <c r="H40" i="8"/>
  <c r="G40" i="8"/>
  <c r="F40" i="8"/>
  <c r="E40" i="8"/>
  <c r="D40" i="8"/>
  <c r="C40" i="8"/>
  <c r="B40" i="8"/>
  <c r="T40" i="27"/>
  <c r="S40" i="27"/>
  <c r="R40" i="27"/>
  <c r="Q40" i="27"/>
  <c r="P40" i="27"/>
  <c r="O40" i="27"/>
  <c r="N40" i="27"/>
  <c r="M40" i="27"/>
  <c r="L40" i="27"/>
  <c r="K40" i="27"/>
  <c r="J40" i="27"/>
  <c r="I40" i="27"/>
  <c r="H40" i="27"/>
  <c r="G40" i="27"/>
  <c r="F40" i="27"/>
  <c r="E40" i="27"/>
  <c r="D40" i="27"/>
  <c r="C40" i="27"/>
  <c r="B40" i="27"/>
  <c r="T40" i="7"/>
  <c r="S40" i="7"/>
  <c r="R40" i="7"/>
  <c r="Q40" i="7"/>
  <c r="P40" i="7"/>
  <c r="O40" i="7"/>
  <c r="N40" i="7"/>
  <c r="M40" i="7"/>
  <c r="L40" i="7"/>
  <c r="K40" i="7"/>
  <c r="J40" i="7"/>
  <c r="I40" i="7"/>
  <c r="H40" i="7"/>
  <c r="G40" i="7"/>
  <c r="F40" i="7"/>
  <c r="E40" i="7"/>
  <c r="D40" i="7"/>
  <c r="C40" i="7"/>
  <c r="B40" i="7"/>
  <c r="T40" i="26"/>
  <c r="S40" i="26"/>
  <c r="R40" i="26"/>
  <c r="Q40" i="26"/>
  <c r="P40" i="26"/>
  <c r="O40" i="26"/>
  <c r="N40" i="26"/>
  <c r="M40" i="26"/>
  <c r="L40" i="26"/>
  <c r="K40" i="26"/>
  <c r="J40" i="26"/>
  <c r="I40" i="26"/>
  <c r="H40" i="26"/>
  <c r="G40" i="26"/>
  <c r="F40" i="26"/>
  <c r="E40" i="26"/>
  <c r="D40" i="26"/>
  <c r="C40" i="26"/>
  <c r="B40" i="26"/>
  <c r="T40" i="6"/>
  <c r="S40" i="6"/>
  <c r="R40" i="6"/>
  <c r="Q40" i="6"/>
  <c r="P40" i="6"/>
  <c r="O40" i="6"/>
  <c r="N40" i="6"/>
  <c r="M40" i="6"/>
  <c r="L40" i="6"/>
  <c r="K40" i="6"/>
  <c r="J40" i="6"/>
  <c r="I40" i="6"/>
  <c r="H40" i="6"/>
  <c r="G40" i="6"/>
  <c r="F40" i="6"/>
  <c r="E40" i="6"/>
  <c r="D40" i="6"/>
  <c r="C40" i="6"/>
  <c r="B40" i="6"/>
  <c r="T40" i="25"/>
  <c r="S40" i="25"/>
  <c r="R40" i="25"/>
  <c r="Q40" i="25"/>
  <c r="P40" i="25"/>
  <c r="O40" i="25"/>
  <c r="N40" i="25"/>
  <c r="M40" i="25"/>
  <c r="L40" i="25"/>
  <c r="K40" i="25"/>
  <c r="J40" i="25"/>
  <c r="I40" i="25"/>
  <c r="H40" i="25"/>
  <c r="G40" i="25"/>
  <c r="F40" i="25"/>
  <c r="E40" i="25"/>
  <c r="D40" i="25"/>
  <c r="C40" i="25"/>
  <c r="B40" i="25"/>
  <c r="T40" i="5"/>
  <c r="S40" i="5"/>
  <c r="R40" i="5"/>
  <c r="Q40" i="5"/>
  <c r="P40" i="5"/>
  <c r="O40" i="5"/>
  <c r="N40" i="5"/>
  <c r="M40" i="5"/>
  <c r="L40" i="5"/>
  <c r="K40" i="5"/>
  <c r="J40" i="5"/>
  <c r="I40" i="5"/>
  <c r="H40" i="5"/>
  <c r="G40" i="5"/>
  <c r="F40" i="5"/>
  <c r="E40" i="5"/>
  <c r="D40" i="5"/>
  <c r="C40" i="5"/>
  <c r="B40" i="5"/>
  <c r="T40" i="24"/>
  <c r="S40" i="24"/>
  <c r="R40" i="24"/>
  <c r="Q40" i="24"/>
  <c r="P40" i="24"/>
  <c r="O40" i="24"/>
  <c r="N40" i="24"/>
  <c r="M40" i="24"/>
  <c r="L40" i="24"/>
  <c r="K40" i="24"/>
  <c r="J40" i="24"/>
  <c r="I40" i="24"/>
  <c r="H40" i="24"/>
  <c r="G40" i="24"/>
  <c r="F40" i="24"/>
  <c r="E40" i="24"/>
  <c r="D40" i="24"/>
  <c r="C40" i="24"/>
  <c r="B40" i="24"/>
  <c r="T40" i="3"/>
  <c r="S40" i="3"/>
  <c r="R40" i="3"/>
  <c r="Q40" i="3"/>
  <c r="P40" i="3"/>
  <c r="O40" i="3"/>
  <c r="N40" i="3"/>
  <c r="M40" i="3"/>
  <c r="L40" i="3"/>
  <c r="K40" i="3"/>
  <c r="J40" i="3"/>
  <c r="I40" i="3"/>
  <c r="H40" i="3"/>
  <c r="G40" i="3"/>
  <c r="F40" i="3"/>
  <c r="E40" i="3"/>
  <c r="D40" i="3"/>
  <c r="C40" i="3"/>
  <c r="B40" i="3"/>
  <c r="T40" i="22"/>
  <c r="S40" i="22"/>
  <c r="R40" i="22"/>
  <c r="Q40" i="22"/>
  <c r="P40" i="22"/>
  <c r="O40" i="22"/>
  <c r="N40" i="22"/>
  <c r="M40" i="22"/>
  <c r="L40" i="22"/>
  <c r="K40" i="22"/>
  <c r="J40" i="22"/>
  <c r="I40" i="22"/>
  <c r="H40" i="22"/>
  <c r="G40" i="22"/>
  <c r="F40" i="22"/>
  <c r="E40" i="22"/>
  <c r="D40" i="22"/>
  <c r="C40" i="22"/>
  <c r="B40" i="22"/>
  <c r="T40" i="2"/>
  <c r="S40" i="2"/>
  <c r="R40" i="2"/>
  <c r="Q40" i="2"/>
  <c r="P40" i="2"/>
  <c r="O40" i="2"/>
  <c r="N40" i="2"/>
  <c r="M40" i="2"/>
  <c r="L40" i="2"/>
  <c r="K40" i="2"/>
  <c r="J40" i="2"/>
  <c r="I40" i="2"/>
  <c r="H40" i="2"/>
  <c r="G40" i="2"/>
  <c r="F40" i="2"/>
  <c r="E40" i="2"/>
  <c r="D40" i="2"/>
  <c r="C40" i="2"/>
  <c r="B40" i="2"/>
  <c r="T40" i="21"/>
  <c r="S40" i="21"/>
  <c r="R40" i="21"/>
  <c r="Q40" i="21"/>
  <c r="P40" i="21"/>
  <c r="O40" i="21"/>
  <c r="N40" i="21"/>
  <c r="M40" i="21"/>
  <c r="L40" i="21"/>
  <c r="K40" i="21"/>
  <c r="J40" i="21"/>
  <c r="I40" i="21"/>
  <c r="H40" i="21"/>
  <c r="G40" i="21"/>
  <c r="F40" i="21"/>
  <c r="E40" i="21"/>
  <c r="D40" i="21"/>
  <c r="C40" i="21"/>
  <c r="B40" i="21"/>
  <c r="T40" i="1"/>
  <c r="S40" i="1"/>
  <c r="R40" i="1"/>
  <c r="Q40" i="1"/>
  <c r="P40" i="1"/>
  <c r="O40" i="1"/>
  <c r="N40" i="1"/>
  <c r="M40" i="1"/>
  <c r="L40" i="1"/>
  <c r="K40" i="1"/>
  <c r="J40" i="1"/>
  <c r="I40" i="1"/>
  <c r="H40" i="1"/>
  <c r="G40" i="1"/>
  <c r="F40" i="1"/>
  <c r="E40" i="1"/>
  <c r="D40" i="1"/>
  <c r="C40" i="1"/>
  <c r="B40" i="1"/>
  <c r="T40" i="20"/>
  <c r="S40" i="20"/>
  <c r="R40" i="20"/>
  <c r="Q40" i="20"/>
  <c r="P40" i="20"/>
  <c r="O40" i="20"/>
  <c r="N40" i="20"/>
  <c r="M40" i="20"/>
  <c r="L40" i="20"/>
  <c r="K40" i="20"/>
  <c r="J40" i="20"/>
  <c r="I40" i="20"/>
  <c r="H40" i="20"/>
  <c r="G40" i="20"/>
  <c r="F40" i="20"/>
  <c r="E40" i="20"/>
  <c r="D40" i="20"/>
  <c r="C40" i="20"/>
  <c r="B40" i="20"/>
  <c r="T40" i="11"/>
  <c r="S40" i="11"/>
  <c r="R40" i="11"/>
  <c r="Q40" i="11"/>
  <c r="P40" i="11"/>
  <c r="O40" i="11"/>
  <c r="N40" i="11"/>
  <c r="M40" i="11"/>
  <c r="L40" i="11"/>
  <c r="K40" i="11"/>
  <c r="J40" i="11"/>
  <c r="I40" i="11"/>
  <c r="H40" i="11"/>
  <c r="G40" i="11"/>
  <c r="F40" i="11"/>
  <c r="E40" i="11"/>
  <c r="D40" i="11"/>
  <c r="C40" i="11"/>
  <c r="B40" i="11"/>
  <c r="T25" i="10"/>
  <c r="S25" i="10"/>
  <c r="R25" i="10"/>
  <c r="Q25" i="10"/>
  <c r="P25" i="10"/>
  <c r="O25" i="10"/>
  <c r="N25" i="10"/>
  <c r="M25" i="10"/>
  <c r="L25" i="10"/>
  <c r="K25" i="10"/>
  <c r="J25" i="10"/>
  <c r="I25" i="10"/>
  <c r="H25" i="10"/>
  <c r="G25" i="10"/>
  <c r="F25" i="10"/>
  <c r="E25" i="10"/>
  <c r="D25" i="10"/>
  <c r="C25" i="10"/>
  <c r="B25" i="10"/>
  <c r="T25" i="29"/>
  <c r="S25" i="29"/>
  <c r="R25" i="29"/>
  <c r="Q25" i="29"/>
  <c r="P25" i="29"/>
  <c r="O25" i="29"/>
  <c r="N25" i="29"/>
  <c r="M25" i="29"/>
  <c r="L25" i="29"/>
  <c r="K25" i="29"/>
  <c r="J25" i="29"/>
  <c r="I25" i="29"/>
  <c r="H25" i="29"/>
  <c r="G25" i="29"/>
  <c r="F25" i="29"/>
  <c r="E25" i="29"/>
  <c r="D25" i="29"/>
  <c r="C25" i="29"/>
  <c r="B25" i="29"/>
  <c r="T25" i="9"/>
  <c r="S25" i="9"/>
  <c r="R25" i="9"/>
  <c r="Q25" i="9"/>
  <c r="P25" i="9"/>
  <c r="O25" i="9"/>
  <c r="N25" i="9"/>
  <c r="M25" i="9"/>
  <c r="L25" i="9"/>
  <c r="K25" i="9"/>
  <c r="J25" i="9"/>
  <c r="I25" i="9"/>
  <c r="H25" i="9"/>
  <c r="G25" i="9"/>
  <c r="F25" i="9"/>
  <c r="E25" i="9"/>
  <c r="D25" i="9"/>
  <c r="C25" i="9"/>
  <c r="B25" i="9"/>
  <c r="T25" i="28"/>
  <c r="S25" i="28"/>
  <c r="R25" i="28"/>
  <c r="Q25" i="28"/>
  <c r="P25" i="28"/>
  <c r="O25" i="28"/>
  <c r="N25" i="28"/>
  <c r="M25" i="28"/>
  <c r="L25" i="28"/>
  <c r="K25" i="28"/>
  <c r="J25" i="28"/>
  <c r="I25" i="28"/>
  <c r="H25" i="28"/>
  <c r="G25" i="28"/>
  <c r="F25" i="28"/>
  <c r="E25" i="28"/>
  <c r="D25" i="28"/>
  <c r="C25" i="28"/>
  <c r="B25" i="28"/>
  <c r="T25" i="8"/>
  <c r="S25" i="8"/>
  <c r="R25" i="8"/>
  <c r="Q25" i="8"/>
  <c r="P25" i="8"/>
  <c r="O25" i="8"/>
  <c r="N25" i="8"/>
  <c r="M25" i="8"/>
  <c r="L25" i="8"/>
  <c r="K25" i="8"/>
  <c r="J25" i="8"/>
  <c r="I25" i="8"/>
  <c r="H25" i="8"/>
  <c r="G25" i="8"/>
  <c r="F25" i="8"/>
  <c r="E25" i="8"/>
  <c r="D25" i="8"/>
  <c r="C25" i="8"/>
  <c r="B25" i="8"/>
  <c r="T25" i="27"/>
  <c r="S25" i="27"/>
  <c r="R25" i="27"/>
  <c r="Q25" i="27"/>
  <c r="P25" i="27"/>
  <c r="O25" i="27"/>
  <c r="N25" i="27"/>
  <c r="M25" i="27"/>
  <c r="L25" i="27"/>
  <c r="K25" i="27"/>
  <c r="J25" i="27"/>
  <c r="I25" i="27"/>
  <c r="H25" i="27"/>
  <c r="G25" i="27"/>
  <c r="F25" i="27"/>
  <c r="E25" i="27"/>
  <c r="D25" i="27"/>
  <c r="C25" i="27"/>
  <c r="B25" i="27"/>
  <c r="T25" i="7"/>
  <c r="S25" i="7"/>
  <c r="R25" i="7"/>
  <c r="Q25" i="7"/>
  <c r="P25" i="7"/>
  <c r="O25" i="7"/>
  <c r="N25" i="7"/>
  <c r="M25" i="7"/>
  <c r="L25" i="7"/>
  <c r="K25" i="7"/>
  <c r="J25" i="7"/>
  <c r="I25" i="7"/>
  <c r="H25" i="7"/>
  <c r="G25" i="7"/>
  <c r="F25" i="7"/>
  <c r="E25" i="7"/>
  <c r="D25" i="7"/>
  <c r="C25" i="7"/>
  <c r="B25" i="7"/>
  <c r="T25" i="26"/>
  <c r="S25" i="26"/>
  <c r="R25" i="26"/>
  <c r="Q25" i="26"/>
  <c r="P25" i="26"/>
  <c r="O25" i="26"/>
  <c r="N25" i="26"/>
  <c r="M25" i="26"/>
  <c r="L25" i="26"/>
  <c r="K25" i="26"/>
  <c r="J25" i="26"/>
  <c r="I25" i="26"/>
  <c r="H25" i="26"/>
  <c r="G25" i="26"/>
  <c r="F25" i="26"/>
  <c r="E25" i="26"/>
  <c r="D25" i="26"/>
  <c r="C25" i="26"/>
  <c r="B25" i="26"/>
  <c r="T25" i="6"/>
  <c r="S25" i="6"/>
  <c r="R25" i="6"/>
  <c r="Q25" i="6"/>
  <c r="P25" i="6"/>
  <c r="O25" i="6"/>
  <c r="N25" i="6"/>
  <c r="M25" i="6"/>
  <c r="L25" i="6"/>
  <c r="K25" i="6"/>
  <c r="J25" i="6"/>
  <c r="I25" i="6"/>
  <c r="H25" i="6"/>
  <c r="G25" i="6"/>
  <c r="F25" i="6"/>
  <c r="E25" i="6"/>
  <c r="D25" i="6"/>
  <c r="C25" i="6"/>
  <c r="B25" i="6"/>
  <c r="T25" i="25"/>
  <c r="S25" i="25"/>
  <c r="R25" i="25"/>
  <c r="R6" i="25" s="1"/>
  <c r="Q25" i="25"/>
  <c r="P25" i="25"/>
  <c r="O25" i="25"/>
  <c r="N25" i="25"/>
  <c r="M25" i="25"/>
  <c r="L25" i="25"/>
  <c r="K25" i="25"/>
  <c r="J25" i="25"/>
  <c r="I25" i="25"/>
  <c r="H25" i="25"/>
  <c r="G25" i="25"/>
  <c r="F25" i="25"/>
  <c r="E25" i="25"/>
  <c r="D25" i="25"/>
  <c r="C25" i="25"/>
  <c r="B25" i="25"/>
  <c r="T25" i="5"/>
  <c r="S25" i="5"/>
  <c r="R25" i="5"/>
  <c r="Q25" i="5"/>
  <c r="P25" i="5"/>
  <c r="O25" i="5"/>
  <c r="N25" i="5"/>
  <c r="M25" i="5"/>
  <c r="L25" i="5"/>
  <c r="K25" i="5"/>
  <c r="J25" i="5"/>
  <c r="I25" i="5"/>
  <c r="H25" i="5"/>
  <c r="G25" i="5"/>
  <c r="F25" i="5"/>
  <c r="E25" i="5"/>
  <c r="D25" i="5"/>
  <c r="C25" i="5"/>
  <c r="B25" i="5"/>
  <c r="T25" i="24"/>
  <c r="S25" i="24"/>
  <c r="R25" i="24"/>
  <c r="Q25" i="24"/>
  <c r="P25" i="24"/>
  <c r="O25" i="24"/>
  <c r="N25" i="24"/>
  <c r="M25" i="24"/>
  <c r="L25" i="24"/>
  <c r="K25" i="24"/>
  <c r="J25" i="24"/>
  <c r="I25" i="24"/>
  <c r="H25" i="24"/>
  <c r="G25" i="24"/>
  <c r="F25" i="24"/>
  <c r="E25" i="24"/>
  <c r="D25" i="24"/>
  <c r="C25" i="24"/>
  <c r="B25" i="24"/>
  <c r="T25" i="3"/>
  <c r="S25" i="3"/>
  <c r="R25" i="3"/>
  <c r="Q25" i="3"/>
  <c r="P25" i="3"/>
  <c r="O25" i="3"/>
  <c r="N25" i="3"/>
  <c r="M25" i="3"/>
  <c r="L25" i="3"/>
  <c r="K25" i="3"/>
  <c r="J25" i="3"/>
  <c r="I25" i="3"/>
  <c r="H25" i="3"/>
  <c r="G25" i="3"/>
  <c r="F25" i="3"/>
  <c r="E25" i="3"/>
  <c r="D25" i="3"/>
  <c r="C25" i="3"/>
  <c r="B25" i="3"/>
  <c r="T25" i="22"/>
  <c r="S25" i="22"/>
  <c r="R25" i="22"/>
  <c r="Q25" i="22"/>
  <c r="P25" i="22"/>
  <c r="O25" i="22"/>
  <c r="N25" i="22"/>
  <c r="M25" i="22"/>
  <c r="L25" i="22"/>
  <c r="K25" i="22"/>
  <c r="J25" i="22"/>
  <c r="I25" i="22"/>
  <c r="H25" i="22"/>
  <c r="G25" i="22"/>
  <c r="F25" i="22"/>
  <c r="E25" i="22"/>
  <c r="D25" i="22"/>
  <c r="C25" i="22"/>
  <c r="B25" i="22"/>
  <c r="T25" i="2"/>
  <c r="S25" i="2"/>
  <c r="R25" i="2"/>
  <c r="Q25" i="2"/>
  <c r="P25" i="2"/>
  <c r="O25" i="2"/>
  <c r="N25" i="2"/>
  <c r="M25" i="2"/>
  <c r="L25" i="2"/>
  <c r="K25" i="2"/>
  <c r="J25" i="2"/>
  <c r="I25" i="2"/>
  <c r="H25" i="2"/>
  <c r="G25" i="2"/>
  <c r="F25" i="2"/>
  <c r="E25" i="2"/>
  <c r="D25" i="2"/>
  <c r="C25" i="2"/>
  <c r="B25" i="2"/>
  <c r="T25" i="21"/>
  <c r="S25" i="21"/>
  <c r="R25" i="21"/>
  <c r="Q25" i="21"/>
  <c r="P25" i="21"/>
  <c r="O25" i="21"/>
  <c r="N25" i="21"/>
  <c r="M25" i="21"/>
  <c r="L25" i="21"/>
  <c r="K25" i="21"/>
  <c r="J25" i="21"/>
  <c r="I25" i="21"/>
  <c r="H25" i="21"/>
  <c r="G25" i="21"/>
  <c r="F25" i="21"/>
  <c r="E25" i="21"/>
  <c r="D25" i="21"/>
  <c r="C25" i="21"/>
  <c r="B25" i="21"/>
  <c r="T25" i="1"/>
  <c r="S25" i="1"/>
  <c r="R25" i="1"/>
  <c r="Q25" i="1"/>
  <c r="P25" i="1"/>
  <c r="O25" i="1"/>
  <c r="N25" i="1"/>
  <c r="M25" i="1"/>
  <c r="L25" i="1"/>
  <c r="K25" i="1"/>
  <c r="J25" i="1"/>
  <c r="I25" i="1"/>
  <c r="H25" i="1"/>
  <c r="G25" i="1"/>
  <c r="F25" i="1"/>
  <c r="E25" i="1"/>
  <c r="D25" i="1"/>
  <c r="C25" i="1"/>
  <c r="B25" i="1"/>
  <c r="T25" i="20"/>
  <c r="S25" i="20"/>
  <c r="R25" i="20"/>
  <c r="Q25" i="20"/>
  <c r="P25" i="20"/>
  <c r="O25" i="20"/>
  <c r="N25" i="20"/>
  <c r="M25" i="20"/>
  <c r="L25" i="20"/>
  <c r="K25" i="20"/>
  <c r="J25" i="20"/>
  <c r="I25" i="20"/>
  <c r="H25" i="20"/>
  <c r="G25" i="20"/>
  <c r="F25" i="20"/>
  <c r="E25" i="20"/>
  <c r="D25" i="20"/>
  <c r="C25" i="20"/>
  <c r="B25" i="20"/>
  <c r="T25" i="11"/>
  <c r="S25" i="11"/>
  <c r="R25" i="11"/>
  <c r="Q25" i="11"/>
  <c r="P25" i="11"/>
  <c r="O25" i="11"/>
  <c r="N25" i="11"/>
  <c r="M25" i="11"/>
  <c r="L25" i="11"/>
  <c r="K25" i="11"/>
  <c r="J25" i="11"/>
  <c r="I25" i="11"/>
  <c r="H25" i="11"/>
  <c r="G25" i="11"/>
  <c r="F25" i="11"/>
  <c r="E25" i="11"/>
  <c r="D25" i="11"/>
  <c r="C25" i="11"/>
  <c r="B25" i="11"/>
  <c r="T7" i="10"/>
  <c r="S7" i="10"/>
  <c r="R7" i="10"/>
  <c r="R6" i="10" s="1"/>
  <c r="Q7" i="10"/>
  <c r="P7" i="10"/>
  <c r="O7" i="10"/>
  <c r="N7" i="10"/>
  <c r="M7" i="10"/>
  <c r="L7" i="10"/>
  <c r="K7" i="10"/>
  <c r="I7" i="10"/>
  <c r="I6" i="10" s="1"/>
  <c r="F7" i="10"/>
  <c r="C7" i="10"/>
  <c r="B7" i="10"/>
  <c r="T7" i="29"/>
  <c r="S7" i="29"/>
  <c r="R7" i="29"/>
  <c r="Q7" i="29"/>
  <c r="P7" i="29"/>
  <c r="O7" i="29"/>
  <c r="N7" i="29"/>
  <c r="M7" i="29"/>
  <c r="L7" i="29"/>
  <c r="K7" i="29"/>
  <c r="I7" i="29"/>
  <c r="F7" i="29"/>
  <c r="F6" i="29" s="1"/>
  <c r="T7" i="9"/>
  <c r="S7" i="9"/>
  <c r="R7" i="9"/>
  <c r="Q7" i="9"/>
  <c r="P7" i="9"/>
  <c r="O7" i="9"/>
  <c r="N7" i="9"/>
  <c r="M7" i="9"/>
  <c r="L7" i="9"/>
  <c r="K7" i="9"/>
  <c r="J7" i="9"/>
  <c r="I7" i="9"/>
  <c r="H7" i="9"/>
  <c r="G7" i="9"/>
  <c r="F7" i="9"/>
  <c r="E7" i="9"/>
  <c r="D7" i="9"/>
  <c r="C7" i="9"/>
  <c r="B7" i="9"/>
  <c r="T7" i="28"/>
  <c r="S7" i="28"/>
  <c r="R7" i="28"/>
  <c r="Q7" i="28"/>
  <c r="P7" i="28"/>
  <c r="O7" i="28"/>
  <c r="N7" i="28"/>
  <c r="M7" i="28"/>
  <c r="L7" i="28"/>
  <c r="K7" i="28"/>
  <c r="J7" i="28"/>
  <c r="I7" i="28"/>
  <c r="H7" i="28"/>
  <c r="G7" i="28"/>
  <c r="F7" i="28"/>
  <c r="E7" i="28"/>
  <c r="T7" i="8"/>
  <c r="S7" i="8"/>
  <c r="R7" i="8"/>
  <c r="Q7" i="8"/>
  <c r="P7" i="8"/>
  <c r="O7" i="8"/>
  <c r="O6" i="8" s="1"/>
  <c r="N7" i="8"/>
  <c r="M7" i="8"/>
  <c r="L7" i="8"/>
  <c r="K7" i="8"/>
  <c r="J7" i="8"/>
  <c r="I7" i="8"/>
  <c r="H7" i="8"/>
  <c r="G7" i="8"/>
  <c r="F7" i="8"/>
  <c r="E7" i="8"/>
  <c r="D7" i="8"/>
  <c r="C7" i="8"/>
  <c r="B7" i="8"/>
  <c r="T7" i="27"/>
  <c r="S7" i="27"/>
  <c r="R7" i="27"/>
  <c r="Q7" i="27"/>
  <c r="P7" i="27"/>
  <c r="O7" i="27"/>
  <c r="N7" i="27"/>
  <c r="M7" i="27"/>
  <c r="L7" i="27"/>
  <c r="K7" i="27"/>
  <c r="J7" i="27"/>
  <c r="I7" i="27"/>
  <c r="H7" i="27"/>
  <c r="G7" i="27"/>
  <c r="F7" i="27"/>
  <c r="E7" i="27"/>
  <c r="T7" i="7"/>
  <c r="S7" i="7"/>
  <c r="R7" i="7"/>
  <c r="Q7" i="7"/>
  <c r="P7" i="7"/>
  <c r="O7" i="7"/>
  <c r="N7" i="7"/>
  <c r="M7" i="7"/>
  <c r="L7" i="7"/>
  <c r="K7" i="7"/>
  <c r="J7" i="7"/>
  <c r="I7" i="7"/>
  <c r="H7" i="7"/>
  <c r="G7" i="7"/>
  <c r="F7" i="7"/>
  <c r="E7" i="7"/>
  <c r="D7" i="7"/>
  <c r="C7" i="7"/>
  <c r="B7" i="7"/>
  <c r="T7" i="26"/>
  <c r="S7" i="26"/>
  <c r="R7" i="26"/>
  <c r="P7" i="26"/>
  <c r="O7" i="26"/>
  <c r="N7" i="26"/>
  <c r="M7" i="26"/>
  <c r="L7" i="26"/>
  <c r="K7" i="26"/>
  <c r="J7" i="26"/>
  <c r="I7" i="26"/>
  <c r="H7" i="26"/>
  <c r="G7" i="26"/>
  <c r="F7" i="26"/>
  <c r="E7" i="26"/>
  <c r="T7" i="6"/>
  <c r="S7" i="6"/>
  <c r="R7" i="6"/>
  <c r="Q7" i="6"/>
  <c r="P7" i="6"/>
  <c r="O7" i="6"/>
  <c r="N7" i="6"/>
  <c r="M7" i="6"/>
  <c r="L7" i="6"/>
  <c r="K7" i="6"/>
  <c r="J7" i="6"/>
  <c r="I7" i="6"/>
  <c r="H7" i="6"/>
  <c r="G7" i="6"/>
  <c r="F7" i="6"/>
  <c r="E7" i="6"/>
  <c r="D7" i="6"/>
  <c r="C7" i="6"/>
  <c r="B7" i="6"/>
  <c r="T7" i="25"/>
  <c r="S7" i="25"/>
  <c r="R7" i="25"/>
  <c r="P7" i="25"/>
  <c r="O7" i="25"/>
  <c r="N7" i="25"/>
  <c r="M7" i="25"/>
  <c r="L7" i="25"/>
  <c r="K7" i="25"/>
  <c r="J7" i="25"/>
  <c r="I7" i="25"/>
  <c r="H7" i="25"/>
  <c r="G7" i="25"/>
  <c r="F7" i="25"/>
  <c r="E7" i="25"/>
  <c r="T7" i="5"/>
  <c r="S7" i="5"/>
  <c r="R7" i="5"/>
  <c r="Q7" i="5"/>
  <c r="P7" i="5"/>
  <c r="O7" i="5"/>
  <c r="N7" i="5"/>
  <c r="M7" i="5"/>
  <c r="L7" i="5"/>
  <c r="K7" i="5"/>
  <c r="J7" i="5"/>
  <c r="I7" i="5"/>
  <c r="H7" i="5"/>
  <c r="G7" i="5"/>
  <c r="F7" i="5"/>
  <c r="E7" i="5"/>
  <c r="D7" i="5"/>
  <c r="C7" i="5"/>
  <c r="B7" i="5"/>
  <c r="T7" i="24"/>
  <c r="S7" i="24"/>
  <c r="R7" i="24"/>
  <c r="P7" i="24"/>
  <c r="O7" i="24"/>
  <c r="N7" i="24"/>
  <c r="M7" i="24"/>
  <c r="L7" i="24"/>
  <c r="K7" i="24"/>
  <c r="J7" i="24"/>
  <c r="I7" i="24"/>
  <c r="H7" i="24"/>
  <c r="G7" i="24"/>
  <c r="F7" i="24"/>
  <c r="E7" i="24"/>
  <c r="T7" i="3"/>
  <c r="S7" i="3"/>
  <c r="R7" i="3"/>
  <c r="Q7" i="3"/>
  <c r="P7" i="3"/>
  <c r="O7" i="3"/>
  <c r="N7" i="3"/>
  <c r="M7" i="3"/>
  <c r="L7" i="3"/>
  <c r="K7" i="3"/>
  <c r="J7" i="3"/>
  <c r="I7" i="3"/>
  <c r="H7" i="3"/>
  <c r="G7" i="3"/>
  <c r="F7" i="3"/>
  <c r="F6" i="3" s="1"/>
  <c r="E7" i="3"/>
  <c r="D7" i="3"/>
  <c r="C7" i="3"/>
  <c r="B7" i="3"/>
  <c r="T7" i="22"/>
  <c r="S7" i="22"/>
  <c r="R7" i="22"/>
  <c r="P7" i="22"/>
  <c r="O7" i="22"/>
  <c r="N7" i="22"/>
  <c r="M7" i="22"/>
  <c r="L7" i="22"/>
  <c r="K7" i="22"/>
  <c r="J7" i="22"/>
  <c r="I7" i="22"/>
  <c r="H7" i="22"/>
  <c r="G7" i="22"/>
  <c r="F7" i="22"/>
  <c r="E7" i="22"/>
  <c r="T7" i="2"/>
  <c r="S7" i="2"/>
  <c r="R7" i="2"/>
  <c r="Q7" i="2"/>
  <c r="P7" i="2"/>
  <c r="O7" i="2"/>
  <c r="N7" i="2"/>
  <c r="M7" i="2"/>
  <c r="L7" i="2"/>
  <c r="K7" i="2"/>
  <c r="J7" i="2"/>
  <c r="I7" i="2"/>
  <c r="H7" i="2"/>
  <c r="G7" i="2"/>
  <c r="F7" i="2"/>
  <c r="E7" i="2"/>
  <c r="D7" i="2"/>
  <c r="C7" i="2"/>
  <c r="B7" i="2"/>
  <c r="T7" i="21"/>
  <c r="S7" i="21"/>
  <c r="R7" i="21"/>
  <c r="P7" i="21"/>
  <c r="O7" i="21"/>
  <c r="N7" i="21"/>
  <c r="M7" i="21"/>
  <c r="L7" i="21"/>
  <c r="K7" i="21"/>
  <c r="J7" i="21"/>
  <c r="I7" i="21"/>
  <c r="H7" i="21"/>
  <c r="G7" i="21"/>
  <c r="F7" i="21"/>
  <c r="E7" i="21"/>
  <c r="T7" i="1"/>
  <c r="S7" i="1"/>
  <c r="R7" i="1"/>
  <c r="Q7" i="1"/>
  <c r="P7" i="1"/>
  <c r="O7" i="1"/>
  <c r="N7" i="1"/>
  <c r="M7" i="1"/>
  <c r="L7" i="1"/>
  <c r="K7" i="1"/>
  <c r="J7" i="1"/>
  <c r="I7" i="1"/>
  <c r="H7" i="1"/>
  <c r="G7" i="1"/>
  <c r="F7" i="1"/>
  <c r="E7" i="1"/>
  <c r="D7" i="1"/>
  <c r="C7" i="1"/>
  <c r="B7" i="1"/>
  <c r="T7" i="20"/>
  <c r="S7" i="20"/>
  <c r="R7" i="20"/>
  <c r="P7" i="20"/>
  <c r="O7" i="20"/>
  <c r="N7" i="20"/>
  <c r="M7" i="20"/>
  <c r="L7" i="20"/>
  <c r="K7" i="20"/>
  <c r="J7" i="20"/>
  <c r="I7" i="20"/>
  <c r="H7" i="20"/>
  <c r="G7" i="20"/>
  <c r="F7" i="20"/>
  <c r="E7" i="20"/>
  <c r="T7" i="11"/>
  <c r="S7" i="11"/>
  <c r="R7" i="11"/>
  <c r="Q7" i="11"/>
  <c r="P7" i="11"/>
  <c r="O7" i="11"/>
  <c r="N7" i="11"/>
  <c r="M7" i="11"/>
  <c r="L7" i="11"/>
  <c r="K7" i="11"/>
  <c r="J7" i="11"/>
  <c r="I7" i="11"/>
  <c r="H7" i="11"/>
  <c r="G7" i="11"/>
  <c r="F7" i="11"/>
  <c r="E7" i="11"/>
  <c r="D7" i="11"/>
  <c r="C7" i="11"/>
  <c r="B7" i="11"/>
  <c r="L6" i="7"/>
  <c r="C54" i="31"/>
  <c r="D54" i="31"/>
  <c r="E54" i="31"/>
  <c r="F54" i="31"/>
  <c r="G54" i="31"/>
  <c r="H54" i="31"/>
  <c r="I54" i="31"/>
  <c r="J54" i="31"/>
  <c r="K54" i="31"/>
  <c r="L54" i="31"/>
  <c r="M54" i="31"/>
  <c r="N54" i="31"/>
  <c r="O54" i="31"/>
  <c r="P54" i="31"/>
  <c r="Q54" i="31"/>
  <c r="R54" i="31"/>
  <c r="S54" i="31"/>
  <c r="T54" i="31"/>
  <c r="B54" i="31"/>
  <c r="C40" i="31"/>
  <c r="D40" i="31"/>
  <c r="E40" i="31"/>
  <c r="F40" i="31"/>
  <c r="G40" i="31"/>
  <c r="H40" i="31"/>
  <c r="I40" i="31"/>
  <c r="J40" i="31"/>
  <c r="K40" i="31"/>
  <c r="L40" i="31"/>
  <c r="M40" i="31"/>
  <c r="N40" i="31"/>
  <c r="O40" i="31"/>
  <c r="P40" i="31"/>
  <c r="Q40" i="31"/>
  <c r="R40" i="31"/>
  <c r="S40" i="31"/>
  <c r="T40" i="31"/>
  <c r="B40" i="31"/>
  <c r="C25" i="31"/>
  <c r="D25" i="31"/>
  <c r="E25" i="31"/>
  <c r="F25" i="31"/>
  <c r="G25" i="31"/>
  <c r="H25" i="31"/>
  <c r="I25" i="31"/>
  <c r="J25" i="31"/>
  <c r="K25" i="31"/>
  <c r="L25" i="31"/>
  <c r="M25" i="31"/>
  <c r="N25" i="31"/>
  <c r="O25" i="31"/>
  <c r="P25" i="31"/>
  <c r="Q25" i="31"/>
  <c r="R25" i="31"/>
  <c r="S25" i="31"/>
  <c r="T25" i="31"/>
  <c r="B25" i="31"/>
  <c r="E7" i="31"/>
  <c r="F7" i="31"/>
  <c r="G7" i="31"/>
  <c r="H7" i="31"/>
  <c r="I7" i="31"/>
  <c r="J7" i="31"/>
  <c r="K7" i="31"/>
  <c r="L7" i="31"/>
  <c r="M7" i="31"/>
  <c r="N7" i="31"/>
  <c r="O7" i="31"/>
  <c r="P7" i="31"/>
  <c r="Q7" i="31"/>
  <c r="R7" i="31"/>
  <c r="S7" i="31"/>
  <c r="T7" i="31"/>
  <c r="P6" i="27" l="1"/>
  <c r="M6" i="8"/>
  <c r="I6" i="27"/>
  <c r="F6" i="8"/>
  <c r="N6" i="8"/>
  <c r="T6" i="25"/>
  <c r="O6" i="27"/>
  <c r="L6" i="8"/>
  <c r="Q6" i="9"/>
  <c r="M6" i="27"/>
  <c r="T6" i="8"/>
  <c r="T6" i="11"/>
  <c r="S6" i="8"/>
  <c r="K6" i="8"/>
  <c r="R6" i="8"/>
  <c r="T6" i="27"/>
  <c r="S6" i="22"/>
  <c r="L6" i="9"/>
  <c r="M9" i="19"/>
  <c r="P6" i="22"/>
  <c r="T6" i="29"/>
  <c r="N27" i="18"/>
  <c r="K42" i="19"/>
  <c r="I6" i="8"/>
  <c r="M6" i="1"/>
  <c r="K6" i="27"/>
  <c r="S6" i="27"/>
  <c r="P6" i="8"/>
  <c r="J27" i="19"/>
  <c r="P6" i="5"/>
  <c r="T6" i="7"/>
  <c r="L6" i="27"/>
  <c r="F6" i="27"/>
  <c r="M42" i="19"/>
  <c r="K27" i="19"/>
  <c r="N9" i="19"/>
  <c r="M6" i="2"/>
  <c r="M6" i="7"/>
  <c r="R6" i="27"/>
  <c r="M27" i="18"/>
  <c r="J42" i="19"/>
  <c r="N6" i="27"/>
  <c r="T6" i="3"/>
  <c r="K6" i="3"/>
  <c r="S6" i="3"/>
  <c r="M6" i="10"/>
  <c r="M6" i="28"/>
  <c r="P6" i="21"/>
  <c r="I6" i="3"/>
  <c r="U6" i="8"/>
  <c r="AV65" i="31"/>
  <c r="R6" i="9"/>
  <c r="F6" i="7"/>
  <c r="N6" i="7"/>
  <c r="D54" i="4"/>
  <c r="AF54" i="11" s="1"/>
  <c r="I6" i="5"/>
  <c r="O6" i="3"/>
  <c r="P6" i="3"/>
  <c r="M6" i="3"/>
  <c r="L6" i="3"/>
  <c r="L6" i="2"/>
  <c r="T6" i="2"/>
  <c r="F6" i="2"/>
  <c r="R6" i="2"/>
  <c r="R6" i="1"/>
  <c r="I6" i="1"/>
  <c r="L6" i="1"/>
  <c r="T6" i="1"/>
  <c r="K6" i="1"/>
  <c r="S6" i="1"/>
  <c r="O6" i="1"/>
  <c r="F6" i="1"/>
  <c r="L6" i="28"/>
  <c r="T6" i="28"/>
  <c r="M6" i="29"/>
  <c r="N6" i="29"/>
  <c r="I6" i="29"/>
  <c r="O6" i="29"/>
  <c r="P6" i="26"/>
  <c r="I6" i="26"/>
  <c r="G25" i="23"/>
  <c r="O25" i="23"/>
  <c r="F40" i="23"/>
  <c r="N40" i="23"/>
  <c r="L6" i="26"/>
  <c r="T6" i="26"/>
  <c r="M6" i="26"/>
  <c r="O6" i="25"/>
  <c r="G54" i="23"/>
  <c r="H25" i="23"/>
  <c r="G40" i="23"/>
  <c r="O40" i="23"/>
  <c r="I6" i="25"/>
  <c r="O54" i="23"/>
  <c r="L6" i="25"/>
  <c r="P25" i="23"/>
  <c r="M6" i="25"/>
  <c r="I25" i="23"/>
  <c r="Q25" i="23"/>
  <c r="H40" i="23"/>
  <c r="P40" i="23"/>
  <c r="K6" i="22"/>
  <c r="O6" i="22"/>
  <c r="I6" i="22"/>
  <c r="M6" i="21"/>
  <c r="O6" i="20"/>
  <c r="T6" i="20"/>
  <c r="M6" i="20"/>
  <c r="R6" i="28"/>
  <c r="K6" i="28"/>
  <c r="S6" i="28"/>
  <c r="F6" i="28"/>
  <c r="N6" i="28"/>
  <c r="P6" i="28"/>
  <c r="O6" i="28"/>
  <c r="I6" i="28"/>
  <c r="O6" i="9"/>
  <c r="U6" i="9"/>
  <c r="I6" i="9"/>
  <c r="P6" i="9"/>
  <c r="K6" i="9"/>
  <c r="M6" i="9"/>
  <c r="T6" i="9"/>
  <c r="S6" i="9"/>
  <c r="L6" i="10"/>
  <c r="AF6" i="11"/>
  <c r="AJ6" i="11"/>
  <c r="T6" i="10"/>
  <c r="K6" i="10"/>
  <c r="S6" i="10"/>
  <c r="AI6" i="11"/>
  <c r="AG6" i="11"/>
  <c r="P6" i="10"/>
  <c r="O6" i="10"/>
  <c r="F6" i="10"/>
  <c r="N6" i="10"/>
  <c r="K6" i="7"/>
  <c r="S6" i="7"/>
  <c r="R54" i="4"/>
  <c r="AT54" i="11" s="1"/>
  <c r="B54" i="4"/>
  <c r="AD54" i="11" s="1"/>
  <c r="K54" i="4"/>
  <c r="AM54" i="11" s="1"/>
  <c r="C54" i="4"/>
  <c r="L54" i="4"/>
  <c r="AN54" i="11" s="1"/>
  <c r="T54" i="4"/>
  <c r="B7" i="4"/>
  <c r="AD7" i="11" s="1"/>
  <c r="O6" i="7"/>
  <c r="J7" i="4"/>
  <c r="I6" i="7"/>
  <c r="Q6" i="7"/>
  <c r="P6" i="7"/>
  <c r="D25" i="4"/>
  <c r="AF25" i="11" s="1"/>
  <c r="L25" i="4"/>
  <c r="AN25" i="11" s="1"/>
  <c r="T25" i="4"/>
  <c r="C40" i="4"/>
  <c r="AE40" i="11" s="1"/>
  <c r="K40" i="4"/>
  <c r="AM40" i="11" s="1"/>
  <c r="S40" i="4"/>
  <c r="AU40" i="11" s="1"/>
  <c r="E25" i="4"/>
  <c r="AG25" i="11" s="1"/>
  <c r="M25" i="4"/>
  <c r="AO25" i="11" s="1"/>
  <c r="D40" i="4"/>
  <c r="AF40" i="11" s="1"/>
  <c r="L40" i="4"/>
  <c r="AN40" i="11" s="1"/>
  <c r="T40" i="4"/>
  <c r="E7" i="4"/>
  <c r="M7" i="4"/>
  <c r="AO7" i="11" s="1"/>
  <c r="F25" i="4"/>
  <c r="AH25" i="11" s="1"/>
  <c r="N25" i="4"/>
  <c r="AP25" i="11" s="1"/>
  <c r="E40" i="4"/>
  <c r="AG40" i="11" s="1"/>
  <c r="M40" i="4"/>
  <c r="AO40" i="11" s="1"/>
  <c r="F7" i="4"/>
  <c r="AH7" i="11" s="1"/>
  <c r="N7" i="4"/>
  <c r="AP7" i="11" s="1"/>
  <c r="G7" i="4"/>
  <c r="J54" i="4"/>
  <c r="AL54" i="11" s="1"/>
  <c r="M6" i="5"/>
  <c r="T6" i="5"/>
  <c r="AE54" i="11"/>
  <c r="N6" i="3"/>
  <c r="R6" i="3"/>
  <c r="K6" i="2"/>
  <c r="S6" i="2"/>
  <c r="N6" i="2"/>
  <c r="O6" i="2"/>
  <c r="I6" i="2"/>
  <c r="P6" i="2"/>
  <c r="Q6" i="11"/>
  <c r="F6" i="11"/>
  <c r="N6" i="11"/>
  <c r="O6" i="11"/>
  <c r="M27" i="19"/>
  <c r="N27" i="19"/>
  <c r="I56" i="19"/>
  <c r="N56" i="19"/>
  <c r="M56" i="19"/>
  <c r="K56" i="19"/>
  <c r="J56" i="19"/>
  <c r="P6" i="11"/>
  <c r="I6" i="11"/>
  <c r="R6" i="11"/>
  <c r="K9" i="19"/>
  <c r="J9" i="19"/>
  <c r="N42" i="19"/>
  <c r="K6" i="11"/>
  <c r="M6" i="11"/>
  <c r="S6" i="11"/>
  <c r="M9" i="18"/>
  <c r="I6" i="31"/>
  <c r="K56" i="18"/>
  <c r="M56" i="18"/>
  <c r="L6" i="29"/>
  <c r="P6" i="29"/>
  <c r="H7" i="23"/>
  <c r="R7" i="23"/>
  <c r="S6" i="26"/>
  <c r="P7" i="23"/>
  <c r="F6" i="26"/>
  <c r="N6" i="26"/>
  <c r="O6" i="26"/>
  <c r="B6" i="23"/>
  <c r="R6" i="26"/>
  <c r="P6" i="25"/>
  <c r="C6" i="23"/>
  <c r="J7" i="23"/>
  <c r="N6" i="25"/>
  <c r="E54" i="23"/>
  <c r="M54" i="23"/>
  <c r="U54" i="23"/>
  <c r="F6" i="25"/>
  <c r="N54" i="23"/>
  <c r="E7" i="23"/>
  <c r="M7" i="23"/>
  <c r="R6" i="24"/>
  <c r="R6" i="22"/>
  <c r="L6" i="22"/>
  <c r="T6" i="22"/>
  <c r="F6" i="22"/>
  <c r="N6" i="22"/>
  <c r="M6" i="22"/>
  <c r="F6" i="21"/>
  <c r="N6" i="21"/>
  <c r="O6" i="21"/>
  <c r="I6" i="21"/>
  <c r="R6" i="21"/>
  <c r="L6" i="21"/>
  <c r="T6" i="21"/>
  <c r="K6" i="21"/>
  <c r="S6" i="21"/>
  <c r="F6" i="20"/>
  <c r="N6" i="20"/>
  <c r="K6" i="20"/>
  <c r="S6" i="20"/>
  <c r="P6" i="20"/>
  <c r="L6" i="20"/>
  <c r="R6" i="20"/>
  <c r="I6" i="20"/>
  <c r="Q6" i="31"/>
  <c r="R6" i="31"/>
  <c r="R7" i="4"/>
  <c r="R6" i="5"/>
  <c r="M6" i="24"/>
  <c r="K6" i="5"/>
  <c r="D6" i="23"/>
  <c r="U54" i="4"/>
  <c r="AW54" i="11" s="1"/>
  <c r="F6" i="5"/>
  <c r="O6" i="24"/>
  <c r="Q6" i="3"/>
  <c r="P6" i="1"/>
  <c r="S6" i="25"/>
  <c r="P6" i="24"/>
  <c r="Q6" i="1"/>
  <c r="K6" i="25"/>
  <c r="Q6" i="28"/>
  <c r="F6" i="9"/>
  <c r="N6" i="9"/>
  <c r="S6" i="31"/>
  <c r="F54" i="23"/>
  <c r="F6" i="24"/>
  <c r="L6" i="5"/>
  <c r="K6" i="26"/>
  <c r="F6" i="31"/>
  <c r="N6" i="5"/>
  <c r="Q6" i="2"/>
  <c r="K7" i="23"/>
  <c r="K6" i="24"/>
  <c r="R6" i="29"/>
  <c r="I7" i="23"/>
  <c r="I6" i="24"/>
  <c r="Q6" i="29"/>
  <c r="S54" i="4"/>
  <c r="AU54" i="11" s="1"/>
  <c r="S6" i="5"/>
  <c r="K6" i="31"/>
  <c r="N6" i="24"/>
  <c r="O7" i="4"/>
  <c r="AQ7" i="11" s="1"/>
  <c r="O6" i="5"/>
  <c r="Q6" i="10"/>
  <c r="Q6" i="8"/>
  <c r="R6" i="7"/>
  <c r="K6" i="29"/>
  <c r="S6" i="29"/>
  <c r="S7" i="23"/>
  <c r="H7" i="4"/>
  <c r="P7" i="4"/>
  <c r="AR7" i="11" s="1"/>
  <c r="B25" i="23"/>
  <c r="J25" i="23"/>
  <c r="R25" i="23"/>
  <c r="G25" i="4"/>
  <c r="AI25" i="11" s="1"/>
  <c r="O25" i="4"/>
  <c r="AQ25" i="11" s="1"/>
  <c r="I40" i="23"/>
  <c r="Q40" i="23"/>
  <c r="F40" i="4"/>
  <c r="AH40" i="11" s="1"/>
  <c r="N40" i="4"/>
  <c r="AP40" i="11" s="1"/>
  <c r="H54" i="23"/>
  <c r="P54" i="23"/>
  <c r="E54" i="4"/>
  <c r="AG54" i="11" s="1"/>
  <c r="M54" i="4"/>
  <c r="AO54" i="11" s="1"/>
  <c r="U25" i="23"/>
  <c r="U6" i="22"/>
  <c r="U6" i="21"/>
  <c r="P6" i="31"/>
  <c r="L7" i="23"/>
  <c r="T7" i="23"/>
  <c r="I7" i="4"/>
  <c r="AK7" i="11" s="1"/>
  <c r="Q7" i="4"/>
  <c r="AS7" i="11" s="1"/>
  <c r="C25" i="23"/>
  <c r="K25" i="23"/>
  <c r="S25" i="23"/>
  <c r="H25" i="4"/>
  <c r="AJ25" i="11" s="1"/>
  <c r="P25" i="4"/>
  <c r="AR25" i="11" s="1"/>
  <c r="B40" i="23"/>
  <c r="J40" i="23"/>
  <c r="R40" i="23"/>
  <c r="G40" i="4"/>
  <c r="AI40" i="11" s="1"/>
  <c r="O40" i="4"/>
  <c r="AQ40" i="11" s="1"/>
  <c r="I54" i="23"/>
  <c r="Q54" i="23"/>
  <c r="F54" i="4"/>
  <c r="AH54" i="11" s="1"/>
  <c r="N54" i="4"/>
  <c r="AP54" i="11" s="1"/>
  <c r="U40" i="23"/>
  <c r="L25" i="23"/>
  <c r="Q25" i="4"/>
  <c r="AS25" i="11" s="1"/>
  <c r="S40" i="23"/>
  <c r="B54" i="23"/>
  <c r="G54" i="4"/>
  <c r="AI54" i="11" s="1"/>
  <c r="N6" i="31"/>
  <c r="O6" i="31"/>
  <c r="S6" i="24"/>
  <c r="F7" i="23"/>
  <c r="N7" i="23"/>
  <c r="C7" i="4"/>
  <c r="AE7" i="11" s="1"/>
  <c r="K7" i="4"/>
  <c r="AM7" i="11" s="1"/>
  <c r="S7" i="4"/>
  <c r="AU7" i="11" s="1"/>
  <c r="E25" i="23"/>
  <c r="M25" i="23"/>
  <c r="B25" i="4"/>
  <c r="AD25" i="11" s="1"/>
  <c r="J25" i="4"/>
  <c r="AL25" i="11" s="1"/>
  <c r="R25" i="4"/>
  <c r="AT25" i="11" s="1"/>
  <c r="D40" i="23"/>
  <c r="L40" i="23"/>
  <c r="T40" i="23"/>
  <c r="I40" i="4"/>
  <c r="AK40" i="11" s="1"/>
  <c r="Q40" i="4"/>
  <c r="AS40" i="11" s="1"/>
  <c r="C54" i="23"/>
  <c r="K54" i="23"/>
  <c r="S54" i="23"/>
  <c r="H54" i="4"/>
  <c r="AJ54" i="11" s="1"/>
  <c r="P54" i="4"/>
  <c r="AR54" i="11" s="1"/>
  <c r="U7" i="4"/>
  <c r="AW7" i="11" s="1"/>
  <c r="T25" i="23"/>
  <c r="C40" i="23"/>
  <c r="H40" i="4"/>
  <c r="AJ40" i="11" s="1"/>
  <c r="J54" i="23"/>
  <c r="O54" i="4"/>
  <c r="AQ54" i="11" s="1"/>
  <c r="M6" i="31"/>
  <c r="Q6" i="27"/>
  <c r="Q6" i="5"/>
  <c r="T6" i="24"/>
  <c r="L6" i="11"/>
  <c r="N6" i="1"/>
  <c r="G7" i="23"/>
  <c r="O7" i="23"/>
  <c r="D7" i="4"/>
  <c r="L7" i="4"/>
  <c r="AN7" i="11" s="1"/>
  <c r="T7" i="4"/>
  <c r="F25" i="23"/>
  <c r="N25" i="23"/>
  <c r="C25" i="4"/>
  <c r="AE25" i="11" s="1"/>
  <c r="K25" i="4"/>
  <c r="AM25" i="11" s="1"/>
  <c r="S25" i="4"/>
  <c r="AU25" i="11" s="1"/>
  <c r="E40" i="23"/>
  <c r="M40" i="23"/>
  <c r="B40" i="4"/>
  <c r="AD40" i="11" s="1"/>
  <c r="J40" i="4"/>
  <c r="AL40" i="11" s="1"/>
  <c r="R40" i="4"/>
  <c r="AT40" i="11" s="1"/>
  <c r="D54" i="23"/>
  <c r="L54" i="23"/>
  <c r="T54" i="23"/>
  <c r="I54" i="4"/>
  <c r="AK54" i="11" s="1"/>
  <c r="Q54" i="4"/>
  <c r="U25" i="4"/>
  <c r="AW25" i="11" s="1"/>
  <c r="U6" i="2"/>
  <c r="D25" i="23"/>
  <c r="I25" i="4"/>
  <c r="AK25" i="11" s="1"/>
  <c r="K40" i="23"/>
  <c r="P40" i="4"/>
  <c r="AR40" i="11" s="1"/>
  <c r="R54" i="23"/>
  <c r="T6" i="31"/>
  <c r="L6" i="31"/>
  <c r="L6" i="24"/>
  <c r="U40" i="4"/>
  <c r="AW40" i="11" s="1"/>
  <c r="U7" i="23"/>
  <c r="U6" i="11"/>
  <c r="U6" i="20"/>
  <c r="U6" i="1"/>
  <c r="U6" i="3"/>
  <c r="U6" i="24"/>
  <c r="U6" i="5"/>
  <c r="U6" i="25"/>
  <c r="T6" i="6"/>
  <c r="I6" i="6"/>
  <c r="L6" i="6"/>
  <c r="Q6" i="6"/>
  <c r="P6" i="6"/>
  <c r="M6" i="6"/>
  <c r="F6" i="6"/>
  <c r="K6" i="6"/>
  <c r="O6" i="6"/>
  <c r="S6" i="6"/>
  <c r="N6" i="6"/>
  <c r="R6" i="6"/>
  <c r="U6" i="6"/>
  <c r="U6" i="26"/>
  <c r="U6" i="7"/>
  <c r="U6" i="27"/>
  <c r="U6" i="28"/>
  <c r="U6" i="29"/>
  <c r="U6" i="10"/>
  <c r="U6" i="31"/>
  <c r="Q11" i="20"/>
  <c r="Q11" i="24"/>
  <c r="Q11" i="25"/>
  <c r="Q7" i="25" s="1"/>
  <c r="Q6" i="25" s="1"/>
  <c r="Q11" i="26"/>
  <c r="Q7" i="26" s="1"/>
  <c r="Q6" i="26" s="1"/>
  <c r="Q11" i="21"/>
  <c r="Q11" i="22"/>
  <c r="B9" i="24"/>
  <c r="B9" i="25"/>
  <c r="B9" i="26"/>
  <c r="B10" i="24"/>
  <c r="B10" i="25"/>
  <c r="B10" i="26"/>
  <c r="B12" i="24"/>
  <c r="B12" i="25"/>
  <c r="B12" i="26"/>
  <c r="B13" i="24"/>
  <c r="B13" i="25"/>
  <c r="B13" i="26"/>
  <c r="B14" i="24"/>
  <c r="B14" i="25"/>
  <c r="B14" i="26"/>
  <c r="B15" i="24"/>
  <c r="B15" i="25"/>
  <c r="B15" i="26"/>
  <c r="B17" i="24"/>
  <c r="B17" i="25"/>
  <c r="B17" i="26"/>
  <c r="B18" i="24"/>
  <c r="B18" i="25"/>
  <c r="B18" i="26"/>
  <c r="B20" i="24"/>
  <c r="B20" i="25"/>
  <c r="B20" i="26"/>
  <c r="B21" i="24"/>
  <c r="B21" i="25"/>
  <c r="B21" i="26"/>
  <c r="B22" i="24"/>
  <c r="B22" i="25"/>
  <c r="B22" i="26"/>
  <c r="B23" i="24"/>
  <c r="B23" i="25"/>
  <c r="B23" i="26"/>
  <c r="B24" i="24"/>
  <c r="B24" i="25"/>
  <c r="B24" i="26"/>
  <c r="C9" i="24"/>
  <c r="C9" i="25"/>
  <c r="C9" i="26"/>
  <c r="C10" i="24"/>
  <c r="C10" i="25"/>
  <c r="C10" i="26"/>
  <c r="C12" i="24"/>
  <c r="C12" i="25"/>
  <c r="C12" i="26"/>
  <c r="C13" i="24"/>
  <c r="C13" i="25"/>
  <c r="C13" i="26"/>
  <c r="C14" i="24"/>
  <c r="C14" i="25"/>
  <c r="C14" i="26"/>
  <c r="C15" i="24"/>
  <c r="C15" i="25"/>
  <c r="C15" i="26"/>
  <c r="C16" i="24"/>
  <c r="C16" i="25"/>
  <c r="C16" i="26"/>
  <c r="C17" i="24"/>
  <c r="C17" i="25"/>
  <c r="C17" i="26"/>
  <c r="C18" i="24"/>
  <c r="C18" i="25"/>
  <c r="C18" i="26"/>
  <c r="C19" i="24"/>
  <c r="C19" i="25"/>
  <c r="C19" i="26"/>
  <c r="C20" i="24"/>
  <c r="C20" i="25"/>
  <c r="C20" i="26"/>
  <c r="C21" i="24"/>
  <c r="C21" i="25"/>
  <c r="C21" i="26"/>
  <c r="C22" i="24"/>
  <c r="C22" i="25"/>
  <c r="C22" i="26"/>
  <c r="C23" i="24"/>
  <c r="C23" i="25"/>
  <c r="C23" i="26"/>
  <c r="C24" i="24"/>
  <c r="C24" i="25"/>
  <c r="C24" i="26"/>
  <c r="D9" i="24"/>
  <c r="D9" i="25"/>
  <c r="D9" i="26"/>
  <c r="D10" i="24"/>
  <c r="D10" i="25"/>
  <c r="D10" i="26"/>
  <c r="D11" i="24"/>
  <c r="D11" i="25"/>
  <c r="D11" i="26"/>
  <c r="D12" i="24"/>
  <c r="D12" i="25"/>
  <c r="D12" i="26"/>
  <c r="D13" i="24"/>
  <c r="D13" i="25"/>
  <c r="D13" i="26"/>
  <c r="D14" i="24"/>
  <c r="D14" i="25"/>
  <c r="D14" i="26"/>
  <c r="D15" i="24"/>
  <c r="D15" i="25"/>
  <c r="D15" i="26"/>
  <c r="D16" i="24"/>
  <c r="D16" i="25"/>
  <c r="D16" i="26"/>
  <c r="D17" i="24"/>
  <c r="D17" i="25"/>
  <c r="D17" i="26"/>
  <c r="D18" i="24"/>
  <c r="D18" i="25"/>
  <c r="D18" i="26"/>
  <c r="D19" i="24"/>
  <c r="D19" i="25"/>
  <c r="D19" i="26"/>
  <c r="D20" i="24"/>
  <c r="D20" i="25"/>
  <c r="D20" i="26"/>
  <c r="D21" i="24"/>
  <c r="D21" i="25"/>
  <c r="D21" i="26"/>
  <c r="D22" i="24"/>
  <c r="D22" i="25"/>
  <c r="D22" i="26"/>
  <c r="D23" i="24"/>
  <c r="D23" i="25"/>
  <c r="D23" i="26"/>
  <c r="D24" i="24"/>
  <c r="D24" i="25"/>
  <c r="D24" i="26"/>
  <c r="D16" i="10"/>
  <c r="E9" i="10"/>
  <c r="E10" i="10"/>
  <c r="AG10" i="11" s="1"/>
  <c r="E12" i="10"/>
  <c r="AG12" i="11" s="1"/>
  <c r="E13" i="10"/>
  <c r="AG13" i="11" s="1"/>
  <c r="E14" i="10"/>
  <c r="AG14" i="11" s="1"/>
  <c r="E15" i="10"/>
  <c r="AG15" i="11" s="1"/>
  <c r="E16" i="10"/>
  <c r="AG16" i="11" s="1"/>
  <c r="E17" i="10"/>
  <c r="AG17" i="11" s="1"/>
  <c r="E18" i="10"/>
  <c r="AG18" i="11" s="1"/>
  <c r="E19" i="10"/>
  <c r="AG19" i="11" s="1"/>
  <c r="E20" i="10"/>
  <c r="AG20" i="11" s="1"/>
  <c r="E21" i="10"/>
  <c r="AG21" i="11" s="1"/>
  <c r="E22" i="10"/>
  <c r="AG22" i="11" s="1"/>
  <c r="E23" i="10"/>
  <c r="AG23" i="11" s="1"/>
  <c r="E24" i="10"/>
  <c r="AG24" i="11" s="1"/>
  <c r="G9" i="10"/>
  <c r="G10" i="10"/>
  <c r="AI10" i="11" s="1"/>
  <c r="G12" i="10"/>
  <c r="AI12" i="11" s="1"/>
  <c r="G13" i="10"/>
  <c r="AI13" i="11" s="1"/>
  <c r="G14" i="10"/>
  <c r="AI14" i="11" s="1"/>
  <c r="G15" i="10"/>
  <c r="AI15" i="11" s="1"/>
  <c r="G16" i="10"/>
  <c r="AI16" i="11" s="1"/>
  <c r="G17" i="10"/>
  <c r="AI17" i="11" s="1"/>
  <c r="G18" i="10"/>
  <c r="AI18" i="11" s="1"/>
  <c r="G19" i="10"/>
  <c r="AI19" i="11" s="1"/>
  <c r="G20" i="10"/>
  <c r="AI20" i="11" s="1"/>
  <c r="G21" i="10"/>
  <c r="AI21" i="11" s="1"/>
  <c r="G22" i="10"/>
  <c r="AI22" i="11" s="1"/>
  <c r="G23" i="10"/>
  <c r="AI23" i="11" s="1"/>
  <c r="G24" i="10"/>
  <c r="AI24" i="11" s="1"/>
  <c r="H9" i="10"/>
  <c r="H10" i="10"/>
  <c r="AJ10" i="11" s="1"/>
  <c r="H12" i="10"/>
  <c r="AJ12" i="11" s="1"/>
  <c r="H14" i="10"/>
  <c r="AJ14" i="11" s="1"/>
  <c r="H15" i="10"/>
  <c r="AJ15" i="11" s="1"/>
  <c r="H16" i="10"/>
  <c r="AJ16" i="11" s="1"/>
  <c r="H17" i="10"/>
  <c r="AJ17" i="11" s="1"/>
  <c r="H18" i="10"/>
  <c r="AJ18" i="11" s="1"/>
  <c r="H19" i="10"/>
  <c r="AJ19" i="11" s="1"/>
  <c r="H20" i="10"/>
  <c r="AJ20" i="11" s="1"/>
  <c r="H21" i="10"/>
  <c r="AJ21" i="11" s="1"/>
  <c r="H22" i="10"/>
  <c r="AJ22" i="11" s="1"/>
  <c r="H23" i="10"/>
  <c r="AJ23" i="11" s="1"/>
  <c r="H24" i="10"/>
  <c r="AJ24" i="11" s="1"/>
  <c r="J9" i="10"/>
  <c r="J10" i="10"/>
  <c r="AL10" i="11" s="1"/>
  <c r="J11" i="10"/>
  <c r="AL11" i="11" s="1"/>
  <c r="J12" i="10"/>
  <c r="AL12" i="11" s="1"/>
  <c r="J13" i="10"/>
  <c r="AL13" i="11" s="1"/>
  <c r="J14" i="10"/>
  <c r="AL14" i="11" s="1"/>
  <c r="J15" i="10"/>
  <c r="AL15" i="11" s="1"/>
  <c r="J16" i="10"/>
  <c r="AL16" i="11" s="1"/>
  <c r="J17" i="10"/>
  <c r="AL17" i="11" s="1"/>
  <c r="J18" i="10"/>
  <c r="AL18" i="11" s="1"/>
  <c r="J19" i="10"/>
  <c r="AL19" i="11" s="1"/>
  <c r="J20" i="10"/>
  <c r="AL20" i="11" s="1"/>
  <c r="J21" i="10"/>
  <c r="AL21" i="11" s="1"/>
  <c r="J22" i="10"/>
  <c r="AL22" i="11" s="1"/>
  <c r="J23" i="10"/>
  <c r="AL23" i="11" s="1"/>
  <c r="J24" i="10"/>
  <c r="AL24" i="11" s="1"/>
  <c r="B9" i="29"/>
  <c r="B10" i="29"/>
  <c r="B12" i="29"/>
  <c r="B14" i="29"/>
  <c r="B15" i="29"/>
  <c r="B17" i="29"/>
  <c r="B18" i="29"/>
  <c r="B20" i="29"/>
  <c r="B22" i="29"/>
  <c r="B23" i="29"/>
  <c r="B24" i="29"/>
  <c r="C9" i="29"/>
  <c r="C10" i="29"/>
  <c r="C12" i="29"/>
  <c r="C14" i="29"/>
  <c r="C15" i="29"/>
  <c r="C16" i="29"/>
  <c r="C17" i="29"/>
  <c r="C18" i="29"/>
  <c r="C19" i="29"/>
  <c r="C20" i="29"/>
  <c r="C21" i="29"/>
  <c r="C22" i="29"/>
  <c r="C23" i="29"/>
  <c r="C24" i="29"/>
  <c r="D9" i="29"/>
  <c r="D10" i="29"/>
  <c r="D11" i="29"/>
  <c r="D12" i="29"/>
  <c r="D13" i="29"/>
  <c r="D14" i="29"/>
  <c r="D15" i="29"/>
  <c r="D17" i="29"/>
  <c r="D20" i="29"/>
  <c r="D21" i="29"/>
  <c r="D22" i="29"/>
  <c r="D23" i="29"/>
  <c r="E9" i="29"/>
  <c r="E10" i="29"/>
  <c r="AG10" i="31" s="1"/>
  <c r="E12" i="29"/>
  <c r="AG12" i="31" s="1"/>
  <c r="E13" i="29"/>
  <c r="AG13" i="31" s="1"/>
  <c r="E14" i="29"/>
  <c r="AG14" i="31" s="1"/>
  <c r="E15" i="29"/>
  <c r="AG15" i="31" s="1"/>
  <c r="E16" i="29"/>
  <c r="AG16" i="31" s="1"/>
  <c r="E17" i="29"/>
  <c r="AG17" i="31" s="1"/>
  <c r="E18" i="29"/>
  <c r="AG18" i="31" s="1"/>
  <c r="E19" i="29"/>
  <c r="AG19" i="31" s="1"/>
  <c r="E20" i="29"/>
  <c r="AG20" i="31" s="1"/>
  <c r="E21" i="29"/>
  <c r="AG21" i="31" s="1"/>
  <c r="E22" i="29"/>
  <c r="AG22" i="31" s="1"/>
  <c r="E23" i="29"/>
  <c r="AG23" i="31" s="1"/>
  <c r="E24" i="29"/>
  <c r="AG24" i="31" s="1"/>
  <c r="G9" i="29"/>
  <c r="G10" i="29"/>
  <c r="AI10" i="31" s="1"/>
  <c r="G12" i="29"/>
  <c r="AI12" i="31" s="1"/>
  <c r="G13" i="29"/>
  <c r="AI13" i="31" s="1"/>
  <c r="G14" i="29"/>
  <c r="AI14" i="31" s="1"/>
  <c r="G15" i="29"/>
  <c r="AI15" i="31" s="1"/>
  <c r="G16" i="29"/>
  <c r="AI16" i="31" s="1"/>
  <c r="G17" i="29"/>
  <c r="AI17" i="31" s="1"/>
  <c r="G18" i="29"/>
  <c r="AI18" i="31" s="1"/>
  <c r="G19" i="29"/>
  <c r="AI19" i="31" s="1"/>
  <c r="G20" i="29"/>
  <c r="AI20" i="31" s="1"/>
  <c r="G21" i="29"/>
  <c r="AI21" i="31" s="1"/>
  <c r="G22" i="29"/>
  <c r="AI22" i="31" s="1"/>
  <c r="G23" i="29"/>
  <c r="AI23" i="31" s="1"/>
  <c r="G24" i="29"/>
  <c r="AI24" i="31" s="1"/>
  <c r="H9" i="29"/>
  <c r="H10" i="29"/>
  <c r="AJ10" i="31" s="1"/>
  <c r="H12" i="29"/>
  <c r="AJ12" i="31" s="1"/>
  <c r="H13" i="29"/>
  <c r="AJ13" i="31" s="1"/>
  <c r="H14" i="29"/>
  <c r="AJ14" i="31" s="1"/>
  <c r="H15" i="29"/>
  <c r="AJ15" i="31" s="1"/>
  <c r="H16" i="29"/>
  <c r="AJ16" i="31" s="1"/>
  <c r="H17" i="29"/>
  <c r="AJ17" i="31" s="1"/>
  <c r="H18" i="29"/>
  <c r="AJ18" i="31" s="1"/>
  <c r="H19" i="29"/>
  <c r="AJ19" i="31" s="1"/>
  <c r="H20" i="29"/>
  <c r="AJ20" i="31" s="1"/>
  <c r="H21" i="29"/>
  <c r="AJ21" i="31" s="1"/>
  <c r="H22" i="29"/>
  <c r="AJ22" i="31" s="1"/>
  <c r="H23" i="29"/>
  <c r="AJ23" i="31" s="1"/>
  <c r="H24" i="29"/>
  <c r="AJ24" i="31" s="1"/>
  <c r="J9" i="29"/>
  <c r="J10" i="29"/>
  <c r="AL10" i="31" s="1"/>
  <c r="J11" i="29"/>
  <c r="AL11" i="31" s="1"/>
  <c r="J12" i="29"/>
  <c r="AL12" i="31" s="1"/>
  <c r="J13" i="29"/>
  <c r="AL13" i="31" s="1"/>
  <c r="J14" i="29"/>
  <c r="AL14" i="31" s="1"/>
  <c r="J15" i="29"/>
  <c r="AL15" i="31" s="1"/>
  <c r="J16" i="29"/>
  <c r="AL16" i="31" s="1"/>
  <c r="J17" i="29"/>
  <c r="AL17" i="31" s="1"/>
  <c r="J18" i="29"/>
  <c r="AL18" i="31" s="1"/>
  <c r="J19" i="29"/>
  <c r="AL19" i="31" s="1"/>
  <c r="J20" i="29"/>
  <c r="AL20" i="31" s="1"/>
  <c r="J21" i="29"/>
  <c r="AL21" i="31" s="1"/>
  <c r="J22" i="29"/>
  <c r="AL22" i="31" s="1"/>
  <c r="J23" i="29"/>
  <c r="AL23" i="31" s="1"/>
  <c r="J24" i="29"/>
  <c r="AL24" i="31" s="1"/>
  <c r="B9" i="28"/>
  <c r="B10" i="28"/>
  <c r="B12" i="28"/>
  <c r="B13" i="28"/>
  <c r="B14" i="28"/>
  <c r="B15" i="28"/>
  <c r="B17" i="28"/>
  <c r="B18" i="28"/>
  <c r="B20" i="28"/>
  <c r="B21" i="28"/>
  <c r="B22" i="28"/>
  <c r="B23" i="28"/>
  <c r="B24" i="28"/>
  <c r="C9" i="28"/>
  <c r="C10" i="28"/>
  <c r="C12" i="28"/>
  <c r="C13" i="28"/>
  <c r="C14" i="28"/>
  <c r="C15" i="28"/>
  <c r="C16" i="28"/>
  <c r="C17" i="28"/>
  <c r="C18" i="28"/>
  <c r="C19" i="28"/>
  <c r="C20" i="28"/>
  <c r="C21" i="28"/>
  <c r="C22" i="28"/>
  <c r="C23" i="28"/>
  <c r="C24" i="28"/>
  <c r="D9" i="28"/>
  <c r="D10" i="28"/>
  <c r="D11" i="28"/>
  <c r="D12" i="28"/>
  <c r="D13" i="28"/>
  <c r="D14" i="28"/>
  <c r="D15" i="28"/>
  <c r="D17" i="28"/>
  <c r="D18" i="28"/>
  <c r="D20" i="28"/>
  <c r="D21" i="28"/>
  <c r="D22" i="28"/>
  <c r="D23" i="28"/>
  <c r="D24" i="28"/>
  <c r="B9" i="27"/>
  <c r="B10" i="27"/>
  <c r="B12" i="27"/>
  <c r="B13" i="27"/>
  <c r="B14" i="27"/>
  <c r="B15" i="27"/>
  <c r="B17" i="27"/>
  <c r="B18" i="27"/>
  <c r="B20" i="27"/>
  <c r="B21" i="27"/>
  <c r="B22" i="27"/>
  <c r="B23" i="27"/>
  <c r="B24" i="27"/>
  <c r="C9" i="27"/>
  <c r="C10" i="27"/>
  <c r="C12" i="27"/>
  <c r="C13" i="27"/>
  <c r="C14" i="27"/>
  <c r="C15" i="27"/>
  <c r="C16" i="27"/>
  <c r="C17" i="27"/>
  <c r="C18" i="27"/>
  <c r="C19" i="27"/>
  <c r="C20" i="27"/>
  <c r="C21" i="27"/>
  <c r="C22" i="27"/>
  <c r="C23" i="27"/>
  <c r="C24" i="27"/>
  <c r="D9" i="27"/>
  <c r="D10" i="27"/>
  <c r="D11" i="27"/>
  <c r="D12" i="27"/>
  <c r="D13" i="27"/>
  <c r="D14" i="27"/>
  <c r="D15" i="27"/>
  <c r="D17" i="27"/>
  <c r="D18" i="27"/>
  <c r="D20" i="27"/>
  <c r="D21" i="27"/>
  <c r="D22" i="27"/>
  <c r="D23" i="27"/>
  <c r="D24" i="27"/>
  <c r="B9" i="22"/>
  <c r="B10" i="22"/>
  <c r="B12" i="22"/>
  <c r="B13" i="22"/>
  <c r="B14" i="22"/>
  <c r="B15" i="22"/>
  <c r="B17" i="22"/>
  <c r="B18" i="22"/>
  <c r="B20" i="22"/>
  <c r="B21" i="22"/>
  <c r="B22" i="22"/>
  <c r="B23" i="22"/>
  <c r="B24" i="22"/>
  <c r="C9" i="22"/>
  <c r="C10" i="22"/>
  <c r="C12" i="22"/>
  <c r="C13" i="22"/>
  <c r="C14" i="22"/>
  <c r="C15" i="22"/>
  <c r="C16" i="22"/>
  <c r="C17" i="22"/>
  <c r="C18" i="22"/>
  <c r="C19" i="22"/>
  <c r="C20" i="22"/>
  <c r="C21" i="22"/>
  <c r="C22" i="22"/>
  <c r="C23" i="22"/>
  <c r="C24" i="22"/>
  <c r="D9" i="22"/>
  <c r="D10" i="22"/>
  <c r="D11" i="22"/>
  <c r="D12" i="22"/>
  <c r="D13" i="22"/>
  <c r="D14" i="22"/>
  <c r="D15" i="22"/>
  <c r="D16" i="22"/>
  <c r="D17" i="22"/>
  <c r="D18" i="22"/>
  <c r="D19" i="22"/>
  <c r="D20" i="22"/>
  <c r="D21" i="22"/>
  <c r="D22" i="22"/>
  <c r="D23" i="22"/>
  <c r="D24" i="22"/>
  <c r="B9" i="21"/>
  <c r="B10" i="21"/>
  <c r="B12" i="21"/>
  <c r="B13" i="21"/>
  <c r="B14" i="21"/>
  <c r="B15" i="21"/>
  <c r="B17" i="21"/>
  <c r="B18" i="21"/>
  <c r="B20" i="21"/>
  <c r="B21" i="21"/>
  <c r="B22" i="21"/>
  <c r="B23" i="21"/>
  <c r="B24" i="21"/>
  <c r="C9" i="21"/>
  <c r="C10" i="21"/>
  <c r="C12" i="21"/>
  <c r="C13" i="21"/>
  <c r="C14" i="21"/>
  <c r="C15" i="21"/>
  <c r="C16" i="21"/>
  <c r="C17" i="21"/>
  <c r="C18" i="21"/>
  <c r="C19" i="21"/>
  <c r="C20" i="21"/>
  <c r="C21" i="21"/>
  <c r="C22" i="21"/>
  <c r="C23" i="21"/>
  <c r="C24" i="21"/>
  <c r="D9" i="21"/>
  <c r="D10" i="21"/>
  <c r="D11" i="21"/>
  <c r="D12" i="21"/>
  <c r="D13" i="21"/>
  <c r="D14" i="21"/>
  <c r="D15" i="21"/>
  <c r="D16" i="21"/>
  <c r="D17" i="21"/>
  <c r="D18" i="21"/>
  <c r="D19" i="21"/>
  <c r="D20" i="21"/>
  <c r="D21" i="21"/>
  <c r="D22" i="21"/>
  <c r="D23" i="21"/>
  <c r="D24" i="21"/>
  <c r="B9" i="20"/>
  <c r="B10" i="20"/>
  <c r="B12" i="20"/>
  <c r="B13" i="20"/>
  <c r="B14" i="20"/>
  <c r="B15" i="20"/>
  <c r="B17" i="20"/>
  <c r="B18" i="20"/>
  <c r="B20" i="20"/>
  <c r="B21" i="20"/>
  <c r="B22" i="20"/>
  <c r="B23" i="20"/>
  <c r="B24" i="20"/>
  <c r="C9" i="20"/>
  <c r="C10" i="20"/>
  <c r="C12" i="20"/>
  <c r="C13" i="20"/>
  <c r="C14" i="20"/>
  <c r="C15" i="20"/>
  <c r="C16" i="20"/>
  <c r="C17" i="20"/>
  <c r="C18" i="20"/>
  <c r="C19" i="20"/>
  <c r="C20" i="20"/>
  <c r="C21" i="20"/>
  <c r="C22" i="20"/>
  <c r="C23" i="20"/>
  <c r="C24" i="20"/>
  <c r="D9" i="20"/>
  <c r="D10" i="20"/>
  <c r="D11" i="20"/>
  <c r="D12" i="20"/>
  <c r="D13" i="20"/>
  <c r="D14" i="20"/>
  <c r="D15" i="20"/>
  <c r="D16" i="20"/>
  <c r="D17" i="20"/>
  <c r="D18" i="20"/>
  <c r="D19" i="20"/>
  <c r="D20" i="20"/>
  <c r="D21" i="20"/>
  <c r="D22" i="20"/>
  <c r="D23" i="20"/>
  <c r="D24" i="20"/>
  <c r="AV7" i="11" l="1"/>
  <c r="L9" i="19"/>
  <c r="I6" i="23"/>
  <c r="I6" i="4"/>
  <c r="X67" i="18"/>
  <c r="L67" i="18"/>
  <c r="C7" i="27"/>
  <c r="P6" i="4"/>
  <c r="AR6" i="11" s="1"/>
  <c r="M8" i="18"/>
  <c r="N8" i="18"/>
  <c r="AV54" i="11"/>
  <c r="L56" i="19"/>
  <c r="L27" i="18"/>
  <c r="AV40" i="11"/>
  <c r="AV25" i="11"/>
  <c r="X27" i="19"/>
  <c r="S6" i="4"/>
  <c r="T6" i="4"/>
  <c r="R6" i="23"/>
  <c r="T6" i="23"/>
  <c r="L6" i="23"/>
  <c r="P6" i="23"/>
  <c r="N6" i="23"/>
  <c r="M6" i="23"/>
  <c r="AK6" i="11"/>
  <c r="AU6" i="11"/>
  <c r="AT7" i="11"/>
  <c r="X42" i="19"/>
  <c r="Q6" i="4"/>
  <c r="AS6" i="11" s="1"/>
  <c r="M6" i="4"/>
  <c r="AO6" i="11" s="1"/>
  <c r="K8" i="19"/>
  <c r="J8" i="19"/>
  <c r="I8" i="19"/>
  <c r="N8" i="19"/>
  <c r="M8" i="19"/>
  <c r="D7" i="29"/>
  <c r="D22" i="23"/>
  <c r="AF22" i="31" s="1"/>
  <c r="D14" i="23"/>
  <c r="AF14" i="31" s="1"/>
  <c r="C22" i="23"/>
  <c r="AE22" i="31" s="1"/>
  <c r="C14" i="23"/>
  <c r="AE14" i="31" s="1"/>
  <c r="B21" i="23"/>
  <c r="AD21" i="31" s="1"/>
  <c r="B10" i="23"/>
  <c r="AD10" i="31" s="1"/>
  <c r="O6" i="23"/>
  <c r="D19" i="23"/>
  <c r="AF19" i="31" s="1"/>
  <c r="D11" i="23"/>
  <c r="AF11" i="31" s="1"/>
  <c r="C19" i="23"/>
  <c r="AE19" i="31" s="1"/>
  <c r="C10" i="23"/>
  <c r="AE10" i="31" s="1"/>
  <c r="B17" i="23"/>
  <c r="F6" i="23"/>
  <c r="B15" i="23"/>
  <c r="AD15" i="31" s="1"/>
  <c r="D10" i="23"/>
  <c r="AF10" i="31" s="1"/>
  <c r="S6" i="23"/>
  <c r="D18" i="23"/>
  <c r="AF18" i="31" s="1"/>
  <c r="C18" i="23"/>
  <c r="AE18" i="31" s="1"/>
  <c r="U6" i="23"/>
  <c r="L56" i="18"/>
  <c r="AS54" i="11"/>
  <c r="Q7" i="20"/>
  <c r="D7" i="27"/>
  <c r="B7" i="29"/>
  <c r="AL9" i="11"/>
  <c r="J7" i="10"/>
  <c r="AL7" i="11" s="1"/>
  <c r="D24" i="23"/>
  <c r="AF24" i="31" s="1"/>
  <c r="D16" i="23"/>
  <c r="AF16" i="31" s="1"/>
  <c r="C24" i="23"/>
  <c r="AE24" i="31" s="1"/>
  <c r="C16" i="23"/>
  <c r="AE16" i="31" s="1"/>
  <c r="C7" i="26"/>
  <c r="B23" i="23"/>
  <c r="AD23" i="31" s="1"/>
  <c r="B13" i="23"/>
  <c r="AD13" i="31" s="1"/>
  <c r="B7" i="25"/>
  <c r="R6" i="4"/>
  <c r="I27" i="19"/>
  <c r="C7" i="21"/>
  <c r="C7" i="28"/>
  <c r="D21" i="23"/>
  <c r="AF21" i="31" s="1"/>
  <c r="D13" i="23"/>
  <c r="AF13" i="31" s="1"/>
  <c r="C21" i="23"/>
  <c r="AE21" i="31" s="1"/>
  <c r="C13" i="23"/>
  <c r="AE13" i="31" s="1"/>
  <c r="C7" i="25"/>
  <c r="B20" i="23"/>
  <c r="AD20" i="31" s="1"/>
  <c r="B9" i="23"/>
  <c r="AD9" i="31" s="1"/>
  <c r="B7" i="24"/>
  <c r="N6" i="4"/>
  <c r="AP6" i="11" s="1"/>
  <c r="L6" i="4"/>
  <c r="AN6" i="11" s="1"/>
  <c r="I42" i="19"/>
  <c r="I9" i="19"/>
  <c r="X9" i="19"/>
  <c r="B7" i="26"/>
  <c r="B7" i="20"/>
  <c r="B7" i="22"/>
  <c r="D7" i="28"/>
  <c r="C15" i="23"/>
  <c r="AE15" i="31" s="1"/>
  <c r="B22" i="23"/>
  <c r="AD22" i="31" s="1"/>
  <c r="J13" i="18"/>
  <c r="Q7" i="21"/>
  <c r="O6" i="4"/>
  <c r="AQ6" i="11" s="1"/>
  <c r="AD17" i="31"/>
  <c r="AG9" i="11"/>
  <c r="E7" i="10"/>
  <c r="AG7" i="11" s="1"/>
  <c r="D20" i="23"/>
  <c r="AF20" i="31" s="1"/>
  <c r="D12" i="23"/>
  <c r="AF12" i="31" s="1"/>
  <c r="D7" i="25"/>
  <c r="C20" i="23"/>
  <c r="AE20" i="31" s="1"/>
  <c r="C12" i="23"/>
  <c r="AE12" i="31" s="1"/>
  <c r="B18" i="23"/>
  <c r="AD18" i="31" s="1"/>
  <c r="K6" i="4"/>
  <c r="AM6" i="11" s="1"/>
  <c r="D7" i="21"/>
  <c r="C9" i="23"/>
  <c r="AE9" i="31" s="1"/>
  <c r="C7" i="24"/>
  <c r="D7" i="26"/>
  <c r="B7" i="27"/>
  <c r="AI9" i="31"/>
  <c r="G7" i="29"/>
  <c r="C7" i="20"/>
  <c r="C7" i="22"/>
  <c r="AJ9" i="31"/>
  <c r="H7" i="29"/>
  <c r="C7" i="29"/>
  <c r="AI9" i="11"/>
  <c r="G7" i="10"/>
  <c r="AI7" i="11" s="1"/>
  <c r="AF16" i="11"/>
  <c r="D7" i="10"/>
  <c r="AF7" i="11" s="1"/>
  <c r="D17" i="23"/>
  <c r="AF17" i="31" s="1"/>
  <c r="D9" i="23"/>
  <c r="AF9" i="31" s="1"/>
  <c r="D7" i="24"/>
  <c r="C17" i="23"/>
  <c r="AE17" i="31" s="1"/>
  <c r="B24" i="23"/>
  <c r="AD24" i="31" s="1"/>
  <c r="B14" i="23"/>
  <c r="AD14" i="31" s="1"/>
  <c r="F6" i="4"/>
  <c r="AH6" i="11" s="1"/>
  <c r="U6" i="4"/>
  <c r="AW6" i="11" s="1"/>
  <c r="K6" i="23"/>
  <c r="K13" i="18"/>
  <c r="Q7" i="22"/>
  <c r="AG9" i="31"/>
  <c r="E7" i="29"/>
  <c r="D23" i="23"/>
  <c r="AF23" i="31" s="1"/>
  <c r="D15" i="23"/>
  <c r="AF15" i="31" s="1"/>
  <c r="C23" i="23"/>
  <c r="AE23" i="31" s="1"/>
  <c r="B12" i="23"/>
  <c r="AD12" i="31" s="1"/>
  <c r="D7" i="20"/>
  <c r="B7" i="21"/>
  <c r="D7" i="22"/>
  <c r="B7" i="28"/>
  <c r="AL9" i="31"/>
  <c r="J7" i="29"/>
  <c r="AJ9" i="11"/>
  <c r="H7" i="10"/>
  <c r="AJ7" i="11" s="1"/>
  <c r="Q11" i="23"/>
  <c r="L13" i="18" s="1"/>
  <c r="Q7" i="24"/>
  <c r="X27" i="18"/>
  <c r="B7" i="31"/>
  <c r="D7" i="31"/>
  <c r="I56" i="18"/>
  <c r="Y56" i="18"/>
  <c r="C7" i="31"/>
  <c r="L42" i="18"/>
  <c r="N42" i="18"/>
  <c r="N9" i="18"/>
  <c r="X42" i="18"/>
  <c r="J27" i="18"/>
  <c r="J56" i="18"/>
  <c r="K27" i="18"/>
  <c r="M42" i="18"/>
  <c r="I27" i="18"/>
  <c r="Y27" i="18"/>
  <c r="N56" i="18"/>
  <c r="X56" i="18"/>
  <c r="K42" i="18"/>
  <c r="I42" i="18"/>
  <c r="Y42" i="18"/>
  <c r="J42" i="18"/>
  <c r="X18" i="18"/>
  <c r="Y25" i="18"/>
  <c r="Y23" i="18"/>
  <c r="Y24" i="18"/>
  <c r="Y20" i="18"/>
  <c r="Y19" i="18"/>
  <c r="Y22" i="18"/>
  <c r="Y18" i="18"/>
  <c r="Y17" i="18"/>
  <c r="Y21" i="18"/>
  <c r="Y11" i="18"/>
  <c r="Y26" i="18"/>
  <c r="Y8" i="19"/>
  <c r="X25" i="18"/>
  <c r="X17" i="18"/>
  <c r="X26" i="18"/>
  <c r="X19" i="18"/>
  <c r="X22" i="18"/>
  <c r="X24" i="18"/>
  <c r="X11" i="18"/>
  <c r="AV6" i="11" l="1"/>
  <c r="X8" i="19"/>
  <c r="X56" i="19"/>
  <c r="L27" i="19"/>
  <c r="L42" i="19"/>
  <c r="C7" i="23"/>
  <c r="D7" i="23"/>
  <c r="AT6" i="11"/>
  <c r="K9" i="18"/>
  <c r="Q6" i="22"/>
  <c r="K8" i="18" s="1"/>
  <c r="Q6" i="20"/>
  <c r="I8" i="18" s="1"/>
  <c r="Q7" i="23"/>
  <c r="L9" i="18" s="1"/>
  <c r="Q6" i="24"/>
  <c r="Q6" i="23" s="1"/>
  <c r="AS11" i="31"/>
  <c r="I13" i="18"/>
  <c r="X13" i="18"/>
  <c r="J9" i="18"/>
  <c r="Q6" i="21"/>
  <c r="J8" i="18" s="1"/>
  <c r="B7" i="23"/>
  <c r="L8" i="18"/>
  <c r="Y8" i="18"/>
  <c r="X21" i="18"/>
  <c r="X20" i="18"/>
  <c r="Y9" i="18"/>
  <c r="L8" i="19" l="1"/>
  <c r="I9" i="18"/>
  <c r="X9" i="18"/>
  <c r="X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jmarks</author>
  </authors>
  <commentList>
    <comment ref="A29" authorId="0" shapeId="0" xr:uid="{00000000-0006-0000-0100-000001000000}">
      <text>
        <r>
          <rPr>
            <b/>
            <sz val="9"/>
            <color indexed="81"/>
            <rFont val="Tahoma"/>
            <family val="2"/>
          </rPr>
          <t>Christiana Datubo-Brown:</t>
        </r>
        <r>
          <rPr>
            <sz val="9"/>
            <color indexed="81"/>
            <rFont val="Tahoma"/>
            <family val="2"/>
          </rPr>
          <t xml:space="preserve">
Note manual entry for Alaska
</t>
        </r>
      </text>
    </comment>
    <comment ref="C67" authorId="1" shapeId="0" xr:uid="{00000000-0006-0000-0100-000002000000}">
      <text>
        <r>
          <rPr>
            <b/>
            <sz val="10"/>
            <color indexed="81"/>
            <rFont val="Tahoma"/>
            <family val="2"/>
          </rPr>
          <t>jmarks:</t>
        </r>
        <r>
          <rPr>
            <sz val="10"/>
            <color indexed="81"/>
            <rFont val="Tahoma"/>
            <family val="2"/>
          </rPr>
          <t xml:space="preserve">
Note manual entry.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A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A00-000002000000}">
      <text>
        <r>
          <rPr>
            <b/>
            <sz val="8"/>
            <color indexed="81"/>
            <rFont val="Tahoma"/>
            <family val="2"/>
          </rPr>
          <t>jmarks:</t>
        </r>
        <r>
          <rPr>
            <sz val="8"/>
            <color indexed="81"/>
            <rFont val="Tahoma"/>
            <family val="2"/>
          </rPr>
          <t xml:space="preserve">
U Del from FASB file</t>
        </r>
      </text>
    </comment>
    <comment ref="Q11" authorId="1" shapeId="0" xr:uid="{00000000-0006-0000-0A00-000003000000}">
      <text>
        <r>
          <rPr>
            <b/>
            <sz val="8"/>
            <color indexed="81"/>
            <rFont val="Tahoma"/>
            <family val="2"/>
          </rPr>
          <t>jmarks:</t>
        </r>
        <r>
          <rPr>
            <sz val="8"/>
            <color indexed="81"/>
            <rFont val="Tahoma"/>
            <family val="2"/>
          </rPr>
          <t xml:space="preserve">
U Del from FASB file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0B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C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C00-000002000000}">
      <text>
        <r>
          <rPr>
            <b/>
            <sz val="8"/>
            <color indexed="81"/>
            <rFont val="Tahoma"/>
            <family val="2"/>
          </rPr>
          <t>jmarks:</t>
        </r>
        <r>
          <rPr>
            <sz val="8"/>
            <color indexed="81"/>
            <rFont val="Tahoma"/>
            <family val="2"/>
          </rPr>
          <t xml:space="preserve">
U Del from FASB file</t>
        </r>
      </text>
    </comment>
    <comment ref="Q11" authorId="1" shapeId="0" xr:uid="{00000000-0006-0000-0C00-000003000000}">
      <text>
        <r>
          <rPr>
            <b/>
            <sz val="8"/>
            <color indexed="81"/>
            <rFont val="Tahoma"/>
            <family val="2"/>
          </rPr>
          <t>jmarks:</t>
        </r>
        <r>
          <rPr>
            <sz val="8"/>
            <color indexed="81"/>
            <rFont val="Tahoma"/>
            <family val="2"/>
          </rPr>
          <t xml:space="preserve">
U Del from FASB file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D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I13" authorId="1" shapeId="0" xr:uid="{00000000-0006-0000-0D00-000002000000}">
      <text>
        <r>
          <rPr>
            <b/>
            <sz val="8"/>
            <color indexed="81"/>
            <rFont val="Tahoma"/>
            <family val="2"/>
          </rPr>
          <t>jmarks:</t>
        </r>
        <r>
          <rPr>
            <sz val="8"/>
            <color indexed="81"/>
            <rFont val="Tahoma"/>
            <family val="2"/>
          </rPr>
          <t xml:space="preserve">
revised figure from DE HEC</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E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E00-000002000000}">
      <text>
        <r>
          <rPr>
            <b/>
            <sz val="8"/>
            <color indexed="81"/>
            <rFont val="Tahoma"/>
            <family val="2"/>
          </rPr>
          <t>jmarks:</t>
        </r>
        <r>
          <rPr>
            <sz val="8"/>
            <color indexed="81"/>
            <rFont val="Tahoma"/>
            <family val="2"/>
          </rPr>
          <t xml:space="preserve">
U Del from FASB file</t>
        </r>
      </text>
    </comment>
    <comment ref="Q11" authorId="1" shapeId="0" xr:uid="{00000000-0006-0000-0E00-000003000000}">
      <text>
        <r>
          <rPr>
            <b/>
            <sz val="8"/>
            <color indexed="81"/>
            <rFont val="Tahoma"/>
            <family val="2"/>
          </rPr>
          <t>jmarks:</t>
        </r>
        <r>
          <rPr>
            <sz val="8"/>
            <color indexed="81"/>
            <rFont val="Tahoma"/>
            <family val="2"/>
          </rPr>
          <t xml:space="preserve">
U Del from FASB file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0F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0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1000-000002000000}">
      <text>
        <r>
          <rPr>
            <b/>
            <sz val="8"/>
            <color indexed="81"/>
            <rFont val="Tahoma"/>
            <family val="2"/>
          </rPr>
          <t>jmarks:</t>
        </r>
        <r>
          <rPr>
            <sz val="8"/>
            <color indexed="81"/>
            <rFont val="Tahoma"/>
            <family val="2"/>
          </rPr>
          <t xml:space="preserve">
U Del from FASB file</t>
        </r>
      </text>
    </comment>
    <comment ref="Q11" authorId="1" shapeId="0" xr:uid="{00000000-0006-0000-1000-000003000000}">
      <text>
        <r>
          <rPr>
            <b/>
            <sz val="8"/>
            <color indexed="81"/>
            <rFont val="Tahoma"/>
            <family val="2"/>
          </rPr>
          <t>jmarks:</t>
        </r>
        <r>
          <rPr>
            <sz val="8"/>
            <color indexed="81"/>
            <rFont val="Tahoma"/>
            <family val="2"/>
          </rPr>
          <t xml:space="preserve">
U Del from FASB file</t>
        </r>
      </text>
    </comment>
    <comment ref="T65" authorId="1" shapeId="0" xr:uid="{00000000-0006-0000-1000-000004000000}">
      <text>
        <r>
          <rPr>
            <b/>
            <sz val="10"/>
            <color indexed="81"/>
            <rFont val="Tahoma"/>
            <family val="2"/>
          </rPr>
          <t>jmarks:</t>
        </r>
        <r>
          <rPr>
            <sz val="10"/>
            <color indexed="81"/>
            <rFont val="Tahoma"/>
            <family val="2"/>
          </rPr>
          <t xml:space="preserve">
4,964 reported. Substituted extrapolated amount.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11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1200-000002000000}">
      <text>
        <r>
          <rPr>
            <b/>
            <sz val="8"/>
            <color indexed="81"/>
            <rFont val="Tahoma"/>
            <family val="2"/>
          </rPr>
          <t>jmarks:</t>
        </r>
        <r>
          <rPr>
            <sz val="8"/>
            <color indexed="81"/>
            <rFont val="Tahoma"/>
            <family val="2"/>
          </rPr>
          <t xml:space="preserve">
U Del from FASB fle
</t>
        </r>
      </text>
    </comment>
    <comment ref="Q11" authorId="1" shapeId="0" xr:uid="{00000000-0006-0000-1200-000003000000}">
      <text>
        <r>
          <rPr>
            <b/>
            <sz val="8"/>
            <color indexed="81"/>
            <rFont val="Tahoma"/>
            <family val="2"/>
          </rPr>
          <t>jmarks:</t>
        </r>
        <r>
          <rPr>
            <sz val="8"/>
            <color indexed="81"/>
            <rFont val="Tahoma"/>
            <family val="2"/>
          </rPr>
          <t xml:space="preserve">
U Del from FASB fle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1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200-000002000000}">
      <text>
        <r>
          <rPr>
            <b/>
            <sz val="8"/>
            <color indexed="81"/>
            <rFont val="Tahoma"/>
            <family val="2"/>
          </rPr>
          <t>jmarks:</t>
        </r>
        <r>
          <rPr>
            <sz val="8"/>
            <color indexed="81"/>
            <rFont val="Tahoma"/>
            <family val="2"/>
          </rPr>
          <t xml:space="preserve">
U Del from FASB file</t>
        </r>
      </text>
    </comment>
    <comment ref="Q11" authorId="1" shapeId="0" xr:uid="{00000000-0006-0000-0200-000003000000}">
      <text>
        <r>
          <rPr>
            <b/>
            <sz val="8"/>
            <color indexed="81"/>
            <rFont val="Tahoma"/>
            <family val="2"/>
          </rPr>
          <t>jmarks:</t>
        </r>
        <r>
          <rPr>
            <sz val="8"/>
            <color indexed="81"/>
            <rFont val="Tahoma"/>
            <family val="2"/>
          </rPr>
          <t xml:space="preserve">
U Del from FASB file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400-000002000000}">
      <text>
        <r>
          <rPr>
            <b/>
            <sz val="9"/>
            <color indexed="81"/>
            <rFont val="Tahoma"/>
            <family val="2"/>
          </rPr>
          <t>jmarks:</t>
        </r>
        <r>
          <rPr>
            <sz val="9"/>
            <color indexed="81"/>
            <rFont val="Tahoma"/>
            <family val="2"/>
          </rPr>
          <t xml:space="preserve">
Starting this year, depreciation, interest and some other non-operating expenditures are distributed in instruction, research, etc.</t>
        </r>
      </text>
    </comment>
    <comment ref="Q11" authorId="0" shapeId="0" xr:uid="{00000000-0006-0000-1400-000003000000}">
      <text>
        <r>
          <rPr>
            <b/>
            <sz val="10"/>
            <color indexed="81"/>
            <rFont val="Tahoma"/>
            <family val="2"/>
          </rPr>
          <t>JLM:</t>
        </r>
        <r>
          <rPr>
            <sz val="10"/>
            <color indexed="81"/>
            <rFont val="Tahoma"/>
            <family val="2"/>
          </rPr>
          <t xml:space="preserve">
U. Del from FASB file</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500-000002000000}">
      <text>
        <r>
          <rPr>
            <b/>
            <sz val="9"/>
            <color indexed="81"/>
            <rFont val="Tahoma"/>
            <family val="2"/>
          </rPr>
          <t>jmarks:</t>
        </r>
        <r>
          <rPr>
            <sz val="9"/>
            <color indexed="81"/>
            <rFont val="Tahoma"/>
            <family val="2"/>
          </rPr>
          <t xml:space="preserve">
Starting this year, depreciation, interest and some other non-operating expenditures are distributed in instruction, research, etc.</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6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7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I15" authorId="1" shapeId="0" xr:uid="{00000000-0006-0000-0300-000002000000}">
      <text>
        <r>
          <rPr>
            <b/>
            <sz val="8"/>
            <color indexed="81"/>
            <rFont val="Tahoma"/>
            <family val="2"/>
          </rPr>
          <t>jmarks:</t>
        </r>
        <r>
          <rPr>
            <sz val="8"/>
            <color indexed="81"/>
            <rFont val="Tahoma"/>
            <family val="2"/>
          </rPr>
          <t xml:space="preserve">
revised figure from DE HEC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4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400-000003000000}">
      <text>
        <r>
          <rPr>
            <b/>
            <sz val="8"/>
            <color indexed="81"/>
            <rFont val="Tahoma"/>
            <family val="2"/>
          </rPr>
          <t>jmarks:</t>
        </r>
        <r>
          <rPr>
            <sz val="8"/>
            <color indexed="81"/>
            <rFont val="Tahoma"/>
            <family val="2"/>
          </rPr>
          <t xml:space="preserve">
U Del from FASB file</t>
        </r>
      </text>
    </comment>
    <comment ref="Q11" authorId="1" shapeId="0" xr:uid="{00000000-0006-0000-0400-000004000000}">
      <text>
        <r>
          <rPr>
            <b/>
            <sz val="8"/>
            <color indexed="81"/>
            <rFont val="Tahoma"/>
            <family val="2"/>
          </rPr>
          <t>jmarks:</t>
        </r>
        <r>
          <rPr>
            <sz val="8"/>
            <color indexed="81"/>
            <rFont val="Tahoma"/>
            <family val="2"/>
          </rPr>
          <t xml:space="preserve">
U Del from FASB file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5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I13" authorId="1" shapeId="0" xr:uid="{00000000-0006-0000-0500-000003000000}">
      <text>
        <r>
          <rPr>
            <b/>
            <sz val="8"/>
            <color indexed="81"/>
            <rFont val="Tahoma"/>
            <family val="2"/>
          </rPr>
          <t>jmarks:</t>
        </r>
        <r>
          <rPr>
            <sz val="8"/>
            <color indexed="81"/>
            <rFont val="Tahoma"/>
            <family val="2"/>
          </rPr>
          <t xml:space="preserve">
revised figure from DE HEC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6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600-000003000000}">
      <text>
        <r>
          <rPr>
            <b/>
            <sz val="8"/>
            <color indexed="81"/>
            <rFont val="Tahoma"/>
            <family val="2"/>
          </rPr>
          <t>jmarks:</t>
        </r>
        <r>
          <rPr>
            <sz val="8"/>
            <color indexed="81"/>
            <rFont val="Tahoma"/>
            <family val="2"/>
          </rPr>
          <t xml:space="preserve">
U Del from FASB file</t>
        </r>
      </text>
    </comment>
    <comment ref="Q11" authorId="1" shapeId="0" xr:uid="{00000000-0006-0000-0600-000004000000}">
      <text>
        <r>
          <rPr>
            <b/>
            <sz val="8"/>
            <color indexed="81"/>
            <rFont val="Tahoma"/>
            <family val="2"/>
          </rPr>
          <t>jmarks:</t>
        </r>
        <r>
          <rPr>
            <sz val="8"/>
            <color indexed="81"/>
            <rFont val="Tahoma"/>
            <family val="2"/>
          </rPr>
          <t xml:space="preserve">
U Del from FASB file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7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8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8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800-000003000000}">
      <text>
        <r>
          <rPr>
            <b/>
            <sz val="8"/>
            <color indexed="81"/>
            <rFont val="Tahoma"/>
            <family val="2"/>
          </rPr>
          <t>jmarks:</t>
        </r>
        <r>
          <rPr>
            <sz val="8"/>
            <color indexed="81"/>
            <rFont val="Tahoma"/>
            <family val="2"/>
          </rPr>
          <t xml:space="preserve">
U Del from FASB file</t>
        </r>
      </text>
    </comment>
    <comment ref="Q11" authorId="1" shapeId="0" xr:uid="{00000000-0006-0000-0800-000004000000}">
      <text>
        <r>
          <rPr>
            <b/>
            <sz val="8"/>
            <color indexed="81"/>
            <rFont val="Tahoma"/>
            <family val="2"/>
          </rPr>
          <t>jmarks:</t>
        </r>
        <r>
          <rPr>
            <sz val="8"/>
            <color indexed="81"/>
            <rFont val="Tahoma"/>
            <family val="2"/>
          </rPr>
          <t xml:space="preserve">
U Del from FASB file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9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9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sharedStrings.xml><?xml version="1.0" encoding="utf-8"?>
<sst xmlns="http://schemas.openxmlformats.org/spreadsheetml/2006/main" count="2829" uniqueCount="160">
  <si>
    <t>Instruction------------</t>
  </si>
  <si>
    <t>4-yr</t>
  </si>
  <si>
    <t>2-yr</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</si>
  <si>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</si>
  <si>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</si>
  <si>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</si>
  <si>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</si>
  <si>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</si>
  <si>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</si>
  <si>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</si>
  <si>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</si>
  <si>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</si>
  <si>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</si>
  <si>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</si>
  <si>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</si>
  <si>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</si>
  <si>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</si>
  <si>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</si>
  <si>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SOURCES:</t>
  </si>
  <si>
    <t>Research---------------</t>
  </si>
  <si>
    <t>Public Service------------</t>
  </si>
  <si>
    <t>Academic Support--------</t>
  </si>
  <si>
    <t>Student Services-------</t>
  </si>
  <si>
    <t>Institutional Support-------</t>
  </si>
  <si>
    <t>Operation and Maintenance of Plant-------</t>
  </si>
  <si>
    <t>Scholarships and Fellowships-------------</t>
  </si>
  <si>
    <t>All Other (E&amp;G Mandatory and Non-Mandatory Transfers)</t>
  </si>
  <si>
    <t xml:space="preserve"> * All</t>
  </si>
  <si>
    <t>mandatory</t>
  </si>
  <si>
    <t>Other =</t>
  </si>
  <si>
    <t>transfer +</t>
  </si>
  <si>
    <t>Educational</t>
  </si>
  <si>
    <t>non</t>
  </si>
  <si>
    <t>and General</t>
  </si>
  <si>
    <t>Mandatory</t>
  </si>
  <si>
    <t>Transfers</t>
  </si>
  <si>
    <t>independent</t>
  </si>
  <si>
    <t>and</t>
  </si>
  <si>
    <t>operations</t>
  </si>
  <si>
    <t>Educational &amp; General Expenditures, Public Institutions (000s)-------------</t>
  </si>
  <si>
    <t>Total E &amp; G Expenditures +  Transfers------------</t>
  </si>
  <si>
    <t>* Subtotal: Educational Expenditures</t>
  </si>
  <si>
    <t>at Public Four-Year Colleges and Universities</t>
  </si>
  <si>
    <t>Public</t>
  </si>
  <si>
    <t>All</t>
  </si>
  <si>
    <t>Instruction</t>
  </si>
  <si>
    <t>Research</t>
  </si>
  <si>
    <t>Service</t>
  </si>
  <si>
    <t>Maintenance</t>
  </si>
  <si>
    <t>Fellowships</t>
  </si>
  <si>
    <t xml:space="preserve"> </t>
  </si>
  <si>
    <t>at Public Two-Year Colleges</t>
  </si>
  <si>
    <t>Delaware</t>
  </si>
  <si>
    <t>Mandatory + Nonmandatory transfers</t>
  </si>
  <si>
    <t xml:space="preserve">Educational and General Mandatory Transfers </t>
  </si>
  <si>
    <t>sometimes total includes indep ops why</t>
  </si>
  <si>
    <t>SREB states</t>
  </si>
  <si>
    <r>
      <t>Support</t>
    </r>
    <r>
      <rPr>
        <vertAlign val="superscript"/>
        <sz val="10"/>
        <rFont val="Arial"/>
        <family val="2"/>
      </rPr>
      <t>2</t>
    </r>
  </si>
  <si>
    <t>Indiana</t>
  </si>
  <si>
    <t>Missouri</t>
  </si>
  <si>
    <t>calculated</t>
  </si>
  <si>
    <t>(Academic Support + Student Services + Institutional Support)</t>
  </si>
  <si>
    <t>Academic &amp; Administrative Support</t>
  </si>
  <si>
    <t>Source:  SREB analysis of unpublished</t>
  </si>
  <si>
    <t>NCES finance data 91-92</t>
  </si>
  <si>
    <t>(analyzed March 2001)</t>
  </si>
  <si>
    <t>Source:  NCES unpublished</t>
  </si>
  <si>
    <t>Finance data 96-97</t>
  </si>
  <si>
    <r>
      <t>Other</t>
    </r>
    <r>
      <rPr>
        <vertAlign val="superscript"/>
        <sz val="10"/>
        <rFont val="Arial"/>
        <family val="2"/>
      </rPr>
      <t>3</t>
    </r>
  </si>
  <si>
    <t>Source: NCES unpublished</t>
  </si>
  <si>
    <t>Finance data 99-2000</t>
  </si>
  <si>
    <t>?</t>
  </si>
  <si>
    <t xml:space="preserve">WebCASPAR </t>
  </si>
  <si>
    <t xml:space="preserve">Database </t>
  </si>
  <si>
    <t>System</t>
  </si>
  <si>
    <t>*SOURCE: NSF</t>
  </si>
  <si>
    <t>DE SOURCE: NSF</t>
  </si>
  <si>
    <t>Check Figures</t>
  </si>
  <si>
    <t xml:space="preserve">SREB analysis of National Center for </t>
  </si>
  <si>
    <t xml:space="preserve">Education Statistics finance surveys — </t>
  </si>
  <si>
    <t>(www.nces.ed.gov/ipeds) and (http://caspar.nsf.gov).</t>
  </si>
  <si>
    <t>Educational &amp; General Expenditures, Public Institutions (000s)</t>
  </si>
  <si>
    <t>4yr</t>
  </si>
  <si>
    <t>Finance data 9697</t>
  </si>
  <si>
    <t>Finance data 992000</t>
  </si>
  <si>
    <t>Alaska</t>
  </si>
  <si>
    <t>Arizona</t>
  </si>
  <si>
    <t>California</t>
  </si>
  <si>
    <t>Colorado</t>
  </si>
  <si>
    <t>Connecticut</t>
  </si>
  <si>
    <t>District of Columbia</t>
  </si>
  <si>
    <t>Hawaii</t>
  </si>
  <si>
    <t>Idaho</t>
  </si>
  <si>
    <t>Illinois</t>
  </si>
  <si>
    <t>Iowa</t>
  </si>
  <si>
    <t>Kansas</t>
  </si>
  <si>
    <t>Maine</t>
  </si>
  <si>
    <t>Massachusetts</t>
  </si>
  <si>
    <t>Michigan</t>
  </si>
  <si>
    <t>Minnesota</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</si>
  <si>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</si>
  <si>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</si>
  <si>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</si>
  <si>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</si>
  <si>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</si>
  <si>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</si>
  <si>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</si>
  <si>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</si>
  <si>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</si>
  <si>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</si>
  <si>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</si>
  <si>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</si>
  <si>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</si>
  <si>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</si>
  <si>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</si>
  <si>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</si>
  <si>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</si>
  <si>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</si>
  <si>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50 states and D.C.</t>
  </si>
  <si>
    <t xml:space="preserve">   as a percent of U.S.</t>
  </si>
  <si>
    <t>West</t>
  </si>
  <si>
    <t>Midwest</t>
  </si>
  <si>
    <t>Northeast</t>
  </si>
  <si>
    <t>NA</t>
  </si>
  <si>
    <t>Scholarships and</t>
  </si>
  <si>
    <t>Academic and Administrative</t>
  </si>
  <si>
    <r>
      <t>Percent Distribution of Spending</t>
    </r>
    <r>
      <rPr>
        <vertAlign val="superscript"/>
        <sz val="10"/>
        <rFont val="Arial"/>
        <family val="2"/>
      </rPr>
      <t>1</t>
    </r>
  </si>
  <si>
    <t xml:space="preserve">NCES finance data </t>
  </si>
  <si>
    <r>
      <t>Instruction</t>
    </r>
    <r>
      <rPr>
        <vertAlign val="superscript"/>
        <sz val="10"/>
        <rFont val="Arial"/>
        <family val="2"/>
      </rPr>
      <t>2</t>
    </r>
  </si>
  <si>
    <r>
      <t>Research</t>
    </r>
    <r>
      <rPr>
        <vertAlign val="superscript"/>
        <sz val="10"/>
        <rFont val="Arial"/>
        <family val="2"/>
      </rPr>
      <t>2</t>
    </r>
  </si>
  <si>
    <r>
      <t>Service</t>
    </r>
    <r>
      <rPr>
        <vertAlign val="superscript"/>
        <sz val="10"/>
        <rFont val="Arial"/>
        <family val="2"/>
      </rPr>
      <t>2</t>
    </r>
  </si>
  <si>
    <r>
      <t>Support</t>
    </r>
    <r>
      <rPr>
        <vertAlign val="superscript"/>
        <sz val="10"/>
        <rFont val="Arial"/>
        <family val="2"/>
      </rPr>
      <t>3</t>
    </r>
  </si>
  <si>
    <r>
      <t>Other</t>
    </r>
    <r>
      <rPr>
        <vertAlign val="superscript"/>
        <sz val="10"/>
        <rFont val="Arial"/>
        <family val="2"/>
      </rPr>
      <t>2</t>
    </r>
  </si>
  <si>
    <t>Operation and</t>
  </si>
  <si>
    <t>Acacemic
 &amp; Administrative</t>
  </si>
  <si>
    <t>Plant
 Operation</t>
  </si>
  <si>
    <t>and Maintenance</t>
  </si>
  <si>
    <r>
      <rPr>
        <vertAlign val="superscript"/>
        <sz val="10"/>
        <rFont val="Arial"/>
        <family val="2"/>
      </rPr>
      <t>1</t>
    </r>
    <r>
      <rPr>
        <sz val="10"/>
        <rFont val="Arial"/>
        <family val="2"/>
      </rPr>
      <t xml:space="preserve"> Educational and general operating spending consists of current operating spending minus the spending of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</si>
  <si>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r>
      <rPr>
        <vertAlign val="superscript"/>
        <sz val="10"/>
        <rFont val="Arial"/>
        <family val="2"/>
      </rPr>
      <t>3</t>
    </r>
    <r>
      <rPr>
        <sz val="10"/>
        <rFont val="Arial"/>
        <family val="2"/>
      </rPr>
      <t xml:space="preserve"> Includes academic support (such as libraries), student services (such as counseling and placement centers) and institutional support (such as the general administrative offices).</t>
    </r>
  </si>
  <si>
    <r>
      <rPr>
        <vertAlign val="superscript"/>
        <sz val="10"/>
        <rFont val="Arial"/>
        <family val="2"/>
      </rPr>
      <t xml:space="preserve">1 </t>
    </r>
    <r>
      <rPr>
        <sz val="10"/>
        <rFont val="Arial"/>
        <family val="2"/>
      </rPr>
      <t>Educational and general operating spending consists of current operating spending minus the spending of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</si>
  <si>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t>2012</t>
  </si>
  <si>
    <t>4 yr</t>
  </si>
  <si>
    <t>2013</t>
  </si>
  <si>
    <t>2014</t>
  </si>
  <si>
    <t>2015</t>
  </si>
  <si>
    <t>*</t>
  </si>
  <si>
    <t>Source: SREB analysis of National Center for Education Statistics finance survey — www.nces.ed.gov/ipeds.</t>
  </si>
  <si>
    <r>
      <rPr>
        <vertAlign val="superscript"/>
        <sz val="10"/>
        <rFont val="Arial"/>
        <family val="2"/>
      </rPr>
      <t xml:space="preserve">2 </t>
    </r>
    <r>
      <rPr>
        <sz val="10"/>
        <rFont val="Arial"/>
        <family val="2"/>
      </rPr>
      <t>Starting with the 2013 Fact Book, amounts for operation/maintenance of plant, depreciation, interest and some other non-operating expenditures formerly reported in "All Other" are distributed across instruction, research and public service.</t>
    </r>
  </si>
  <si>
    <t>Table 97 (OLD Table 98)</t>
  </si>
  <si>
    <t>2016</t>
  </si>
  <si>
    <t>2017</t>
  </si>
  <si>
    <t>2016-17</t>
  </si>
  <si>
    <t>Percentage-Point Change, 2011-12 to 2016-17</t>
  </si>
  <si>
    <t>2011-12</t>
  </si>
  <si>
    <t xml:space="preserve">  April 2019</t>
  </si>
  <si>
    <t>* Less than 0.5.</t>
  </si>
  <si>
    <t>CHECK DATA</t>
  </si>
  <si>
    <t>Table 96 (OLD Table 97)</t>
  </si>
  <si>
    <t xml:space="preserve"> "NA" indicates not applicable. There was no institution of this type or no funding of this type in the state during the specified time.</t>
  </si>
  <si>
    <t>"*" indicates less than 0.05 percent or percentage-point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</si>
</sst>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0_);\(#,##0.0\)"/>
    <numFmt numFmtId="166" formatCode="0.0"/>
    <numFmt numFmtId="167" formatCode="#,##0.0"/>
  </numFmts>
  <fonts count="21">
    <font>
      <sz val="10"/>
      <name val="SWISS-C"/>
    </font>
    <font>
      <sz val="10"/>
      <name val="Arial"/>
      <family val="2"/>
    </font>
    <font>
      <b/>
      <sz val="10"/>
      <name val="Arial"/>
      <family val="2"/>
    </font>
    <font>
      <vertAlign val="superscript"/>
      <sz val="10"/>
      <name val="Arial"/>
      <family val="2"/>
    </font>
    <font>
      <sz val="10"/>
      <color indexed="10"/>
      <name val="Arial"/>
      <family val="2"/>
    </font>
    <font>
      <sz val="10"/>
      <name val="Arial"/>
      <family val="2"/>
    </font>
    <font>
      <sz val="8"/>
      <name val="SWISS-C"/>
    </font>
    <font>
      <b/>
      <sz val="10"/>
      <color indexed="10"/>
      <name val="Arial"/>
      <family val="2"/>
    </font>
    <font>
      <sz val="10"/>
      <color indexed="0"/>
      <name val="Times New Roman"/>
      <family val="1"/>
    </font>
    <font>
      <sz val="8"/>
      <color indexed="81"/>
      <name val="Tahoma"/>
      <family val="2"/>
    </font>
    <font>
      <b/>
      <sz val="8"/>
      <color indexed="81"/>
      <name val="Tahoma"/>
      <family val="2"/>
    </font>
    <font>
      <sz val="10"/>
      <name val="SWISS-C"/>
    </font>
    <font>
      <sz val="10"/>
      <color indexed="81"/>
      <name val="Tahoma"/>
      <family val="2"/>
    </font>
    <font>
      <b/>
      <sz val="10"/>
      <color indexed="81"/>
      <name val="Tahoma"/>
      <family val="2"/>
    </font>
    <font>
      <sz val="10"/>
      <color indexed="12"/>
      <name val="Arial"/>
      <family val="2"/>
    </font>
    <font>
      <sz val="10"/>
      <name val="Times New Roman"/>
      <family val="1"/>
    </font>
    <font>
      <sz val="10"/>
      <color rgb="FF0000FF"/>
      <name val="Arial"/>
      <family val="2"/>
    </font>
    <font>
      <b/>
      <sz val="9"/>
      <color indexed="81"/>
      <name val="Tahoma"/>
      <family val="2"/>
    </font>
    <font>
      <sz val="9"/>
      <color indexed="81"/>
      <name val="Tahoma"/>
      <family val="2"/>
    </font>
    <font>
      <b/>
      <sz val="10"/>
      <color rgb="FFFF0000"/>
      <name val="Arial"/>
      <family val="2"/>
    </font>
    <font>
      <sz val="12"/>
      <name val="AGaramond"/>
      <family val="3"/>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CCFF"/>
        <bgColor indexed="64"/>
      </patternFill>
    </fill>
    <fill>
      <patternFill patternType="solid">
        <fgColor rgb="FFFF0000"/>
        <bgColor indexed="64"/>
      </patternFill>
    </fill>
  </fills>
  <borders count="14">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8"/>
      </top>
      <bottom style="thin">
        <color indexed="8"/>
      </bottom>
      <diagonal/>
    </border>
    <border>
      <left style="thin">
        <color indexed="64"/>
      </left>
      <right/>
      <top/>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3">
    <xf numFmtId="0" fontId="0" fillId="0" borderId="0">
      <alignment horizontal="left" wrapText="1"/>
    </xf>
    <xf numFmtId="43" fontId="11" fillId="0" borderId="0" applyFont="0" applyFill="0" applyBorder="0" applyAlignment="0" applyProtection="0"/>
    <xf numFmtId="43" fontId="20" fillId="0" borderId="0" applyFont="0" applyFill="0" applyBorder="0" applyAlignment="0" applyProtection="0"/>
  </cellStyleXfs>
  <cellXfs count="109">
    <xf numFmtId="37" fontId="0" fillId="0" borderId="0" xfId="0" applyNumberFormat="1" applyAlignment="1"/>
    <xf numFmtId="37" fontId="1" fillId="0" borderId="0" xfId="0" applyNumberFormat="1" applyFont="1" applyAlignment="1"/>
    <xf numFmtId="37" fontId="1" fillId="0" borderId="0" xfId="0" applyNumberFormat="1" applyFont="1" applyAlignment="1">
      <alignment horizontal="centerContinuous"/>
    </xf>
    <xf numFmtId="37" fontId="1" fillId="0" borderId="1" xfId="0" applyNumberFormat="1" applyFont="1" applyBorder="1" applyAlignment="1">
      <alignment horizontal="centerContinuous"/>
    </xf>
    <xf numFmtId="37" fontId="1" fillId="0" borderId="0" xfId="0" applyNumberFormat="1" applyFont="1" applyAlignment="1">
      <alignment horizontal="center"/>
    </xf>
    <xf numFmtId="37" fontId="2" fillId="0" borderId="0" xfId="0" applyNumberFormat="1" applyFont="1" applyAlignment="1"/>
    <xf numFmtId="37" fontId="2" fillId="0" borderId="2" xfId="0" applyNumberFormat="1" applyFont="1" applyBorder="1" applyAlignment="1"/>
    <xf numFmtId="37" fontId="1" fillId="0" borderId="0" xfId="0" applyNumberFormat="1" applyFont="1" applyAlignment="1">
      <alignment horizontal="left"/>
    </xf>
    <xf numFmtId="37" fontId="1" fillId="0" borderId="0" xfId="0" applyNumberFormat="1" applyFont="1" applyAlignment="1">
      <alignment horizontal="right"/>
    </xf>
    <xf numFmtId="37" fontId="1" fillId="0" borderId="0" xfId="0" applyNumberFormat="1" applyFont="1" applyAlignment="1">
      <alignment horizontal="fill"/>
    </xf>
    <xf numFmtId="164" fontId="1" fillId="0" borderId="0" xfId="0" applyNumberFormat="1" applyFont="1" applyAlignment="1"/>
    <xf numFmtId="37" fontId="1" fillId="0" borderId="2" xfId="0" applyNumberFormat="1" applyFont="1" applyBorder="1" applyAlignment="1"/>
    <xf numFmtId="37" fontId="4" fillId="0" borderId="0" xfId="0" applyNumberFormat="1" applyFont="1" applyAlignment="1"/>
    <xf numFmtId="37" fontId="1" fillId="2" borderId="0" xfId="0" applyNumberFormat="1" applyFont="1" applyFill="1" applyAlignment="1">
      <alignment horizontal="left"/>
    </xf>
    <xf numFmtId="37" fontId="0" fillId="0" borderId="0" xfId="0" applyNumberFormat="1" applyAlignment="1">
      <alignment vertical="top"/>
    </xf>
    <xf numFmtId="3" fontId="5" fillId="0" borderId="0" xfId="0" applyNumberFormat="1" applyFont="1" applyAlignment="1">
      <alignment horizontal="right" wrapText="1"/>
    </xf>
    <xf numFmtId="37" fontId="2" fillId="0" borderId="0" xfId="0" applyNumberFormat="1" applyFont="1" applyAlignment="1">
      <alignment horizontal="right"/>
    </xf>
    <xf numFmtId="164" fontId="1" fillId="0" borderId="0" xfId="0" applyNumberFormat="1" applyFont="1" applyAlignment="1">
      <alignment horizontal="right"/>
    </xf>
    <xf numFmtId="37" fontId="0" fillId="0" borderId="0" xfId="0" applyNumberFormat="1" applyAlignment="1">
      <alignment horizontal="right" vertical="top"/>
    </xf>
    <xf numFmtId="37" fontId="0" fillId="0" borderId="0" xfId="0" applyNumberFormat="1" applyAlignment="1">
      <alignment horizontal="right"/>
    </xf>
    <xf numFmtId="0" fontId="8" fillId="0" borderId="0" xfId="0" applyFont="1" applyAlignment="1">
      <alignment horizontal="left"/>
    </xf>
    <xf numFmtId="37" fontId="2" fillId="0" borderId="3" xfId="0" applyNumberFormat="1" applyFont="1" applyBorder="1" applyAlignment="1"/>
    <xf numFmtId="165" fontId="1" fillId="0" borderId="0" xfId="0" applyNumberFormat="1" applyFont="1" applyAlignment="1">
      <alignment horizontal="left" vertical="top"/>
    </xf>
    <xf numFmtId="37" fontId="1" fillId="3" borderId="0" xfId="0" applyNumberFormat="1" applyFont="1" applyFill="1" applyAlignment="1">
      <alignment horizontal="right"/>
    </xf>
    <xf numFmtId="37" fontId="1" fillId="0" borderId="4" xfId="0" applyNumberFormat="1" applyFont="1" applyBorder="1" applyAlignment="1"/>
    <xf numFmtId="37" fontId="1" fillId="0" borderId="2" xfId="0" applyNumberFormat="1" applyFont="1" applyBorder="1" applyAlignment="1">
      <alignment horizontal="centerContinuous"/>
    </xf>
    <xf numFmtId="37" fontId="1" fillId="0" borderId="2" xfId="0" applyNumberFormat="1" applyFont="1" applyBorder="1" applyAlignment="1">
      <alignment horizontal="center"/>
    </xf>
    <xf numFmtId="0" fontId="1" fillId="0" borderId="0" xfId="0" applyFont="1" applyAlignment="1"/>
    <xf numFmtId="164" fontId="1" fillId="2" borderId="0" xfId="0" applyNumberFormat="1" applyFont="1" applyFill="1" applyAlignment="1"/>
    <xf numFmtId="0" fontId="1" fillId="0" borderId="0" xfId="0" applyFont="1" applyAlignment="1">
      <alignment vertical="top"/>
    </xf>
    <xf numFmtId="0" fontId="1" fillId="0" borderId="0" xfId="0" applyFont="1" applyAlignment="1">
      <alignment horizontal="left"/>
    </xf>
    <xf numFmtId="0" fontId="5" fillId="0" borderId="0" xfId="0" applyFont="1" applyAlignment="1">
      <alignment horizontal="left"/>
    </xf>
    <xf numFmtId="37" fontId="11" fillId="0" borderId="0" xfId="0" applyNumberFormat="1" applyFont="1" applyAlignment="1">
      <alignment vertical="top"/>
    </xf>
    <xf numFmtId="49" fontId="1" fillId="0" borderId="0" xfId="0" applyNumberFormat="1" applyFont="1" applyAlignment="1">
      <alignment horizontal="right"/>
    </xf>
    <xf numFmtId="49" fontId="14" fillId="0" borderId="0" xfId="0" applyNumberFormat="1" applyFont="1" applyAlignment="1">
      <alignment horizontal="right"/>
    </xf>
    <xf numFmtId="37" fontId="7" fillId="0" borderId="0" xfId="0" quotePrefix="1" applyNumberFormat="1" applyFont="1" applyAlignment="1"/>
    <xf numFmtId="166" fontId="1" fillId="0" borderId="0" xfId="0" applyNumberFormat="1" applyFont="1" applyAlignment="1">
      <alignment horizontal="center"/>
    </xf>
    <xf numFmtId="166" fontId="1" fillId="4" borderId="0" xfId="0" applyNumberFormat="1" applyFont="1" applyFill="1" applyAlignment="1">
      <alignment horizontal="center"/>
    </xf>
    <xf numFmtId="164" fontId="1" fillId="4" borderId="0" xfId="0" applyNumberFormat="1" applyFont="1" applyFill="1" applyAlignment="1">
      <alignment horizontal="center"/>
    </xf>
    <xf numFmtId="164" fontId="1" fillId="4" borderId="0" xfId="0" applyNumberFormat="1" applyFont="1" applyFill="1" applyAlignment="1">
      <alignment horizontal="right"/>
    </xf>
    <xf numFmtId="0" fontId="1" fillId="0" borderId="0" xfId="0" applyFont="1" applyAlignment="1">
      <alignment horizontal="right"/>
    </xf>
    <xf numFmtId="0" fontId="1" fillId="0" borderId="0" xfId="0" quotePrefix="1" applyFont="1" applyAlignment="1">
      <alignment horizontal="right"/>
    </xf>
    <xf numFmtId="3" fontId="1" fillId="0" borderId="0" xfId="0" applyNumberFormat="1" applyFont="1" applyAlignment="1">
      <alignment horizontal="right" wrapText="1"/>
    </xf>
    <xf numFmtId="0" fontId="15" fillId="0" borderId="0" xfId="0" applyFont="1" applyAlignment="1">
      <alignment horizontal="left"/>
    </xf>
    <xf numFmtId="0" fontId="0" fillId="0" borderId="0" xfId="0" applyAlignment="1"/>
    <xf numFmtId="3" fontId="1" fillId="0" borderId="4" xfId="0" applyNumberFormat="1" applyFont="1" applyBorder="1" applyAlignment="1">
      <alignment horizontal="right" wrapText="1"/>
    </xf>
    <xf numFmtId="37" fontId="1" fillId="0" borderId="5" xfId="0" applyNumberFormat="1" applyFont="1" applyBorder="1" applyAlignment="1"/>
    <xf numFmtId="3" fontId="1" fillId="0" borderId="5" xfId="0" applyNumberFormat="1" applyFont="1" applyBorder="1" applyAlignment="1">
      <alignment horizontal="right" wrapText="1"/>
    </xf>
    <xf numFmtId="37" fontId="16" fillId="0" borderId="0" xfId="0" applyNumberFormat="1" applyFont="1" applyAlignment="1"/>
    <xf numFmtId="3" fontId="16" fillId="0" borderId="4" xfId="0" applyNumberFormat="1" applyFont="1" applyBorder="1" applyAlignment="1">
      <alignment horizontal="right" wrapText="1"/>
    </xf>
    <xf numFmtId="37" fontId="16" fillId="0" borderId="4" xfId="0" applyNumberFormat="1" applyFont="1" applyBorder="1" applyAlignment="1"/>
    <xf numFmtId="37" fontId="16" fillId="0" borderId="5" xfId="0" applyNumberFormat="1" applyFont="1" applyBorder="1" applyAlignment="1"/>
    <xf numFmtId="37" fontId="14" fillId="0" borderId="4" xfId="0" quotePrefix="1" applyNumberFormat="1" applyFont="1" applyBorder="1" applyAlignment="1"/>
    <xf numFmtId="3" fontId="1" fillId="5" borderId="0" xfId="0" applyNumberFormat="1" applyFont="1" applyFill="1" applyAlignment="1"/>
    <xf numFmtId="3" fontId="1" fillId="0" borderId="0" xfId="0" applyNumberFormat="1" applyFont="1" applyAlignment="1"/>
    <xf numFmtId="3" fontId="1" fillId="0" borderId="4" xfId="0" applyNumberFormat="1" applyFont="1" applyBorder="1" applyAlignment="1"/>
    <xf numFmtId="3" fontId="1" fillId="5" borderId="4" xfId="0" applyNumberFormat="1" applyFont="1" applyFill="1" applyBorder="1" applyAlignment="1"/>
    <xf numFmtId="3" fontId="1" fillId="0" borderId="6" xfId="0" applyNumberFormat="1" applyFont="1" applyBorder="1" applyAlignment="1"/>
    <xf numFmtId="37" fontId="1" fillId="0" borderId="7" xfId="0" applyNumberFormat="1" applyFont="1" applyBorder="1" applyAlignment="1">
      <alignment horizontal="centerContinuous"/>
    </xf>
    <xf numFmtId="37" fontId="1" fillId="0" borderId="8" xfId="0" applyNumberFormat="1" applyFont="1" applyBorder="1" applyAlignment="1">
      <alignment horizontal="centerContinuous"/>
    </xf>
    <xf numFmtId="37" fontId="1" fillId="0" borderId="9" xfId="0" applyNumberFormat="1" applyFont="1" applyBorder="1" applyAlignment="1">
      <alignment horizontal="centerContinuous"/>
    </xf>
    <xf numFmtId="167" fontId="1" fillId="0" borderId="4" xfId="0" applyNumberFormat="1" applyFont="1" applyBorder="1" applyAlignment="1">
      <alignment horizontal="right"/>
    </xf>
    <xf numFmtId="167" fontId="1" fillId="0" borderId="10" xfId="0" applyNumberFormat="1" applyFont="1" applyBorder="1" applyAlignment="1">
      <alignment horizontal="right"/>
    </xf>
    <xf numFmtId="167" fontId="1" fillId="0" borderId="0" xfId="0" applyNumberFormat="1" applyFont="1" applyAlignment="1">
      <alignment horizontal="right"/>
    </xf>
    <xf numFmtId="167" fontId="1" fillId="0" borderId="8" xfId="0" applyNumberFormat="1" applyFont="1" applyBorder="1" applyAlignment="1">
      <alignment horizontal="right"/>
    </xf>
    <xf numFmtId="167" fontId="1" fillId="5" borderId="0" xfId="0" applyNumberFormat="1" applyFont="1" applyFill="1" applyAlignment="1">
      <alignment horizontal="right"/>
    </xf>
    <xf numFmtId="167" fontId="1" fillId="5" borderId="8" xfId="0" applyNumberFormat="1" applyFont="1" applyFill="1" applyBorder="1" applyAlignment="1">
      <alignment horizontal="right"/>
    </xf>
    <xf numFmtId="167" fontId="1" fillId="5" borderId="4" xfId="0" applyNumberFormat="1" applyFont="1" applyFill="1" applyBorder="1" applyAlignment="1">
      <alignment horizontal="right"/>
    </xf>
    <xf numFmtId="167" fontId="1" fillId="5" borderId="10" xfId="0" applyNumberFormat="1" applyFont="1" applyFill="1" applyBorder="1" applyAlignment="1">
      <alignment horizontal="right"/>
    </xf>
    <xf numFmtId="167" fontId="1" fillId="0" borderId="6" xfId="0" applyNumberFormat="1" applyFont="1" applyBorder="1" applyAlignment="1">
      <alignment horizontal="right"/>
    </xf>
    <xf numFmtId="167" fontId="1" fillId="0" borderId="11" xfId="0" applyNumberFormat="1" applyFont="1" applyBorder="1" applyAlignment="1">
      <alignment horizontal="right"/>
    </xf>
    <xf numFmtId="167" fontId="1" fillId="0" borderId="5" xfId="0" applyNumberFormat="1" applyFont="1" applyBorder="1" applyAlignment="1">
      <alignment horizontal="right"/>
    </xf>
    <xf numFmtId="167" fontId="1" fillId="0" borderId="12" xfId="0" applyNumberFormat="1" applyFont="1" applyBorder="1" applyAlignment="1">
      <alignment horizontal="right"/>
    </xf>
    <xf numFmtId="37" fontId="1" fillId="6" borderId="0" xfId="0" applyNumberFormat="1" applyFont="1" applyFill="1" applyAlignment="1"/>
    <xf numFmtId="37" fontId="1" fillId="0" borderId="0" xfId="0" applyNumberFormat="1" applyFont="1" applyAlignment="1">
      <alignment horizontal="centerContinuous" wrapText="1"/>
    </xf>
    <xf numFmtId="37" fontId="1" fillId="7" borderId="0" xfId="0" applyNumberFormat="1" applyFont="1" applyFill="1" applyAlignment="1"/>
    <xf numFmtId="49" fontId="1" fillId="7" borderId="0" xfId="0" applyNumberFormat="1" applyFont="1" applyFill="1" applyAlignment="1">
      <alignment horizontal="right"/>
    </xf>
    <xf numFmtId="0" fontId="1" fillId="7" borderId="0" xfId="0" applyFont="1" applyFill="1" applyAlignment="1"/>
    <xf numFmtId="167" fontId="1" fillId="0" borderId="0" xfId="0" applyNumberFormat="1" applyFont="1" applyAlignment="1">
      <alignment horizontal="center"/>
    </xf>
    <xf numFmtId="37" fontId="1" fillId="0" borderId="0" xfId="0" applyNumberFormat="1" applyFont="1" applyAlignment="1">
      <alignment horizontal="center" wrapText="1"/>
    </xf>
    <xf numFmtId="37" fontId="1" fillId="0" borderId="4" xfId="0" applyNumberFormat="1" applyFont="1" applyBorder="1" applyAlignment="1">
      <alignment horizontal="centerContinuous"/>
    </xf>
    <xf numFmtId="3" fontId="0" fillId="0" borderId="0" xfId="1" applyNumberFormat="1" applyFont="1"/>
    <xf numFmtId="3" fontId="1" fillId="0" borderId="0" xfId="1" applyNumberFormat="1" applyFont="1" applyAlignment="1">
      <alignment horizontal="right"/>
    </xf>
    <xf numFmtId="3" fontId="16" fillId="0" borderId="4" xfId="1" applyNumberFormat="1" applyFont="1" applyBorder="1" applyAlignment="1">
      <alignment horizontal="right" wrapText="1"/>
    </xf>
    <xf numFmtId="3" fontId="16" fillId="0" borderId="0" xfId="1" applyNumberFormat="1" applyFont="1"/>
    <xf numFmtId="3" fontId="1" fillId="0" borderId="0" xfId="1" applyNumberFormat="1" applyFont="1"/>
    <xf numFmtId="3" fontId="1" fillId="0" borderId="4" xfId="1" applyNumberFormat="1" applyFont="1" applyBorder="1"/>
    <xf numFmtId="3" fontId="1" fillId="0" borderId="5" xfId="1" applyNumberFormat="1" applyFont="1" applyBorder="1"/>
    <xf numFmtId="3" fontId="1" fillId="0" borderId="0" xfId="1" applyNumberFormat="1" applyFont="1" applyAlignment="1">
      <alignment horizontal="right" wrapText="1"/>
    </xf>
    <xf numFmtId="3" fontId="1" fillId="0" borderId="4" xfId="1" applyNumberFormat="1" applyFont="1" applyBorder="1" applyAlignment="1">
      <alignment horizontal="right" wrapText="1"/>
    </xf>
    <xf numFmtId="3" fontId="1" fillId="0" borderId="5" xfId="1" applyNumberFormat="1" applyFont="1" applyBorder="1" applyAlignment="1">
      <alignment horizontal="right" wrapText="1"/>
    </xf>
    <xf numFmtId="3" fontId="16" fillId="0" borderId="0" xfId="0" applyNumberFormat="1" applyFont="1" applyAlignment="1"/>
    <xf numFmtId="3" fontId="1" fillId="0" borderId="5" xfId="0" applyNumberFormat="1" applyFont="1" applyBorder="1" applyAlignment="1"/>
    <xf numFmtId="49" fontId="1" fillId="0" borderId="4" xfId="0" applyNumberFormat="1" applyFont="1" applyBorder="1" applyAlignment="1">
      <alignment horizontal="right"/>
    </xf>
    <xf numFmtId="0" fontId="1" fillId="0" borderId="4" xfId="0" applyFont="1" applyBorder="1" applyAlignment="1">
      <alignment horizontal="right"/>
    </xf>
    <xf numFmtId="0" fontId="1" fillId="7" borderId="4" xfId="0" applyFont="1" applyFill="1" applyBorder="1" applyAlignment="1"/>
    <xf numFmtId="49" fontId="1" fillId="8" borderId="0" xfId="0" applyNumberFormat="1" applyFont="1" applyFill="1" applyAlignment="1">
      <alignment horizontal="right"/>
    </xf>
    <xf numFmtId="0" fontId="1" fillId="8" borderId="0" xfId="0" applyFont="1" applyFill="1" applyAlignment="1">
      <alignment horizontal="right"/>
    </xf>
    <xf numFmtId="167" fontId="1" fillId="0" borderId="13" xfId="0" applyNumberFormat="1" applyFont="1" applyBorder="1" applyAlignment="1">
      <alignment horizontal="right"/>
    </xf>
    <xf numFmtId="167" fontId="1" fillId="5" borderId="13" xfId="0" applyNumberFormat="1" applyFont="1" applyFill="1" applyBorder="1" applyAlignment="1">
      <alignment horizontal="right"/>
    </xf>
    <xf numFmtId="0" fontId="1" fillId="7" borderId="0" xfId="0" applyFont="1" applyFill="1" applyAlignment="1">
      <alignment horizontal="right"/>
    </xf>
    <xf numFmtId="37" fontId="1" fillId="9" borderId="0" xfId="0" applyNumberFormat="1" applyFont="1" applyFill="1" applyAlignment="1"/>
    <xf numFmtId="165" fontId="1" fillId="0" borderId="0" xfId="0" applyNumberFormat="1" applyFont="1" applyFill="1" applyAlignment="1">
      <alignment horizontal="left" vertical="top"/>
    </xf>
    <xf numFmtId="37" fontId="19" fillId="0" borderId="0" xfId="0" applyNumberFormat="1" applyFont="1" applyAlignment="1"/>
    <xf numFmtId="165" fontId="3" fillId="0" borderId="0" xfId="0" applyNumberFormat="1" applyFont="1" applyAlignment="1">
      <alignment horizontal="left" vertical="top" wrapText="1"/>
    </xf>
    <xf numFmtId="37" fontId="0" fillId="0" borderId="0" xfId="0" applyNumberFormat="1" applyAlignment="1">
      <alignment wrapText="1"/>
    </xf>
    <xf numFmtId="165" fontId="1" fillId="0" borderId="0" xfId="0" applyNumberFormat="1" applyFont="1" applyAlignment="1">
      <alignment horizontal="left" vertical="top" wrapText="1"/>
    </xf>
    <xf numFmtId="37" fontId="0" fillId="0" borderId="0" xfId="0" applyNumberFormat="1" applyAlignment="1">
      <alignment vertical="top" wrapText="1"/>
    </xf>
    <xf numFmtId="37" fontId="1" fillId="0" borderId="0" xfId="0" applyNumberFormat="1" applyFont="1" applyFill="1" applyAlignment="1">
      <alignment vertical="top"/>
    </xf>
  </cellXfs>
  <cellStyles count="3">
    <cellStyle name="Comma" xfId="1" builtinId="3"/>
    <cellStyle name="Comma 2" xfId="2" xr:uid="{C69AA955-805F-4F0B-8C68-0AFECD9C5A8C}"/>
    <cellStyle name="Normal" xfId="0" builtinId="0"/>
  </cellStyles>
  <dxfs count="2">
    <dxf>
      <font>
        <condense val="0"/>
        <extend val="0"/>
        <color indexed="10"/>
      </font>
    </dxf>
    <dxf>
      <font>
        <condense val="0"/>
        <extend val="0"/>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FF"/>
      <color rgb="FF0099FF"/>
      <color rgb="FF990033"/>
      <color rgb="FF0033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Spending at Public Four-Year Colleges and Universities, 2012-13</a:t>
            </a:r>
          </a:p>
        </c:rich>
      </c:tx>
      <c:overlay val="0"/>
    </c:title>
    <c:autoTitleDeleted val="0"/>
    <c:plotArea>
      <c:layout/>
      <c:barChart>
        <c:barDir val="col"/>
        <c:grouping val="clustered"/>
        <c:varyColors val="0"/>
        <c:ser>
          <c:idx val="0"/>
          <c:order val="0"/>
          <c:tx>
            <c:strRef>
              <c:f>'TABLE 96'!$A$8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i="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96'!$C$8:$H$8</c:f>
              <c:numCache>
                <c:formatCode>#,##0.0</c:formatCode>
                <c:ptCount val="6"/>
                <c:pt idx="0">
                  <c:v>35.460936247639303</c:v>
                </c:pt>
                <c:pt idx="1">
                  <c:v>15.252785172215514</c:v>
                </c:pt>
                <c:pt idx="2">
                  <c:v>6.0840715182602274</c:v>
                </c:pt>
                <c:pt idx="3">
                  <c:v>25.237509564501696</c:v>
                </c:pt>
                <c:pt idx="4">
                  <c:v>13.960836158857074</c:v>
                </c:pt>
                <c:pt idx="5">
                  <c:v>4.0038613385262094</c:v>
                </c:pt>
              </c:numCache>
            </c:numRef>
          </c:val>
          <c:extLst>
            <c:ext xmlns:c16="http://schemas.microsoft.com/office/drawing/2014/chart" uri="{C3380CC4-5D6E-409C-BE32-E72D297353CC}">
              <c16:uniqueId val="{00000000-4D6F-46F8-BA6B-F073B38F9A4F}"/>
            </c:ext>
          </c:extLst>
        </c:ser>
        <c:ser>
          <c:idx val="1"/>
          <c:order val="1"/>
          <c:tx>
            <c:strRef>
              <c:f>'TABLE 96'!$A$9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96'!$C$9:$H$9</c:f>
              <c:numCache>
                <c:formatCode>#,##0.0</c:formatCode>
                <c:ptCount val="6"/>
                <c:pt idx="0">
                  <c:v>35.043562073919517</c:v>
                </c:pt>
                <c:pt idx="1">
                  <c:v>15.932245389979794</c:v>
                </c:pt>
                <c:pt idx="2">
                  <c:v>6.7859742207809521</c:v>
                </c:pt>
                <c:pt idx="3">
                  <c:v>24.121764812391731</c:v>
                </c:pt>
                <c:pt idx="4">
                  <c:v>14.485935728430178</c:v>
                </c:pt>
                <c:pt idx="5">
                  <c:v>3.6305177744978474</c:v>
                </c:pt>
              </c:numCache>
            </c:numRef>
          </c:val>
          <c:extLst>
            <c:ext xmlns:c16="http://schemas.microsoft.com/office/drawing/2014/chart" uri="{C3380CC4-5D6E-409C-BE32-E72D297353CC}">
              <c16:uniqueId val="{00000001-4D6F-46F8-BA6B-F073B38F9A4F}"/>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96'!$C$11:$H$11</c:f>
              <c:numCache>
                <c:formatCode>#,##0.0</c:formatCode>
                <c:ptCount val="6"/>
                <c:pt idx="0">
                  <c:v>32.242850114924309</c:v>
                </c:pt>
                <c:pt idx="1">
                  <c:v>13.114676108860724</c:v>
                </c:pt>
                <c:pt idx="2">
                  <c:v>8.4111676065375427</c:v>
                </c:pt>
                <c:pt idx="3">
                  <c:v>29.098011064323114</c:v>
                </c:pt>
                <c:pt idx="4">
                  <c:v>16.376726622067658</c:v>
                </c:pt>
                <c:pt idx="5">
                  <c:v>0.75656848328664839</c:v>
                </c:pt>
              </c:numCache>
            </c:numRef>
          </c:val>
          <c:extLst>
            <c:ext xmlns:c16="http://schemas.microsoft.com/office/drawing/2014/chart" uri="{C3380CC4-5D6E-409C-BE32-E72D297353CC}">
              <c16:uniqueId val="{00000002-4D6F-46F8-BA6B-F073B38F9A4F}"/>
            </c:ext>
          </c:extLst>
        </c:ser>
        <c:dLbls>
          <c:showLegendKey val="0"/>
          <c:showVal val="1"/>
          <c:showCatName val="0"/>
          <c:showSerName val="0"/>
          <c:showPercent val="0"/>
          <c:showBubbleSize val="0"/>
        </c:dLbls>
        <c:gapWidth val="150"/>
        <c:axId val="181724728"/>
        <c:axId val="182575944"/>
      </c:barChart>
      <c:catAx>
        <c:axId val="181724728"/>
        <c:scaling>
          <c:orientation val="minMax"/>
        </c:scaling>
        <c:delete val="0"/>
        <c:axPos val="b"/>
        <c:numFmt formatCode="General" sourceLinked="0"/>
        <c:majorTickMark val="out"/>
        <c:minorTickMark val="none"/>
        <c:tickLblPos val="nextTo"/>
        <c:txPr>
          <a:bodyPr/>
          <a:lstStyle/>
          <a:p>
            <a:pPr>
              <a:defRPr b="1"/>
            </a:pPr>
            <a:endParaRPr lang="en-US"/>
          </a:p>
        </c:txPr>
        <c:crossAx val="182575944"/>
        <c:crosses val="autoZero"/>
        <c:auto val="1"/>
        <c:lblAlgn val="ctr"/>
        <c:lblOffset val="100"/>
        <c:noMultiLvlLbl val="0"/>
      </c:catAx>
      <c:valAx>
        <c:axId val="182575944"/>
        <c:scaling>
          <c:orientation val="minMax"/>
        </c:scaling>
        <c:delete val="1"/>
        <c:axPos val="l"/>
        <c:numFmt formatCode="#,##0.0" sourceLinked="1"/>
        <c:majorTickMark val="out"/>
        <c:minorTickMark val="none"/>
        <c:tickLblPos val="none"/>
        <c:crossAx val="181724728"/>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Percentage-Point Change 2007-08 to 2012-13</a:t>
            </a:r>
          </a:p>
        </c:rich>
      </c:tx>
      <c:overlay val="0"/>
    </c:title>
    <c:autoTitleDeleted val="0"/>
    <c:plotArea>
      <c:layout>
        <c:manualLayout>
          <c:layoutTarget val="inner"/>
          <c:xMode val="edge"/>
          <c:yMode val="edge"/>
          <c:x val="0.14604848736013296"/>
          <c:y val="8.8977295962011219E-2"/>
          <c:w val="0.71984182898190363"/>
          <c:h val="0.9089029372123395"/>
        </c:manualLayout>
      </c:layout>
      <c:barChart>
        <c:barDir val="bar"/>
        <c:grouping val="clustered"/>
        <c:varyColors val="0"/>
        <c:ser>
          <c:idx val="0"/>
          <c:order val="0"/>
          <c:tx>
            <c:strRef>
              <c:f>'TABLE 96'!$A$8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96'!$I$8:$N$8</c:f>
              <c:numCache>
                <c:formatCode>#,##0.0</c:formatCode>
                <c:ptCount val="6"/>
                <c:pt idx="0">
                  <c:v>-0.54685160758751294</c:v>
                </c:pt>
                <c:pt idx="1">
                  <c:v>-2.0400023869706239</c:v>
                </c:pt>
                <c:pt idx="2">
                  <c:v>-0.3761360600712651</c:v>
                </c:pt>
                <c:pt idx="3">
                  <c:v>0.72722451299679136</c:v>
                </c:pt>
                <c:pt idx="4">
                  <c:v>-6.0839395794891615E-2</c:v>
                </c:pt>
                <c:pt idx="5">
                  <c:v>2.2966049374275359</c:v>
                </c:pt>
              </c:numCache>
            </c:numRef>
          </c:val>
          <c:extLst>
            <c:ext xmlns:c16="http://schemas.microsoft.com/office/drawing/2014/chart" uri="{C3380CC4-5D6E-409C-BE32-E72D297353CC}">
              <c16:uniqueId val="{00000000-32D0-414D-9BA4-1414354F4F6E}"/>
            </c:ext>
          </c:extLst>
        </c:ser>
        <c:ser>
          <c:idx val="1"/>
          <c:order val="1"/>
          <c:tx>
            <c:strRef>
              <c:f>'TABLE 96'!$A$9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96'!$I$9:$N$9</c:f>
              <c:numCache>
                <c:formatCode>#,##0.0</c:formatCode>
                <c:ptCount val="6"/>
                <c:pt idx="0">
                  <c:v>-0.75520118287022342</c:v>
                </c:pt>
                <c:pt idx="1">
                  <c:v>-1.2027863646624901</c:v>
                </c:pt>
                <c:pt idx="2">
                  <c:v>-0.34437366049260376</c:v>
                </c:pt>
                <c:pt idx="3">
                  <c:v>0.95320777582980654</c:v>
                </c:pt>
                <c:pt idx="4">
                  <c:v>0.13680723930075445</c:v>
                </c:pt>
                <c:pt idx="5">
                  <c:v>1.2123461928947821</c:v>
                </c:pt>
              </c:numCache>
            </c:numRef>
          </c:val>
          <c:extLst>
            <c:ext xmlns:c16="http://schemas.microsoft.com/office/drawing/2014/chart" uri="{C3380CC4-5D6E-409C-BE32-E72D297353CC}">
              <c16:uniqueId val="{00000001-32D0-414D-9BA4-1414354F4F6E}"/>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96'!$I$11:$N$11</c:f>
              <c:numCache>
                <c:formatCode>#,##0.0</c:formatCode>
                <c:ptCount val="6"/>
                <c:pt idx="0">
                  <c:v>-1.9206721282968786</c:v>
                </c:pt>
                <c:pt idx="1">
                  <c:v>-1.2070206196613764</c:v>
                </c:pt>
                <c:pt idx="2">
                  <c:v>-0.72836687547901668</c:v>
                </c:pt>
                <c:pt idx="3">
                  <c:v>1.1727676221264858</c:v>
                </c:pt>
                <c:pt idx="4">
                  <c:v>2.7747956410749062</c:v>
                </c:pt>
                <c:pt idx="5">
                  <c:v>-9.1503639764122457E-2</c:v>
                </c:pt>
              </c:numCache>
            </c:numRef>
          </c:val>
          <c:extLst>
            <c:ext xmlns:c16="http://schemas.microsoft.com/office/drawing/2014/chart" uri="{C3380CC4-5D6E-409C-BE32-E72D297353CC}">
              <c16:uniqueId val="{00000002-32D0-414D-9BA4-1414354F4F6E}"/>
            </c:ext>
          </c:extLst>
        </c:ser>
        <c:dLbls>
          <c:showLegendKey val="0"/>
          <c:showVal val="1"/>
          <c:showCatName val="0"/>
          <c:showSerName val="0"/>
          <c:showPercent val="0"/>
          <c:showBubbleSize val="0"/>
        </c:dLbls>
        <c:gapWidth val="150"/>
        <c:axId val="182665736"/>
        <c:axId val="182666120"/>
      </c:barChart>
      <c:catAx>
        <c:axId val="182665736"/>
        <c:scaling>
          <c:orientation val="maxMin"/>
        </c:scaling>
        <c:delete val="0"/>
        <c:axPos val="l"/>
        <c:numFmt formatCode="General" sourceLinked="0"/>
        <c:majorTickMark val="out"/>
        <c:minorTickMark val="none"/>
        <c:tickLblPos val="low"/>
        <c:txPr>
          <a:bodyPr/>
          <a:lstStyle/>
          <a:p>
            <a:pPr>
              <a:defRPr b="1"/>
            </a:pPr>
            <a:endParaRPr lang="en-US"/>
          </a:p>
        </c:txPr>
        <c:crossAx val="182666120"/>
        <c:crosses val="autoZero"/>
        <c:auto val="1"/>
        <c:lblAlgn val="ctr"/>
        <c:lblOffset val="100"/>
        <c:noMultiLvlLbl val="0"/>
      </c:catAx>
      <c:valAx>
        <c:axId val="182666120"/>
        <c:scaling>
          <c:orientation val="minMax"/>
        </c:scaling>
        <c:delete val="1"/>
        <c:axPos val="t"/>
        <c:numFmt formatCode="#,##0.0" sourceLinked="1"/>
        <c:majorTickMark val="out"/>
        <c:minorTickMark val="none"/>
        <c:tickLblPos val="none"/>
        <c:crossAx val="182665736"/>
        <c:crosses val="autoZero"/>
        <c:crossBetween val="between"/>
      </c:valAx>
    </c:plotArea>
    <c:legend>
      <c:legendPos val="r"/>
      <c:layout>
        <c:manualLayout>
          <c:xMode val="edge"/>
          <c:yMode val="edge"/>
          <c:x val="0.87967477749491918"/>
          <c:y val="0.34287361933494476"/>
          <c:w val="0.11280642551260039"/>
          <c:h val="0.37784576609958764"/>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Spending at Public Two-Year Colleges, 2012-13</a:t>
            </a:r>
          </a:p>
        </c:rich>
      </c:tx>
      <c:overlay val="0"/>
    </c:title>
    <c:autoTitleDeleted val="0"/>
    <c:plotArea>
      <c:layout/>
      <c:barChart>
        <c:barDir val="col"/>
        <c:grouping val="clustered"/>
        <c:varyColors val="0"/>
        <c:ser>
          <c:idx val="0"/>
          <c:order val="0"/>
          <c:tx>
            <c:strRef>
              <c:f>'TABLE 97'!$A$8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i="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97'!$C$8:$H$8</c:f>
              <c:numCache>
                <c:formatCode>#,##0.0</c:formatCode>
                <c:ptCount val="6"/>
                <c:pt idx="0">
                  <c:v>39.838537900866655</c:v>
                </c:pt>
                <c:pt idx="1">
                  <c:v>0</c:v>
                </c:pt>
                <c:pt idx="2">
                  <c:v>1.3233000072134635</c:v>
                </c:pt>
                <c:pt idx="3">
                  <c:v>33.297627596393191</c:v>
                </c:pt>
                <c:pt idx="4">
                  <c:v>19.294050149634636</c:v>
                </c:pt>
                <c:pt idx="5">
                  <c:v>6.1981993816339616</c:v>
                </c:pt>
              </c:numCache>
            </c:numRef>
          </c:val>
          <c:extLst>
            <c:ext xmlns:c16="http://schemas.microsoft.com/office/drawing/2014/chart" uri="{C3380CC4-5D6E-409C-BE32-E72D297353CC}">
              <c16:uniqueId val="{00000000-6A1C-4AAA-9C73-5D86C1A601CC}"/>
            </c:ext>
          </c:extLst>
        </c:ser>
        <c:ser>
          <c:idx val="1"/>
          <c:order val="1"/>
          <c:tx>
            <c:strRef>
              <c:f>'TABLE 97'!$A$9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97'!$C$9:$H$9</c:f>
              <c:numCache>
                <c:formatCode>#,##0.0</c:formatCode>
                <c:ptCount val="6"/>
                <c:pt idx="0">
                  <c:v>39.128190327404887</c:v>
                </c:pt>
                <c:pt idx="1">
                  <c:v>0</c:v>
                </c:pt>
                <c:pt idx="2">
                  <c:v>1.024849660843747</c:v>
                </c:pt>
                <c:pt idx="3">
                  <c:v>32.504242649788786</c:v>
                </c:pt>
                <c:pt idx="4">
                  <c:v>22.766437962215296</c:v>
                </c:pt>
                <c:pt idx="5">
                  <c:v>4.569061666541403</c:v>
                </c:pt>
              </c:numCache>
            </c:numRef>
          </c:val>
          <c:extLst>
            <c:ext xmlns:c16="http://schemas.microsoft.com/office/drawing/2014/chart" uri="{C3380CC4-5D6E-409C-BE32-E72D297353CC}">
              <c16:uniqueId val="{00000001-6A1C-4AAA-9C73-5D86C1A601CC}"/>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97'!$C$11:$H$11</c:f>
              <c:numCache>
                <c:formatCode>#,##0.0</c:formatCode>
                <c:ptCount val="6"/>
                <c:pt idx="0">
                  <c:v>36.491931328339817</c:v>
                </c:pt>
                <c:pt idx="1">
                  <c:v>0</c:v>
                </c:pt>
                <c:pt idx="2">
                  <c:v>0.36616957240629106</c:v>
                </c:pt>
                <c:pt idx="3">
                  <c:v>30.630281086718931</c:v>
                </c:pt>
                <c:pt idx="4">
                  <c:v>23.876695862873728</c:v>
                </c:pt>
                <c:pt idx="5">
                  <c:v>8.6349221496612358</c:v>
                </c:pt>
              </c:numCache>
            </c:numRef>
          </c:val>
          <c:extLst>
            <c:ext xmlns:c16="http://schemas.microsoft.com/office/drawing/2014/chart" uri="{C3380CC4-5D6E-409C-BE32-E72D297353CC}">
              <c16:uniqueId val="{00000002-6A1C-4AAA-9C73-5D86C1A601CC}"/>
            </c:ext>
          </c:extLst>
        </c:ser>
        <c:dLbls>
          <c:showLegendKey val="0"/>
          <c:showVal val="1"/>
          <c:showCatName val="0"/>
          <c:showSerName val="0"/>
          <c:showPercent val="0"/>
          <c:showBubbleSize val="0"/>
        </c:dLbls>
        <c:gapWidth val="150"/>
        <c:axId val="362622496"/>
        <c:axId val="182689744"/>
      </c:barChart>
      <c:catAx>
        <c:axId val="362622496"/>
        <c:scaling>
          <c:orientation val="minMax"/>
        </c:scaling>
        <c:delete val="0"/>
        <c:axPos val="b"/>
        <c:numFmt formatCode="General" sourceLinked="0"/>
        <c:majorTickMark val="out"/>
        <c:minorTickMark val="none"/>
        <c:tickLblPos val="nextTo"/>
        <c:txPr>
          <a:bodyPr/>
          <a:lstStyle/>
          <a:p>
            <a:pPr>
              <a:defRPr b="1"/>
            </a:pPr>
            <a:endParaRPr lang="en-US"/>
          </a:p>
        </c:txPr>
        <c:crossAx val="182689744"/>
        <c:crosses val="autoZero"/>
        <c:auto val="1"/>
        <c:lblAlgn val="ctr"/>
        <c:lblOffset val="100"/>
        <c:noMultiLvlLbl val="0"/>
      </c:catAx>
      <c:valAx>
        <c:axId val="182689744"/>
        <c:scaling>
          <c:orientation val="minMax"/>
        </c:scaling>
        <c:delete val="1"/>
        <c:axPos val="l"/>
        <c:numFmt formatCode="#,##0.0" sourceLinked="1"/>
        <c:majorTickMark val="out"/>
        <c:minorTickMark val="none"/>
        <c:tickLblPos val="none"/>
        <c:crossAx val="36262249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Percentage-Point Change 2007-08 to 2012-13</a:t>
            </a:r>
          </a:p>
        </c:rich>
      </c:tx>
      <c:overlay val="0"/>
    </c:title>
    <c:autoTitleDeleted val="0"/>
    <c:plotArea>
      <c:layout>
        <c:manualLayout>
          <c:layoutTarget val="inner"/>
          <c:xMode val="edge"/>
          <c:yMode val="edge"/>
          <c:x val="0.14604848736013307"/>
          <c:y val="8.8977295962011246E-2"/>
          <c:w val="0.71984182898190363"/>
          <c:h val="0.9089029372123395"/>
        </c:manualLayout>
      </c:layout>
      <c:barChart>
        <c:barDir val="bar"/>
        <c:grouping val="clustered"/>
        <c:varyColors val="0"/>
        <c:ser>
          <c:idx val="0"/>
          <c:order val="0"/>
          <c:tx>
            <c:strRef>
              <c:f>'TABLE 97'!$A$8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97'!$I$8:$N$8</c:f>
              <c:numCache>
                <c:formatCode>#,##0.0</c:formatCode>
                <c:ptCount val="6"/>
                <c:pt idx="0">
                  <c:v>0.37160452437306191</c:v>
                </c:pt>
                <c:pt idx="1">
                  <c:v>0</c:v>
                </c:pt>
                <c:pt idx="2">
                  <c:v>-0.14545017046963604</c:v>
                </c:pt>
                <c:pt idx="3">
                  <c:v>2.8016824591330902</c:v>
                </c:pt>
                <c:pt idx="4">
                  <c:v>-5.6182573772324176</c:v>
                </c:pt>
                <c:pt idx="5">
                  <c:v>2.5821880934864949</c:v>
                </c:pt>
              </c:numCache>
            </c:numRef>
          </c:val>
          <c:extLst>
            <c:ext xmlns:c16="http://schemas.microsoft.com/office/drawing/2014/chart" uri="{C3380CC4-5D6E-409C-BE32-E72D297353CC}">
              <c16:uniqueId val="{00000000-3CBF-45FE-BCA1-05EEEFB6FFC5}"/>
            </c:ext>
          </c:extLst>
        </c:ser>
        <c:ser>
          <c:idx val="1"/>
          <c:order val="1"/>
          <c:tx>
            <c:strRef>
              <c:f>'TABLE 97'!$A$9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97'!$I$9:$N$9</c:f>
              <c:numCache>
                <c:formatCode>#,##0.0</c:formatCode>
                <c:ptCount val="6"/>
                <c:pt idx="0">
                  <c:v>0.14381255490285838</c:v>
                </c:pt>
                <c:pt idx="1">
                  <c:v>0</c:v>
                </c:pt>
                <c:pt idx="2">
                  <c:v>0</c:v>
                </c:pt>
                <c:pt idx="3">
                  <c:v>3.2208969463508268</c:v>
                </c:pt>
                <c:pt idx="4">
                  <c:v>-5.7785549971908239</c:v>
                </c:pt>
                <c:pt idx="5">
                  <c:v>2.4255230653720234</c:v>
                </c:pt>
              </c:numCache>
            </c:numRef>
          </c:val>
          <c:extLst>
            <c:ext xmlns:c16="http://schemas.microsoft.com/office/drawing/2014/chart" uri="{C3380CC4-5D6E-409C-BE32-E72D297353CC}">
              <c16:uniqueId val="{00000001-3CBF-45FE-BCA1-05EEEFB6FFC5}"/>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97'!$I$11:$N$11</c:f>
              <c:numCache>
                <c:formatCode>#,##0.0</c:formatCode>
                <c:ptCount val="6"/>
                <c:pt idx="0">
                  <c:v>-1.1475784611916424</c:v>
                </c:pt>
                <c:pt idx="1">
                  <c:v>0</c:v>
                </c:pt>
                <c:pt idx="2">
                  <c:v>-0.95900802456051193</c:v>
                </c:pt>
                <c:pt idx="3">
                  <c:v>0.94723358737481789</c:v>
                </c:pt>
                <c:pt idx="4">
                  <c:v>-6.9354257256343566</c:v>
                </c:pt>
                <c:pt idx="5">
                  <c:v>8.0947786240116919</c:v>
                </c:pt>
              </c:numCache>
            </c:numRef>
          </c:val>
          <c:extLst>
            <c:ext xmlns:c16="http://schemas.microsoft.com/office/drawing/2014/chart" uri="{C3380CC4-5D6E-409C-BE32-E72D297353CC}">
              <c16:uniqueId val="{00000002-3CBF-45FE-BCA1-05EEEFB6FFC5}"/>
            </c:ext>
          </c:extLst>
        </c:ser>
        <c:dLbls>
          <c:showLegendKey val="0"/>
          <c:showVal val="1"/>
          <c:showCatName val="0"/>
          <c:showSerName val="0"/>
          <c:showPercent val="0"/>
          <c:showBubbleSize val="0"/>
        </c:dLbls>
        <c:gapWidth val="150"/>
        <c:axId val="362270416"/>
        <c:axId val="362241272"/>
      </c:barChart>
      <c:catAx>
        <c:axId val="362270416"/>
        <c:scaling>
          <c:orientation val="maxMin"/>
        </c:scaling>
        <c:delete val="0"/>
        <c:axPos val="l"/>
        <c:numFmt formatCode="General" sourceLinked="0"/>
        <c:majorTickMark val="out"/>
        <c:minorTickMark val="none"/>
        <c:tickLblPos val="low"/>
        <c:txPr>
          <a:bodyPr/>
          <a:lstStyle/>
          <a:p>
            <a:pPr>
              <a:defRPr b="1"/>
            </a:pPr>
            <a:endParaRPr lang="en-US"/>
          </a:p>
        </c:txPr>
        <c:crossAx val="362241272"/>
        <c:crosses val="autoZero"/>
        <c:auto val="1"/>
        <c:lblAlgn val="ctr"/>
        <c:lblOffset val="100"/>
        <c:noMultiLvlLbl val="0"/>
      </c:catAx>
      <c:valAx>
        <c:axId val="362241272"/>
        <c:scaling>
          <c:orientation val="minMax"/>
        </c:scaling>
        <c:delete val="1"/>
        <c:axPos val="t"/>
        <c:numFmt formatCode="#,##0.0" sourceLinked="1"/>
        <c:majorTickMark val="out"/>
        <c:minorTickMark val="none"/>
        <c:tickLblPos val="none"/>
        <c:crossAx val="362270416"/>
        <c:crosses val="autoZero"/>
        <c:crossBetween val="between"/>
      </c:valAx>
    </c:plotArea>
    <c:legend>
      <c:legendPos val="r"/>
      <c:layout>
        <c:manualLayout>
          <c:xMode val="edge"/>
          <c:yMode val="edge"/>
          <c:x val="0.87967477749491962"/>
          <c:y val="0.34287361933494503"/>
          <c:w val="0.11280642551260039"/>
          <c:h val="0.377845766099587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26</xdr:col>
      <xdr:colOff>276224</xdr:colOff>
      <xdr:row>5</xdr:row>
      <xdr:rowOff>0</xdr:rowOff>
    </xdr:from>
    <xdr:to>
      <xdr:col>42</xdr:col>
      <xdr:colOff>66675</xdr:colOff>
      <xdr:row>31</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276225</xdr:colOff>
      <xdr:row>32</xdr:row>
      <xdr:rowOff>104774</xdr:rowOff>
    </xdr:from>
    <xdr:to>
      <xdr:col>42</xdr:col>
      <xdr:colOff>47625</xdr:colOff>
      <xdr:row>68</xdr:row>
      <xdr:rowOff>276225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247650</xdr:colOff>
      <xdr:row>4</xdr:row>
      <xdr:rowOff>76200</xdr:rowOff>
    </xdr:from>
    <xdr:to>
      <xdr:col>44</xdr:col>
      <xdr:colOff>561975</xdr:colOff>
      <xdr:row>13</xdr:row>
      <xdr:rowOff>110065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8889325" y="742950"/>
          <a:ext cx="1609725" cy="1853140"/>
        </a:xfrm>
        <a:prstGeom prst="wedgeEllipseCallout">
          <a:avLst>
            <a:gd name="adj1" fmla="val -170568"/>
            <a:gd name="adj2" fmla="val 12357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39</xdr:col>
      <xdr:colOff>209551</xdr:colOff>
      <xdr:row>34</xdr:row>
      <xdr:rowOff>133350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819150</xdr:colOff>
      <xdr:row>36</xdr:row>
      <xdr:rowOff>47625</xdr:rowOff>
    </xdr:from>
    <xdr:to>
      <xdr:col>39</xdr:col>
      <xdr:colOff>180975</xdr:colOff>
      <xdr:row>70</xdr:row>
      <xdr:rowOff>657226</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419100</xdr:colOff>
      <xdr:row>3</xdr:row>
      <xdr:rowOff>85725</xdr:rowOff>
    </xdr:from>
    <xdr:to>
      <xdr:col>41</xdr:col>
      <xdr:colOff>371475</xdr:colOff>
      <xdr:row>12</xdr:row>
      <xdr:rowOff>138640</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30470475" y="590550"/>
          <a:ext cx="1609725" cy="1853140"/>
        </a:xfrm>
        <a:prstGeom prst="wedgeEllipseCallout">
          <a:avLst>
            <a:gd name="adj1" fmla="val -170568"/>
            <a:gd name="adj2" fmla="val 11689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indexed="16"/>
  </sheetPr>
  <dimension ref="A1:AD86"/>
  <sheetViews>
    <sheetView showGridLines="0" tabSelected="1" view="pageBreakPreview" topLeftCell="A31" zoomScale="90" zoomScaleNormal="75" zoomScaleSheetLayoutView="90" workbookViewId="0">
      <selection activeCell="A70" sqref="A70:H70"/>
    </sheetView>
  </sheetViews>
  <sheetFormatPr defaultColWidth="9.7109375" defaultRowHeight="12.75"/>
  <cols>
    <col min="1" max="1" width="8.7109375" customWidth="1"/>
    <col min="2" max="2" width="9.5703125" customWidth="1"/>
    <col min="3" max="3" width="10.140625" customWidth="1"/>
    <col min="4" max="4" width="9.42578125" bestFit="1" customWidth="1"/>
    <col min="5" max="5" width="7.7109375" bestFit="1" customWidth="1"/>
    <col min="6" max="6" width="13.28515625" customWidth="1"/>
    <col min="7" max="7" width="12.5703125" bestFit="1" customWidth="1"/>
    <col min="8" max="8" width="7" bestFit="1" customWidth="1"/>
    <col min="9" max="9" width="9.7109375" bestFit="1" customWidth="1"/>
    <col min="10" max="10" width="8.85546875" bestFit="1" customWidth="1"/>
    <col min="11" max="11" width="7.140625" bestFit="1" customWidth="1"/>
    <col min="12" max="12" width="13.28515625" customWidth="1"/>
    <col min="13" max="13" width="12.42578125" customWidth="1"/>
    <col min="14" max="14" width="11.85546875" bestFit="1" customWidth="1"/>
    <col min="15" max="15" width="7.140625" style="19" customWidth="1"/>
    <col min="16" max="18" width="10.140625" style="19" customWidth="1"/>
    <col min="19" max="19" width="17" style="19" customWidth="1"/>
    <col min="20" max="20" width="15.42578125" style="19" customWidth="1"/>
    <col min="21" max="21" width="17.140625" style="19" customWidth="1"/>
    <col min="22" max="22" width="10.140625" style="19" customWidth="1"/>
    <col min="23" max="23" width="2.5703125" style="19" customWidth="1"/>
    <col min="24" max="24" width="9.7109375" customWidth="1"/>
    <col min="25" max="25" width="10.42578125" customWidth="1"/>
  </cols>
  <sheetData>
    <row r="1" spans="1:30">
      <c r="A1" s="7" t="s">
        <v>157</v>
      </c>
      <c r="B1" s="7"/>
      <c r="C1" s="2"/>
      <c r="D1" s="2"/>
      <c r="E1" s="2"/>
      <c r="F1" s="2"/>
      <c r="G1" s="2"/>
      <c r="I1" s="2"/>
      <c r="J1" s="4"/>
      <c r="K1" s="4"/>
      <c r="L1" s="4"/>
      <c r="M1" s="4"/>
      <c r="N1" s="4"/>
      <c r="O1" s="8"/>
      <c r="P1" s="8"/>
      <c r="Q1" s="8"/>
      <c r="R1" s="8"/>
      <c r="S1" s="8"/>
      <c r="T1" s="8"/>
      <c r="U1" s="8"/>
      <c r="V1" s="8"/>
      <c r="W1" s="8"/>
      <c r="X1" s="1"/>
      <c r="Y1" s="2"/>
      <c r="Z1" s="1"/>
      <c r="AA1" s="1"/>
      <c r="AB1" s="1"/>
      <c r="AC1" s="1"/>
      <c r="AD1" s="1"/>
    </row>
    <row r="2" spans="1:30" ht="14.25">
      <c r="A2" s="7" t="s">
        <v>126</v>
      </c>
      <c r="B2" s="7"/>
      <c r="C2" s="2"/>
      <c r="D2" s="2"/>
      <c r="E2" s="2"/>
      <c r="F2" s="2"/>
      <c r="G2" s="2"/>
      <c r="H2" s="2"/>
      <c r="I2" s="2"/>
      <c r="J2" s="4"/>
      <c r="K2" s="4"/>
      <c r="L2" s="4"/>
      <c r="M2" s="4"/>
      <c r="N2" s="4"/>
      <c r="O2" s="8"/>
      <c r="P2" s="8"/>
      <c r="Q2" s="8"/>
      <c r="R2" s="8"/>
      <c r="S2" s="8"/>
      <c r="T2" s="8"/>
      <c r="U2" s="8"/>
      <c r="V2" s="8"/>
      <c r="W2" s="8"/>
      <c r="X2" s="1"/>
      <c r="Y2" s="2"/>
      <c r="Z2" s="1"/>
      <c r="AA2" s="1"/>
      <c r="AB2" s="1"/>
      <c r="AC2" s="1"/>
      <c r="AD2" s="1"/>
    </row>
    <row r="3" spans="1:30">
      <c r="A3" s="1" t="s">
        <v>42</v>
      </c>
      <c r="B3" s="7"/>
      <c r="C3" s="2"/>
      <c r="D3" s="1"/>
      <c r="E3" s="1"/>
      <c r="F3" s="1"/>
      <c r="G3" s="1"/>
      <c r="H3" s="1"/>
      <c r="I3" s="2"/>
      <c r="J3" s="4"/>
      <c r="K3" s="4"/>
      <c r="L3" s="4"/>
      <c r="M3" s="4"/>
      <c r="N3" s="4"/>
      <c r="O3" s="8"/>
      <c r="P3" s="8"/>
      <c r="Q3" s="8"/>
      <c r="R3" s="8"/>
      <c r="S3" s="8"/>
      <c r="T3" s="8"/>
      <c r="U3" s="8"/>
      <c r="V3" s="8"/>
      <c r="W3" s="8"/>
      <c r="X3" s="1"/>
      <c r="Y3" s="1"/>
      <c r="Z3" s="1"/>
      <c r="AA3" s="1"/>
      <c r="AB3" s="1"/>
      <c r="AC3" s="1"/>
      <c r="AD3" s="1"/>
    </row>
    <row r="4" spans="1:30">
      <c r="A4" s="1"/>
      <c r="B4" s="1"/>
      <c r="C4" s="1"/>
      <c r="D4" s="1"/>
      <c r="E4" s="1"/>
      <c r="F4" s="1"/>
      <c r="G4" s="1"/>
      <c r="H4" s="1"/>
      <c r="I4" s="1"/>
      <c r="J4" s="1"/>
      <c r="K4" s="1"/>
      <c r="L4" s="1"/>
      <c r="M4" s="1"/>
      <c r="N4" s="1"/>
      <c r="O4" s="8"/>
      <c r="X4" s="1"/>
      <c r="Y4" s="1"/>
      <c r="Z4" s="1"/>
      <c r="AA4" s="1"/>
      <c r="AB4" s="1"/>
      <c r="AC4" s="1"/>
      <c r="AD4" s="1"/>
    </row>
    <row r="5" spans="1:30">
      <c r="A5" s="21"/>
      <c r="B5" s="21"/>
      <c r="C5" s="3" t="s">
        <v>151</v>
      </c>
      <c r="D5" s="3"/>
      <c r="E5" s="3"/>
      <c r="F5" s="3"/>
      <c r="G5" s="3"/>
      <c r="H5" s="3"/>
      <c r="I5" s="58" t="s">
        <v>152</v>
      </c>
      <c r="J5" s="3"/>
      <c r="K5" s="3"/>
      <c r="L5" s="3"/>
      <c r="M5" s="3"/>
      <c r="N5" s="3"/>
      <c r="O5" s="16"/>
      <c r="P5" s="3" t="s">
        <v>153</v>
      </c>
      <c r="Q5" s="3"/>
      <c r="R5" s="3"/>
      <c r="S5" s="3"/>
      <c r="T5" s="3"/>
      <c r="U5" s="3"/>
      <c r="V5" s="3"/>
      <c r="W5" s="2"/>
      <c r="X5" s="1" t="s">
        <v>50</v>
      </c>
      <c r="Y5" s="1"/>
      <c r="Z5" s="2"/>
      <c r="AA5" s="2"/>
      <c r="AB5" s="1"/>
      <c r="AC5" s="1"/>
      <c r="AD5" s="1"/>
    </row>
    <row r="6" spans="1:30" ht="25.5">
      <c r="A6" s="5"/>
      <c r="B6" s="5"/>
      <c r="C6" s="2"/>
      <c r="D6" s="2"/>
      <c r="E6" s="2" t="s">
        <v>43</v>
      </c>
      <c r="F6" s="79" t="s">
        <v>125</v>
      </c>
      <c r="G6" s="74" t="s">
        <v>124</v>
      </c>
      <c r="H6" s="4" t="s">
        <v>44</v>
      </c>
      <c r="I6" s="59"/>
      <c r="J6" s="4"/>
      <c r="K6" s="74" t="s">
        <v>43</v>
      </c>
      <c r="L6" s="79" t="s">
        <v>125</v>
      </c>
      <c r="M6" s="74" t="s">
        <v>124</v>
      </c>
      <c r="N6" s="4" t="s">
        <v>44</v>
      </c>
      <c r="O6" s="16"/>
      <c r="P6" s="2"/>
      <c r="Q6" s="2"/>
      <c r="R6" s="2" t="s">
        <v>43</v>
      </c>
      <c r="S6" s="74" t="s">
        <v>134</v>
      </c>
      <c r="T6" s="2" t="s">
        <v>133</v>
      </c>
      <c r="U6" s="2" t="s">
        <v>124</v>
      </c>
      <c r="V6" s="4" t="s">
        <v>44</v>
      </c>
      <c r="W6" s="4"/>
      <c r="X6" s="1" t="s">
        <v>50</v>
      </c>
      <c r="Y6" s="1"/>
      <c r="Z6" s="2"/>
      <c r="AA6" s="2"/>
      <c r="AB6" s="1"/>
      <c r="AC6" s="1"/>
      <c r="AD6" s="1"/>
    </row>
    <row r="7" spans="1:30" ht="14.25">
      <c r="A7" s="6"/>
      <c r="B7" s="6"/>
      <c r="C7" s="25" t="s">
        <v>128</v>
      </c>
      <c r="D7" s="25" t="s">
        <v>129</v>
      </c>
      <c r="E7" s="25" t="s">
        <v>130</v>
      </c>
      <c r="F7" s="25" t="s">
        <v>131</v>
      </c>
      <c r="G7" s="25" t="s">
        <v>49</v>
      </c>
      <c r="H7" s="26" t="s">
        <v>132</v>
      </c>
      <c r="I7" s="60" t="s">
        <v>45</v>
      </c>
      <c r="J7" s="26" t="s">
        <v>46</v>
      </c>
      <c r="K7" s="25" t="s">
        <v>47</v>
      </c>
      <c r="L7" s="25" t="s">
        <v>131</v>
      </c>
      <c r="M7" s="25" t="s">
        <v>49</v>
      </c>
      <c r="N7" s="26" t="s">
        <v>132</v>
      </c>
      <c r="O7" s="16"/>
      <c r="P7" s="25" t="s">
        <v>45</v>
      </c>
      <c r="Q7" s="25" t="s">
        <v>46</v>
      </c>
      <c r="R7" s="25" t="s">
        <v>47</v>
      </c>
      <c r="S7" s="25" t="s">
        <v>57</v>
      </c>
      <c r="T7" s="25" t="s">
        <v>48</v>
      </c>
      <c r="U7" s="25" t="s">
        <v>49</v>
      </c>
      <c r="V7" s="26" t="s">
        <v>68</v>
      </c>
      <c r="W7" s="4"/>
      <c r="X7" s="13" t="s">
        <v>77</v>
      </c>
      <c r="Y7" s="13"/>
      <c r="Z7" s="2"/>
      <c r="AA7" s="2"/>
      <c r="AB7" s="1"/>
      <c r="AC7" s="1"/>
      <c r="AD7" s="1"/>
    </row>
    <row r="8" spans="1:30">
      <c r="A8" s="55" t="s">
        <v>118</v>
      </c>
      <c r="B8" s="55"/>
      <c r="C8" s="61">
        <f>'Instruction-4YR'!AC6/'T E&amp;G 4YR'!AC6*100</f>
        <v>35.460936247639303</v>
      </c>
      <c r="D8" s="61">
        <f>'RESEARCH 4yr'!AC6/'T E&amp;G 4YR'!AC6*100</f>
        <v>15.252785172215514</v>
      </c>
      <c r="E8" s="61">
        <f>'PUBLIC SERVICE 4yr'!AC6/'T E&amp;G 4YR'!AC6*100</f>
        <v>6.0840715182602274</v>
      </c>
      <c r="F8" s="61">
        <f>'ASptISptSSv 4yr'!AC6/'T E&amp;G 4YR'!AC6*100</f>
        <v>25.237509564501696</v>
      </c>
      <c r="G8" s="61">
        <f>'SCHOLAR FELLOW 4yr'!AC6/'T E&amp;G 4YR'!AC6*100</f>
        <v>13.960836158857074</v>
      </c>
      <c r="H8" s="61">
        <f>('All Other 4yr'!AC6/'T E&amp;G 4YR'!AC6)*100</f>
        <v>4.0038613385262094</v>
      </c>
      <c r="I8" s="62">
        <f t="shared" ref="I8:L9" si="0">IF((C8-P8)=0,(C8-P8),IF((C8-P8)&gt;=0.05,(C8-P8),IF((C8-P8&lt;=-0.05),(C8-P8),"*")))</f>
        <v>-0.54685160758751294</v>
      </c>
      <c r="J8" s="61">
        <f t="shared" si="0"/>
        <v>-2.0400023869706239</v>
      </c>
      <c r="K8" s="61">
        <f t="shared" si="0"/>
        <v>-0.3761360600712651</v>
      </c>
      <c r="L8" s="61">
        <f t="shared" si="0"/>
        <v>0.72722451299679136</v>
      </c>
      <c r="M8" s="61">
        <f>IF((G8-U8)=0,(G8-U8),IF((G8-U8)&gt;=0.05,(G8-U8),IF((G8-U8&lt;=-0.05),(G8-U8),"*")))</f>
        <v>-6.0839395794891615E-2</v>
      </c>
      <c r="N8" s="61">
        <f>IF((H8-V8)=0,(H8-V8),IF((H8-V8)&gt;=0.05,(H8-V8),IF((H8-V8&lt;=-0.05),(H8-V8),"*")))</f>
        <v>2.2966049374275359</v>
      </c>
      <c r="O8" s="23"/>
      <c r="P8" s="38">
        <f>('Instruction-4YR'!X6)/'T E&amp;G 4YR'!X6*100</f>
        <v>36.007787855226816</v>
      </c>
      <c r="Q8" s="38">
        <f>('RESEARCH 4yr'!X6)/('T E&amp;G 4YR'!X6)*100</f>
        <v>17.292787559186138</v>
      </c>
      <c r="R8" s="38">
        <f>('PUBLIC SERVICE 4yr'!X6)/('T E&amp;G 4YR'!X6)*100</f>
        <v>6.4602075783314925</v>
      </c>
      <c r="S8" s="38">
        <f>('ASptISptSSv 4yr'!X6)/('T E&amp;G 4YR'!X6)*100</f>
        <v>24.510285051504905</v>
      </c>
      <c r="T8" s="39">
        <f>('PLANT OPER MAIN 4yr'!X6)/('T E&amp;G 4YR'!X6)*100</f>
        <v>0</v>
      </c>
      <c r="U8" s="38">
        <f>('SCHOLAR FELLOW 4yr'!X6)/('T E&amp;G 4YR'!X6)*100</f>
        <v>14.021675554651965</v>
      </c>
      <c r="V8" s="37">
        <f>IF((('All Other 4yr'!X6/'T E&amp;G 4YR'!X6)*100)&gt;=0.05,('All Other 4yr'!X6/'T E&amp;G 4YR'!X6)*100,"*")</f>
        <v>1.7072564010986735</v>
      </c>
      <c r="W8" s="37"/>
      <c r="X8" s="28">
        <f>SUM(P8:V8)</f>
        <v>99.999999999999986</v>
      </c>
      <c r="Y8" s="28">
        <f>SUM(C8:H8)</f>
        <v>100.00000000000003</v>
      </c>
      <c r="Z8" s="1"/>
      <c r="AA8" s="1"/>
      <c r="AB8" s="1"/>
      <c r="AC8" s="1"/>
      <c r="AD8" s="1"/>
    </row>
    <row r="9" spans="1:30">
      <c r="A9" s="54" t="s">
        <v>56</v>
      </c>
      <c r="B9" s="54"/>
      <c r="C9" s="63">
        <f>'Instruction-4YR'!AC7/'T E&amp;G 4YR'!AC7*100</f>
        <v>35.043562073919517</v>
      </c>
      <c r="D9" s="63">
        <f>'RESEARCH 4yr'!AC7/'T E&amp;G 4YR'!AC7*100</f>
        <v>15.932245389979794</v>
      </c>
      <c r="E9" s="63">
        <f>'PUBLIC SERVICE 4yr'!AC7/'T E&amp;G 4YR'!AC7*100</f>
        <v>6.7859742207809521</v>
      </c>
      <c r="F9" s="63">
        <f>'ASptISptSSv 4yr'!AC7/'T E&amp;G 4YR'!AC7*100</f>
        <v>24.121764812391731</v>
      </c>
      <c r="G9" s="63">
        <f>'SCHOLAR FELLOW 4yr'!AC7/'T E&amp;G 4YR'!AC7*100</f>
        <v>14.485935728430178</v>
      </c>
      <c r="H9" s="63">
        <f>('All Other 4yr'!AC7/'T E&amp;G 4YR'!AC7)*100</f>
        <v>3.6305177744978474</v>
      </c>
      <c r="I9" s="64">
        <f t="shared" si="0"/>
        <v>-0.75520118287022342</v>
      </c>
      <c r="J9" s="63">
        <f t="shared" si="0"/>
        <v>-1.2027863646624901</v>
      </c>
      <c r="K9" s="63">
        <f t="shared" si="0"/>
        <v>-0.34437366049260376</v>
      </c>
      <c r="L9" s="63">
        <f t="shared" si="0"/>
        <v>0.95320777582980654</v>
      </c>
      <c r="M9" s="63">
        <f>IF((G9-U9)=0,(G9-U9),IF((G9-U9)&gt;=0.05,(G9-U9),IF((G9-U9&lt;=-0.05),(G9-U9),"*")))</f>
        <v>0.13680723930075445</v>
      </c>
      <c r="N9" s="63">
        <f>IF((H9-V9)=0,(H9-V9),IF((H9-V9)&gt;=0.05,(H9-V9),IF((H9-V9&lt;=-0.05),(H9-V9),"*")))</f>
        <v>1.2123461928947821</v>
      </c>
      <c r="O9" s="23"/>
      <c r="P9" s="38">
        <f>('Instruction-4YR'!X7)/'T E&amp;G 4YR'!X7*100</f>
        <v>35.798763256789741</v>
      </c>
      <c r="Q9" s="38">
        <f>('RESEARCH 4yr'!X7)/('T E&amp;G 4YR'!X7)*100</f>
        <v>17.135031754642284</v>
      </c>
      <c r="R9" s="38">
        <f>('PUBLIC SERVICE 4yr'!X7)/('T E&amp;G 4YR'!X7)*100</f>
        <v>7.1303478812735559</v>
      </c>
      <c r="S9" s="38">
        <f>('ASptISptSSv 4yr'!X7)/('T E&amp;G 4YR'!X7)*100</f>
        <v>23.168557036561925</v>
      </c>
      <c r="T9" s="39">
        <f>('PLANT OPER MAIN 4yr'!X7)/('T E&amp;G 4YR'!X7)*100</f>
        <v>0</v>
      </c>
      <c r="U9" s="38">
        <f>('SCHOLAR FELLOW 4yr'!X7)/('T E&amp;G 4YR'!X7)*100</f>
        <v>14.349128489129424</v>
      </c>
      <c r="V9" s="37">
        <f>IF((('All Other 4yr'!X7/'T E&amp;G 4YR'!X7)*100)&gt;=0.05,('All Other 4yr'!X7/'T E&amp;G 4YR'!X7)*100,"*")</f>
        <v>2.4181715816030653</v>
      </c>
      <c r="W9" s="37"/>
      <c r="X9" s="28">
        <f>SUM(P9:V9)</f>
        <v>100</v>
      </c>
      <c r="Y9" s="28">
        <f>SUM(C9:H9)</f>
        <v>100.00000000000001</v>
      </c>
      <c r="Z9" s="1"/>
      <c r="AA9" s="1"/>
      <c r="AB9" s="1"/>
      <c r="AC9" s="1"/>
      <c r="AD9" s="1"/>
    </row>
    <row r="10" spans="1:30">
      <c r="A10" s="54"/>
      <c r="B10" s="54"/>
      <c r="C10" s="63"/>
      <c r="D10" s="63"/>
      <c r="E10" s="63"/>
      <c r="F10" s="63"/>
      <c r="G10" s="63"/>
      <c r="H10" s="63"/>
      <c r="I10" s="64"/>
      <c r="J10" s="63"/>
      <c r="K10" s="63"/>
      <c r="L10" s="78"/>
      <c r="M10" s="63"/>
      <c r="N10" s="63"/>
      <c r="O10" s="8"/>
      <c r="P10" s="38"/>
      <c r="Q10" s="38"/>
      <c r="R10" s="38"/>
      <c r="S10" s="38"/>
      <c r="T10" s="39"/>
      <c r="U10" s="38"/>
      <c r="V10" s="37"/>
      <c r="W10" s="36"/>
      <c r="X10" s="10"/>
      <c r="Y10" s="10"/>
      <c r="Z10" s="1"/>
      <c r="AA10" s="1"/>
      <c r="AB10" s="1"/>
      <c r="AC10" s="1"/>
      <c r="AD10" s="1"/>
    </row>
    <row r="11" spans="1:30">
      <c r="A11" s="53" t="s">
        <v>3</v>
      </c>
      <c r="B11" s="53"/>
      <c r="C11" s="65">
        <f>'Instruction-4YR'!AC9/'T E&amp;G 4YR'!AC9*100</f>
        <v>32.242850114924309</v>
      </c>
      <c r="D11" s="65">
        <f>'RESEARCH 4yr'!AC9/'T E&amp;G 4YR'!AC9*100</f>
        <v>13.114676108860724</v>
      </c>
      <c r="E11" s="65">
        <f>'PUBLIC SERVICE 4yr'!AC9/'T E&amp;G 4YR'!AC9*100</f>
        <v>8.4111676065375427</v>
      </c>
      <c r="F11" s="65">
        <f>'ASptISptSSv 4yr'!AC9/'T E&amp;G 4YR'!AC9*100</f>
        <v>29.098011064323114</v>
      </c>
      <c r="G11" s="65">
        <f>'SCHOLAR FELLOW 4yr'!AC9/'T E&amp;G 4YR'!AC9*100</f>
        <v>16.376726622067658</v>
      </c>
      <c r="H11" s="65">
        <f>('All Other 4yr'!AC9/'T E&amp;G 4YR'!AC9)*100</f>
        <v>0.75656848328664839</v>
      </c>
      <c r="I11" s="66">
        <f t="shared" ref="I11:I27" si="1">IF((C11-P11)=0,(C11-P11),IF((C11-P11)&gt;=0.05,(C11-P11),IF((C11-P11&lt;=-0.05),(C11-P11),"*")))</f>
        <v>-1.9206721282968786</v>
      </c>
      <c r="J11" s="65">
        <f t="shared" ref="J11:J27" si="2">IF((D11-Q11)=0,(D11-Q11),IF((D11-Q11)&gt;=0.05,(D11-Q11),IF((D11-Q11&lt;=-0.05),(D11-Q11),"*")))</f>
        <v>-1.2070206196613764</v>
      </c>
      <c r="K11" s="65">
        <f t="shared" ref="K11:K27" si="3">IF((E11-R11)=0,(E11-R11),IF((E11-R11)&gt;=0.05,(E11-R11),IF((E11-R11&lt;=-0.05),(E11-R11),"*")))</f>
        <v>-0.72836687547901668</v>
      </c>
      <c r="L11" s="65">
        <f t="shared" ref="L11:L27" si="4">IF((F11-S11)=0,(F11-S11),IF((F11-S11)&gt;=0.05,(F11-S11),IF((F11-S11&lt;=-0.05),(F11-S11),"*")))</f>
        <v>1.1727676221264858</v>
      </c>
      <c r="M11" s="65">
        <f t="shared" ref="M11:M27" si="5">IF((G11-U11)=0,(G11-U11),IF((G11-U11)&gt;=0.05,(G11-U11),IF((G11-U11&lt;=-0.05),(G11-U11),"*")))</f>
        <v>2.7747956410749062</v>
      </c>
      <c r="N11" s="65">
        <f t="shared" ref="N11:N27" si="6">IF((H11-V11)=0,(H11-V11),IF((H11-V11)&gt;=0.05,(H11-V11),IF((H11-V11&lt;=-0.05),(H11-V11),"*")))</f>
        <v>-9.1503639764122457E-2</v>
      </c>
      <c r="O11" s="8"/>
      <c r="P11" s="38">
        <f>('Instruction-4YR'!X9)/'T E&amp;G 4YR'!X9*100</f>
        <v>34.163522243221188</v>
      </c>
      <c r="Q11" s="38">
        <f>('RESEARCH 4yr'!X9)/('T E&amp;G 4YR'!X9)*100</f>
        <v>14.321696728522101</v>
      </c>
      <c r="R11" s="38">
        <f>('PUBLIC SERVICE 4yr'!X9)/('T E&amp;G 4YR'!X9)*100</f>
        <v>9.1395344820165594</v>
      </c>
      <c r="S11" s="38">
        <f>('ASptISptSSv 4yr'!X9)/('T E&amp;G 4YR'!X9)*100</f>
        <v>27.925243442196628</v>
      </c>
      <c r="T11" s="39">
        <f>('PLANT OPER MAIN 4yr'!X9)/('T E&amp;G 4YR'!X9)*100</f>
        <v>0</v>
      </c>
      <c r="U11" s="38">
        <f>('SCHOLAR FELLOW 4yr'!X9)/('T E&amp;G 4YR'!X9)*100</f>
        <v>13.601930980992751</v>
      </c>
      <c r="V11" s="37">
        <f>IF((('All Other 4yr'!X9/'T E&amp;G 4YR'!X9)*100)&gt;=0.05,('All Other 4yr'!X9/'T E&amp;G 4YR'!X9)*100,"*")</f>
        <v>0.84807212305077084</v>
      </c>
      <c r="W11" s="36"/>
      <c r="X11" s="28">
        <f t="shared" ref="X11:X26" si="7">SUM(P11:V11)</f>
        <v>99.999999999999986</v>
      </c>
      <c r="Y11" s="28">
        <f>SUM(C11:H11)</f>
        <v>99.999999999999986</v>
      </c>
      <c r="Z11" s="1"/>
      <c r="AA11" s="1"/>
      <c r="AB11" s="1"/>
      <c r="AC11" s="1"/>
      <c r="AD11" s="1"/>
    </row>
    <row r="12" spans="1:30">
      <c r="A12" s="53" t="s">
        <v>4</v>
      </c>
      <c r="B12" s="53"/>
      <c r="C12" s="65">
        <f>'Instruction-4YR'!AC10/'T E&amp;G 4YR'!AC10*100</f>
        <v>31.314603739678709</v>
      </c>
      <c r="D12" s="65">
        <f>'RESEARCH 4yr'!AC10/'T E&amp;G 4YR'!AC10*100</f>
        <v>12.960294447242163</v>
      </c>
      <c r="E12" s="65">
        <f>'PUBLIC SERVICE 4yr'!AC10/'T E&amp;G 4YR'!AC10*100</f>
        <v>8.1785583377509568</v>
      </c>
      <c r="F12" s="65">
        <f>'ASptISptSSv 4yr'!AC10/'T E&amp;G 4YR'!AC10*100</f>
        <v>26.198436299409046</v>
      </c>
      <c r="G12" s="65">
        <f>'SCHOLAR FELLOW 4yr'!AC10/'T E&amp;G 4YR'!AC10*100</f>
        <v>17.843871106051878</v>
      </c>
      <c r="H12" s="65">
        <f>('All Other 4yr'!AC10/'T E&amp;G 4YR'!AC10)*100</f>
        <v>3.504236069867253</v>
      </c>
      <c r="I12" s="66">
        <f t="shared" si="1"/>
        <v>0.85076230534039254</v>
      </c>
      <c r="J12" s="65">
        <f t="shared" si="2"/>
        <v>0.1764425748598093</v>
      </c>
      <c r="K12" s="65">
        <f t="shared" si="3"/>
        <v>-3.4963751384485171</v>
      </c>
      <c r="L12" s="65">
        <f t="shared" si="4"/>
        <v>1.9978517894393164</v>
      </c>
      <c r="M12" s="65">
        <f t="shared" si="5"/>
        <v>-1.2010244377977628</v>
      </c>
      <c r="N12" s="65">
        <f t="shared" si="6"/>
        <v>1.6723429066067765</v>
      </c>
      <c r="O12" s="8"/>
      <c r="P12" s="38">
        <f>('Instruction-4YR'!X10)/'T E&amp;G 4YR'!X10*100</f>
        <v>30.463841434338317</v>
      </c>
      <c r="Q12" s="38">
        <f>('RESEARCH 4yr'!X10)/('T E&amp;G 4YR'!X10)*100</f>
        <v>12.783851872382353</v>
      </c>
      <c r="R12" s="38">
        <f>('PUBLIC SERVICE 4yr'!X10)/('T E&amp;G 4YR'!X10)*100</f>
        <v>11.674933476199474</v>
      </c>
      <c r="S12" s="38">
        <f>('ASptISptSSv 4yr'!X10)/('T E&amp;G 4YR'!X10)*100</f>
        <v>24.20058450996973</v>
      </c>
      <c r="T12" s="39">
        <f>('PLANT OPER MAIN 4yr'!X10)/('T E&amp;G 4YR'!X10)*100</f>
        <v>0</v>
      </c>
      <c r="U12" s="38">
        <f>('SCHOLAR FELLOW 4yr'!X10)/('T E&amp;G 4YR'!X10)*100</f>
        <v>19.044895543849641</v>
      </c>
      <c r="V12" s="37">
        <f>IF((('All Other 4yr'!X10/'T E&amp;G 4YR'!X10)*100)&gt;=0.05,('All Other 4yr'!X10/'T E&amp;G 4YR'!X10)*100,"*")</f>
        <v>1.8318931632604765</v>
      </c>
      <c r="W12" s="36"/>
      <c r="X12" s="28">
        <f t="shared" ref="X12:X16" si="8">SUM(P12:V12)</f>
        <v>100</v>
      </c>
      <c r="Y12" s="28">
        <f t="shared" ref="Y12:Y16" si="9">SUM(C12:H12)</f>
        <v>100</v>
      </c>
      <c r="Z12" s="1"/>
      <c r="AA12" s="1"/>
      <c r="AB12" s="1"/>
      <c r="AC12" s="1"/>
      <c r="AD12" s="1"/>
    </row>
    <row r="13" spans="1:30">
      <c r="A13" s="53" t="s">
        <v>52</v>
      </c>
      <c r="B13" s="53"/>
      <c r="C13" s="65">
        <f>'Instruction-4YR'!AC11/'T E&amp;G 4YR'!AC11*100</f>
        <v>39.615786922592001</v>
      </c>
      <c r="D13" s="65">
        <f>'RESEARCH 4yr'!AC11/'T E&amp;G 4YR'!AC11*100</f>
        <v>9.2872611775875118</v>
      </c>
      <c r="E13" s="65">
        <f>'PUBLIC SERVICE 4yr'!AC11/'T E&amp;G 4YR'!AC11*100</f>
        <v>2.2008693532955941</v>
      </c>
      <c r="F13" s="65">
        <f>'ASptISptSSv 4yr'!AC11/'T E&amp;G 4YR'!AC11*100</f>
        <v>30.517718862629849</v>
      </c>
      <c r="G13" s="65">
        <f>'SCHOLAR FELLOW 4yr'!AC11/'T E&amp;G 4YR'!AC11*100</f>
        <v>18.378363683895035</v>
      </c>
      <c r="H13" s="65">
        <f>('All Other 4yr'!AC11/'T E&amp;G 4YR'!AC11)*100</f>
        <v>0</v>
      </c>
      <c r="I13" s="66">
        <f t="shared" si="1"/>
        <v>0.95068132714648357</v>
      </c>
      <c r="J13" s="65">
        <f t="shared" si="2"/>
        <v>-5.4928249141939496</v>
      </c>
      <c r="K13" s="65">
        <f t="shared" si="3"/>
        <v>-2.7887374453039961</v>
      </c>
      <c r="L13" s="65">
        <f t="shared" si="4"/>
        <v>9.5013415537742318</v>
      </c>
      <c r="M13" s="65">
        <f t="shared" si="5"/>
        <v>4.2906714579098146</v>
      </c>
      <c r="N13" s="65">
        <f t="shared" si="6"/>
        <v>-6.4611319793325945</v>
      </c>
      <c r="O13" s="8"/>
      <c r="P13" s="38">
        <f>('Instruction-4YR'!X11)/'T E&amp;G 4YR'!X11*100</f>
        <v>38.665105595445517</v>
      </c>
      <c r="Q13" s="38">
        <f>('RESEARCH 4yr'!X11)/('T E&amp;G 4YR'!X11)*100</f>
        <v>14.780086091781461</v>
      </c>
      <c r="R13" s="38">
        <f>('PUBLIC SERVICE 4yr'!X11)/('T E&amp;G 4YR'!X11)*100</f>
        <v>4.9896067985995902</v>
      </c>
      <c r="S13" s="38">
        <f>('ASptISptSSv 4yr'!X11)/('T E&amp;G 4YR'!X11)*100</f>
        <v>21.016377308855617</v>
      </c>
      <c r="T13" s="39">
        <f>('PLANT OPER MAIN 4yr'!X11)/('T E&amp;G 4YR'!X11)*100</f>
        <v>0</v>
      </c>
      <c r="U13" s="38">
        <f>('SCHOLAR FELLOW 4yr'!X11)/('T E&amp;G 4YR'!X11)*100</f>
        <v>14.08769222598522</v>
      </c>
      <c r="V13" s="37">
        <f>IF((('All Other 4yr'!X11/'T E&amp;G 4YR'!X11)*100)&gt;=0.05,('All Other 4yr'!X11/'T E&amp;G 4YR'!X11)*100,"*")</f>
        <v>6.4611319793325945</v>
      </c>
      <c r="W13" s="36"/>
      <c r="X13" s="28">
        <f>SUM(P13:V13)</f>
        <v>100</v>
      </c>
      <c r="Y13" s="28">
        <f>SUM(C13:H13)</f>
        <v>99.999999999999986</v>
      </c>
      <c r="Z13" s="1"/>
      <c r="AA13" s="1"/>
      <c r="AB13" s="1"/>
      <c r="AC13" s="1"/>
      <c r="AD13" s="1"/>
    </row>
    <row r="14" spans="1:30">
      <c r="A14" s="53" t="s">
        <v>5</v>
      </c>
      <c r="B14" s="53"/>
      <c r="C14" s="65">
        <f>'Instruction-4YR'!AC12/'T E&amp;G 4YR'!AC12*100</f>
        <v>31.432125769508655</v>
      </c>
      <c r="D14" s="65">
        <f>'RESEARCH 4yr'!AC12/'T E&amp;G 4YR'!AC12*100</f>
        <v>17.477226778060658</v>
      </c>
      <c r="E14" s="65">
        <f>'PUBLIC SERVICE 4yr'!AC12/'T E&amp;G 4YR'!AC12*100</f>
        <v>9.3906014243590032</v>
      </c>
      <c r="F14" s="65">
        <f>'ASptISptSSv 4yr'!AC12/'T E&amp;G 4YR'!AC12*100</f>
        <v>22.769534340381856</v>
      </c>
      <c r="G14" s="65">
        <f>'SCHOLAR FELLOW 4yr'!AC12/'T E&amp;G 4YR'!AC12*100</f>
        <v>15.553328177715917</v>
      </c>
      <c r="H14" s="65">
        <f>('All Other 4yr'!AC12/'T E&amp;G 4YR'!AC12)*100</f>
        <v>3.3771835099739036</v>
      </c>
      <c r="I14" s="66">
        <f t="shared" si="1"/>
        <v>-1.0795828426892733</v>
      </c>
      <c r="J14" s="65">
        <f t="shared" si="2"/>
        <v>-0.74553784730895245</v>
      </c>
      <c r="K14" s="65">
        <f t="shared" si="3"/>
        <v>2.3899465805865674</v>
      </c>
      <c r="L14" s="65">
        <f t="shared" si="4"/>
        <v>1.7732601836685227</v>
      </c>
      <c r="M14" s="65">
        <f t="shared" si="5"/>
        <v>-1.3719978905577701</v>
      </c>
      <c r="N14" s="65">
        <f t="shared" si="6"/>
        <v>-0.96608818369910665</v>
      </c>
      <c r="O14" s="8"/>
      <c r="P14" s="38">
        <f>('Instruction-4YR'!X12)/'T E&amp;G 4YR'!X12*100</f>
        <v>32.511708612197928</v>
      </c>
      <c r="Q14" s="38">
        <f>('RESEARCH 4yr'!X12)/('T E&amp;G 4YR'!X12)*100</f>
        <v>18.22276462536961</v>
      </c>
      <c r="R14" s="38">
        <f>('PUBLIC SERVICE 4yr'!X12)/('T E&amp;G 4YR'!X12)*100</f>
        <v>7.0006548437724359</v>
      </c>
      <c r="S14" s="38">
        <f>('ASptISptSSv 4yr'!X12)/('T E&amp;G 4YR'!X12)*100</f>
        <v>20.996274156713334</v>
      </c>
      <c r="T14" s="39">
        <f>('PLANT OPER MAIN 4yr'!X12)/('T E&amp;G 4YR'!X12)*100</f>
        <v>0</v>
      </c>
      <c r="U14" s="38">
        <f>('SCHOLAR FELLOW 4yr'!X12)/('T E&amp;G 4YR'!X12)*100</f>
        <v>16.925326068273687</v>
      </c>
      <c r="V14" s="37">
        <f>IF((('All Other 4yr'!X12/'T E&amp;G 4YR'!X12)*100)&gt;=0.05,('All Other 4yr'!X12/'T E&amp;G 4YR'!X12)*100,"*")</f>
        <v>4.3432716936730102</v>
      </c>
      <c r="W14" s="36"/>
      <c r="X14" s="28">
        <f>SUM(P14:V14)</f>
        <v>100</v>
      </c>
      <c r="Y14" s="28">
        <f t="shared" si="9"/>
        <v>99.999999999999986</v>
      </c>
      <c r="Z14" s="1"/>
      <c r="AA14" s="1"/>
      <c r="AB14" s="1"/>
      <c r="AC14" s="1"/>
      <c r="AD14" s="1"/>
    </row>
    <row r="15" spans="1:30">
      <c r="A15" s="54" t="s">
        <v>6</v>
      </c>
      <c r="B15" s="54"/>
      <c r="C15" s="63">
        <f>'Instruction-4YR'!AC13/'T E&amp;G 4YR'!AC13*100</f>
        <v>31.985253170530953</v>
      </c>
      <c r="D15" s="63">
        <f>'RESEARCH 4yr'!AC13/'T E&amp;G 4YR'!AC13*100</f>
        <v>23.467393555264636</v>
      </c>
      <c r="E15" s="63">
        <f>'PUBLIC SERVICE 4yr'!AC13/'T E&amp;G 4YR'!AC13*100</f>
        <v>5.628839262466462</v>
      </c>
      <c r="F15" s="63">
        <f>'ASptISptSSv 4yr'!AC13/'T E&amp;G 4YR'!AC13*100</f>
        <v>25.774264231887656</v>
      </c>
      <c r="G15" s="63">
        <f>'SCHOLAR FELLOW 4yr'!AC13/'T E&amp;G 4YR'!AC13*100</f>
        <v>12.000585144174812</v>
      </c>
      <c r="H15" s="63">
        <f>('All Other 4yr'!AC13/'T E&amp;G 4YR'!AC13)*100</f>
        <v>1.1436646356754772</v>
      </c>
      <c r="I15" s="64">
        <f t="shared" si="1"/>
        <v>-0.65887817820205186</v>
      </c>
      <c r="J15" s="63">
        <f t="shared" si="2"/>
        <v>0.11076813039712619</v>
      </c>
      <c r="K15" s="63">
        <f t="shared" si="3"/>
        <v>-1.0418358144359594</v>
      </c>
      <c r="L15" s="63">
        <f t="shared" si="4"/>
        <v>1.434989190086668</v>
      </c>
      <c r="M15" s="63">
        <f t="shared" si="5"/>
        <v>-0.43028662413247787</v>
      </c>
      <c r="N15" s="63">
        <f t="shared" si="6"/>
        <v>0.58524329628669247</v>
      </c>
      <c r="O15" s="23"/>
      <c r="P15" s="38">
        <f>('Instruction-4YR'!X13)/'T E&amp;G 4YR'!X13*100</f>
        <v>32.644131348733005</v>
      </c>
      <c r="Q15" s="38">
        <f>('RESEARCH 4yr'!X13)/('T E&amp;G 4YR'!X13)*100</f>
        <v>23.356625424867509</v>
      </c>
      <c r="R15" s="38">
        <f>('PUBLIC SERVICE 4yr'!X13)/('T E&amp;G 4YR'!X13)*100</f>
        <v>6.6706750769024215</v>
      </c>
      <c r="S15" s="38">
        <f>('ASptISptSSv 4yr'!X13)/('T E&amp;G 4YR'!X13)*100</f>
        <v>24.339275041800988</v>
      </c>
      <c r="T15" s="39">
        <f>('PLANT OPER MAIN 4yr'!X13)/('T E&amp;G 4YR'!X13)*100</f>
        <v>0</v>
      </c>
      <c r="U15" s="38">
        <f>('SCHOLAR FELLOW 4yr'!X13)/('T E&amp;G 4YR'!X13)*100</f>
        <v>12.43087176830729</v>
      </c>
      <c r="V15" s="37">
        <f>IF((('All Other 4yr'!X13/'T E&amp;G 4YR'!X13)*100)&gt;=0.05,('All Other 4yr'!X13/'T E&amp;G 4YR'!X13)*100,"*")</f>
        <v>0.55842133938878469</v>
      </c>
      <c r="W15" s="37"/>
      <c r="X15" s="28">
        <f t="shared" si="8"/>
        <v>99.999999999999986</v>
      </c>
      <c r="Y15" s="28">
        <f t="shared" si="9"/>
        <v>99.999999999999986</v>
      </c>
      <c r="Z15" s="1"/>
      <c r="AA15" s="1"/>
      <c r="AB15" s="1"/>
      <c r="AC15" s="1"/>
      <c r="AD15" s="1"/>
    </row>
    <row r="16" spans="1:30">
      <c r="A16" s="54" t="s">
        <v>7</v>
      </c>
      <c r="B16" s="54"/>
      <c r="C16" s="63">
        <f>'Instruction-4YR'!AC14/'T E&amp;G 4YR'!AC14*100</f>
        <v>27.198971073988005</v>
      </c>
      <c r="D16" s="63">
        <f>'RESEARCH 4yr'!AC14/'T E&amp;G 4YR'!AC14*100</f>
        <v>11.607739931512317</v>
      </c>
      <c r="E16" s="63">
        <f>'PUBLIC SERVICE 4yr'!AC14/'T E&amp;G 4YR'!AC14*100</f>
        <v>20.248734421276708</v>
      </c>
      <c r="F16" s="63">
        <f>'ASptISptSSv 4yr'!AC14/'T E&amp;G 4YR'!AC14*100</f>
        <v>24.614147208555757</v>
      </c>
      <c r="G16" s="63">
        <f>'SCHOLAR FELLOW 4yr'!AC14/'T E&amp;G 4YR'!AC14*100</f>
        <v>15.645004131286665</v>
      </c>
      <c r="H16" s="63">
        <f>('All Other 4yr'!AC14/'T E&amp;G 4YR'!AC14)*100</f>
        <v>0.68540323338054143</v>
      </c>
      <c r="I16" s="64">
        <f t="shared" si="1"/>
        <v>-2.0535098896879873</v>
      </c>
      <c r="J16" s="63">
        <f t="shared" si="2"/>
        <v>-2.0638581574587072</v>
      </c>
      <c r="K16" s="63">
        <f t="shared" si="3"/>
        <v>1.2972880582050479</v>
      </c>
      <c r="L16" s="63">
        <f t="shared" si="4"/>
        <v>1.593319078092744</v>
      </c>
      <c r="M16" s="63">
        <f t="shared" si="5"/>
        <v>1.1057359991366962</v>
      </c>
      <c r="N16" s="63">
        <f t="shared" si="6"/>
        <v>0.12102491171219398</v>
      </c>
      <c r="O16" s="23"/>
      <c r="P16" s="38">
        <f>('Instruction-4YR'!X14)/'T E&amp;G 4YR'!X14*100</f>
        <v>29.252480963675993</v>
      </c>
      <c r="Q16" s="38">
        <f>('RESEARCH 4yr'!X14)/('T E&amp;G 4YR'!X14)*100</f>
        <v>13.671598088971024</v>
      </c>
      <c r="R16" s="38">
        <f>('PUBLIC SERVICE 4yr'!X14)/('T E&amp;G 4YR'!X14)*100</f>
        <v>18.951446363071661</v>
      </c>
      <c r="S16" s="38">
        <f>('ASptISptSSv 4yr'!X14)/('T E&amp;G 4YR'!X14)*100</f>
        <v>23.020828130463013</v>
      </c>
      <c r="T16" s="39">
        <f>('PLANT OPER MAIN 4yr'!X14)/('T E&amp;G 4YR'!X14)*100</f>
        <v>0</v>
      </c>
      <c r="U16" s="38">
        <f>('SCHOLAR FELLOW 4yr'!X14)/('T E&amp;G 4YR'!X14)*100</f>
        <v>14.539268132149969</v>
      </c>
      <c r="V16" s="37">
        <f>IF((('All Other 4yr'!X14/'T E&amp;G 4YR'!X14)*100)&gt;=0.05,('All Other 4yr'!X14/'T E&amp;G 4YR'!X14)*100,"*")</f>
        <v>0.56437832166834745</v>
      </c>
      <c r="W16" s="37"/>
      <c r="X16" s="28">
        <f t="shared" si="8"/>
        <v>100</v>
      </c>
      <c r="Y16" s="28">
        <f t="shared" si="9"/>
        <v>99.999999999999986</v>
      </c>
      <c r="Z16" s="1"/>
      <c r="AA16" s="1"/>
      <c r="AB16" s="1"/>
      <c r="AC16" s="1"/>
      <c r="AD16" s="1"/>
    </row>
    <row r="17" spans="1:30">
      <c r="A17" s="54" t="s">
        <v>8</v>
      </c>
      <c r="B17" s="54"/>
      <c r="C17" s="63">
        <f>'Instruction-4YR'!AC15/'T E&amp;G 4YR'!AC15*100</f>
        <v>34.614462373853414</v>
      </c>
      <c r="D17" s="63">
        <f>'RESEARCH 4yr'!AC15/'T E&amp;G 4YR'!AC15*100</f>
        <v>13.891362316351646</v>
      </c>
      <c r="E17" s="63">
        <f>'PUBLIC SERVICE 4yr'!AC15/'T E&amp;G 4YR'!AC15*100</f>
        <v>12.30098066047179</v>
      </c>
      <c r="F17" s="63">
        <f>'ASptISptSSv 4yr'!AC15/'T E&amp;G 4YR'!AC15*100</f>
        <v>24.900113296213103</v>
      </c>
      <c r="G17" s="63">
        <f>'SCHOLAR FELLOW 4yr'!AC15/'T E&amp;G 4YR'!AC15*100</f>
        <v>14.539081283418213</v>
      </c>
      <c r="H17" s="63">
        <f>('All Other 4yr'!AC15/'T E&amp;G 4YR'!AC15)*100</f>
        <v>-0.24599993030817169</v>
      </c>
      <c r="I17" s="64">
        <f t="shared" si="1"/>
        <v>0.34601929327330794</v>
      </c>
      <c r="J17" s="63">
        <f t="shared" si="2"/>
        <v>-2.5203248295403675</v>
      </c>
      <c r="K17" s="63">
        <f t="shared" si="3"/>
        <v>0.28527632800996905</v>
      </c>
      <c r="L17" s="63">
        <f t="shared" si="4"/>
        <v>1.8491511716642108</v>
      </c>
      <c r="M17" s="63">
        <f t="shared" si="5"/>
        <v>1.9273707857995408</v>
      </c>
      <c r="N17" s="63">
        <f t="shared" si="6"/>
        <v>-1.8874927492066631</v>
      </c>
      <c r="O17" s="23"/>
      <c r="P17" s="38">
        <f>('Instruction-4YR'!X15)/'T E&amp;G 4YR'!X15*100</f>
        <v>34.268443080580106</v>
      </c>
      <c r="Q17" s="38">
        <f>('RESEARCH 4yr'!X15)/('T E&amp;G 4YR'!X15)*100</f>
        <v>16.411687145892014</v>
      </c>
      <c r="R17" s="38">
        <f>('PUBLIC SERVICE 4yr'!X15)/('T E&amp;G 4YR'!X15)*100</f>
        <v>12.015704332461821</v>
      </c>
      <c r="S17" s="38">
        <f>('ASptISptSSv 4yr'!X15)/('T E&amp;G 4YR'!X15)*100</f>
        <v>23.050962124548892</v>
      </c>
      <c r="T17" s="39">
        <f>('PLANT OPER MAIN 4yr'!X15)/('T E&amp;G 4YR'!X15)*100</f>
        <v>0</v>
      </c>
      <c r="U17" s="38">
        <f>('SCHOLAR FELLOW 4yr'!X15)/('T E&amp;G 4YR'!X15)*100</f>
        <v>12.611710497618672</v>
      </c>
      <c r="V17" s="37">
        <f>IF((('All Other 4yr'!X15/'T E&amp;G 4YR'!X15)*100)&gt;=0.05,('All Other 4yr'!X15/'T E&amp;G 4YR'!X15)*100,"*")</f>
        <v>1.6414928188984914</v>
      </c>
      <c r="W17" s="37"/>
      <c r="X17" s="28">
        <f t="shared" si="7"/>
        <v>99.999999999999986</v>
      </c>
      <c r="Y17" s="28">
        <f t="shared" ref="Y17:Y26" si="10">SUM(C17:H17)</f>
        <v>100</v>
      </c>
      <c r="Z17" s="1"/>
      <c r="AA17" s="1"/>
      <c r="AB17" s="1"/>
      <c r="AC17" s="1"/>
      <c r="AD17" s="1"/>
    </row>
    <row r="18" spans="1:30">
      <c r="A18" s="54" t="s">
        <v>9</v>
      </c>
      <c r="B18" s="54"/>
      <c r="C18" s="63">
        <f>'Instruction-4YR'!AC16/'T E&amp;G 4YR'!AC16*100</f>
        <v>31.261211441763553</v>
      </c>
      <c r="D18" s="63">
        <f>'RESEARCH 4yr'!AC16/'T E&amp;G 4YR'!AC16*100</f>
        <v>22.233585075594785</v>
      </c>
      <c r="E18" s="63">
        <f>'PUBLIC SERVICE 4yr'!AC16/'T E&amp;G 4YR'!AC16*100</f>
        <v>3.6060957899448791</v>
      </c>
      <c r="F18" s="63">
        <f>'ASptISptSSv 4yr'!AC16/'T E&amp;G 4YR'!AC16*100</f>
        <v>28.949802074707865</v>
      </c>
      <c r="G18" s="63">
        <f>'SCHOLAR FELLOW 4yr'!AC16/'T E&amp;G 4YR'!AC16*100</f>
        <v>10.033749794564192</v>
      </c>
      <c r="H18" s="63">
        <f>('All Other 4yr'!AC16/'T E&amp;G 4YR'!AC16)*100</f>
        <v>3.9155558234247314</v>
      </c>
      <c r="I18" s="64">
        <f t="shared" si="1"/>
        <v>-0.84440585870695273</v>
      </c>
      <c r="J18" s="63">
        <f t="shared" si="2"/>
        <v>-2.8520258913053169</v>
      </c>
      <c r="K18" s="63">
        <f t="shared" si="3"/>
        <v>-0.7757484034367943</v>
      </c>
      <c r="L18" s="63">
        <f t="shared" si="4"/>
        <v>1.5868000978196299</v>
      </c>
      <c r="M18" s="63">
        <f t="shared" si="5"/>
        <v>0.2600403852593498</v>
      </c>
      <c r="N18" s="63">
        <f t="shared" si="6"/>
        <v>2.6253396703700891</v>
      </c>
      <c r="O18" s="23"/>
      <c r="P18" s="38">
        <f>('Instruction-4YR'!X16)/'T E&amp;G 4YR'!X16*100</f>
        <v>32.105617300470506</v>
      </c>
      <c r="Q18" s="38">
        <f>('RESEARCH 4yr'!X16)/('T E&amp;G 4YR'!X16)*100</f>
        <v>25.085610966900102</v>
      </c>
      <c r="R18" s="38">
        <f>('PUBLIC SERVICE 4yr'!X16)/('T E&amp;G 4YR'!X16)*100</f>
        <v>4.3818441933816734</v>
      </c>
      <c r="S18" s="38">
        <f>('ASptISptSSv 4yr'!X16)/('T E&amp;G 4YR'!X16)*100</f>
        <v>27.363001976888235</v>
      </c>
      <c r="T18" s="39">
        <f>('PLANT OPER MAIN 4yr'!X16)/('T E&amp;G 4YR'!X16)*100</f>
        <v>0</v>
      </c>
      <c r="U18" s="38">
        <f>('SCHOLAR FELLOW 4yr'!X16)/('T E&amp;G 4YR'!X16)*100</f>
        <v>9.7737094093048427</v>
      </c>
      <c r="V18" s="37">
        <f>IF((('All Other 4yr'!X16/'T E&amp;G 4YR'!X16)*100)&gt;=0.05,('All Other 4yr'!X16/'T E&amp;G 4YR'!X16)*100,"*")</f>
        <v>1.2902161530546423</v>
      </c>
      <c r="W18" s="37"/>
      <c r="X18" s="28">
        <f t="shared" si="7"/>
        <v>100</v>
      </c>
      <c r="Y18" s="28">
        <f t="shared" si="10"/>
        <v>100</v>
      </c>
      <c r="Z18" s="1"/>
      <c r="AA18" s="1"/>
      <c r="AB18" s="1"/>
      <c r="AC18" s="1"/>
      <c r="AD18" s="1"/>
    </row>
    <row r="19" spans="1:30">
      <c r="A19" s="53" t="s">
        <v>10</v>
      </c>
      <c r="B19" s="53"/>
      <c r="C19" s="65">
        <f>'Instruction-4YR'!AC17/'T E&amp;G 4YR'!AC17*100</f>
        <v>31.979362601746658</v>
      </c>
      <c r="D19" s="65">
        <f>'RESEARCH 4yr'!AC17/'T E&amp;G 4YR'!AC17*100</f>
        <v>16.477525653002726</v>
      </c>
      <c r="E19" s="65">
        <f>'PUBLIC SERVICE 4yr'!AC17/'T E&amp;G 4YR'!AC17*100</f>
        <v>7.362608123772663</v>
      </c>
      <c r="F19" s="65">
        <f>'ASptISptSSv 4yr'!AC17/'T E&amp;G 4YR'!AC17*100</f>
        <v>24.398627503611994</v>
      </c>
      <c r="G19" s="65">
        <f>'SCHOLAR FELLOW 4yr'!AC17/'T E&amp;G 4YR'!AC17*100</f>
        <v>18.806944483292355</v>
      </c>
      <c r="H19" s="65">
        <f>('All Other 4yr'!AC17/'T E&amp;G 4YR'!AC17)*100</f>
        <v>0.97493163457359899</v>
      </c>
      <c r="I19" s="66">
        <f t="shared" si="1"/>
        <v>0.26590023262619766</v>
      </c>
      <c r="J19" s="65">
        <f t="shared" si="2"/>
        <v>-0.37458588564309991</v>
      </c>
      <c r="K19" s="65">
        <f t="shared" si="3"/>
        <v>-0.26351317692414877</v>
      </c>
      <c r="L19" s="65">
        <f t="shared" si="4"/>
        <v>-0.36402337610500624</v>
      </c>
      <c r="M19" s="65">
        <f t="shared" si="5"/>
        <v>2.7282714392141791</v>
      </c>
      <c r="N19" s="65">
        <f t="shared" si="6"/>
        <v>-1.9920492331681199</v>
      </c>
      <c r="O19" s="8"/>
      <c r="P19" s="38">
        <f>('Instruction-4YR'!X17)/'T E&amp;G 4YR'!X17*100</f>
        <v>31.71346236912046</v>
      </c>
      <c r="Q19" s="38">
        <f>('RESEARCH 4yr'!X17)/('T E&amp;G 4YR'!X17)*100</f>
        <v>16.852111538645826</v>
      </c>
      <c r="R19" s="38">
        <f>('PUBLIC SERVICE 4yr'!X17)/('T E&amp;G 4YR'!X17)*100</f>
        <v>7.6261213006968118</v>
      </c>
      <c r="S19" s="38">
        <f>('ASptISptSSv 4yr'!X17)/('T E&amp;G 4YR'!X17)*100</f>
        <v>24.762650879717</v>
      </c>
      <c r="T19" s="39">
        <f>('PLANT OPER MAIN 4yr'!X17)/('T E&amp;G 4YR'!X17)*100</f>
        <v>0</v>
      </c>
      <c r="U19" s="38">
        <f>('SCHOLAR FELLOW 4yr'!X17)/('T E&amp;G 4YR'!X17)*100</f>
        <v>16.078673044078176</v>
      </c>
      <c r="V19" s="37">
        <f>IF((('All Other 4yr'!X17/'T E&amp;G 4YR'!X17)*100)&gt;=0.05,('All Other 4yr'!X17/'T E&amp;G 4YR'!X17)*100,"*")</f>
        <v>2.9669808677417189</v>
      </c>
      <c r="W19" s="36"/>
      <c r="X19" s="28">
        <f t="shared" si="7"/>
        <v>100</v>
      </c>
      <c r="Y19" s="28">
        <f t="shared" si="10"/>
        <v>99.999999999999986</v>
      </c>
      <c r="Z19" s="1"/>
      <c r="AA19" s="1"/>
      <c r="AB19" s="1"/>
      <c r="AC19" s="1"/>
      <c r="AD19" s="1"/>
    </row>
    <row r="20" spans="1:30">
      <c r="A20" s="53" t="s">
        <v>11</v>
      </c>
      <c r="B20" s="53"/>
      <c r="C20" s="65">
        <f>'Instruction-4YR'!AC18/'T E&amp;G 4YR'!AC18*100</f>
        <v>39.436945165487828</v>
      </c>
      <c r="D20" s="65">
        <f>'RESEARCH 4yr'!AC18/'T E&amp;G 4YR'!AC18*100</f>
        <v>16.212027515645303</v>
      </c>
      <c r="E20" s="65">
        <f>'PUBLIC SERVICE 4yr'!AC18/'T E&amp;G 4YR'!AC18*100</f>
        <v>5.4118341102116263</v>
      </c>
      <c r="F20" s="65">
        <f>'ASptISptSSv 4yr'!AC18/'T E&amp;G 4YR'!AC18*100</f>
        <v>23.242625306102315</v>
      </c>
      <c r="G20" s="65">
        <f>'SCHOLAR FELLOW 4yr'!AC18/'T E&amp;G 4YR'!AC18*100</f>
        <v>14.771463672888149</v>
      </c>
      <c r="H20" s="65">
        <f>('All Other 4yr'!AC18/'T E&amp;G 4YR'!AC18)*100</f>
        <v>0.92510422966478445</v>
      </c>
      <c r="I20" s="66">
        <f t="shared" si="1"/>
        <v>-1.9571037661368251</v>
      </c>
      <c r="J20" s="65">
        <f t="shared" si="2"/>
        <v>0.30495264526957477</v>
      </c>
      <c r="K20" s="65">
        <f t="shared" si="3"/>
        <v>-0.49807547376617567</v>
      </c>
      <c r="L20" s="65">
        <f t="shared" si="4"/>
        <v>2.1013290688042403</v>
      </c>
      <c r="M20" s="65">
        <f t="shared" si="5"/>
        <v>-0.10925917192590084</v>
      </c>
      <c r="N20" s="65">
        <f t="shared" si="6"/>
        <v>0.15815669775510144</v>
      </c>
      <c r="O20" s="8"/>
      <c r="P20" s="38">
        <f>('Instruction-4YR'!X18)/'T E&amp;G 4YR'!X18*100</f>
        <v>41.394048931624653</v>
      </c>
      <c r="Q20" s="38">
        <f>('RESEARCH 4yr'!X18)/('T E&amp;G 4YR'!X18)*100</f>
        <v>15.907074870375729</v>
      </c>
      <c r="R20" s="38">
        <f>('PUBLIC SERVICE 4yr'!X18)/('T E&amp;G 4YR'!X18)*100</f>
        <v>5.909909583977802</v>
      </c>
      <c r="S20" s="38">
        <f>('ASptISptSSv 4yr'!X18)/('T E&amp;G 4YR'!X18)*100</f>
        <v>21.141296237298075</v>
      </c>
      <c r="T20" s="39">
        <f>('PLANT OPER MAIN 4yr'!X18)/('T E&amp;G 4YR'!X18)*100</f>
        <v>0</v>
      </c>
      <c r="U20" s="38">
        <f>('SCHOLAR FELLOW 4yr'!X18)/('T E&amp;G 4YR'!X18)*100</f>
        <v>14.88072284481405</v>
      </c>
      <c r="V20" s="37">
        <f>IF((('All Other 4yr'!X18/'T E&amp;G 4YR'!X18)*100)&gt;=0.05,('All Other 4yr'!X18/'T E&amp;G 4YR'!X18)*100,"*")</f>
        <v>0.76694753190968301</v>
      </c>
      <c r="W20" s="36"/>
      <c r="X20" s="28">
        <f t="shared" si="7"/>
        <v>99.999999999999986</v>
      </c>
      <c r="Y20" s="28">
        <f t="shared" si="10"/>
        <v>100</v>
      </c>
      <c r="Z20" s="1"/>
      <c r="AA20" s="1"/>
      <c r="AB20" s="1"/>
      <c r="AC20" s="1"/>
      <c r="AD20" s="1"/>
    </row>
    <row r="21" spans="1:30">
      <c r="A21" s="53" t="s">
        <v>12</v>
      </c>
      <c r="B21" s="53"/>
      <c r="C21" s="65">
        <f>'Instruction-4YR'!AC19/'T E&amp;G 4YR'!AC19*100</f>
        <v>39.859547154571324</v>
      </c>
      <c r="D21" s="65">
        <f>'RESEARCH 4yr'!AC19/'T E&amp;G 4YR'!AC19*100</f>
        <v>12.88865850341678</v>
      </c>
      <c r="E21" s="65">
        <f>'PUBLIC SERVICE 4yr'!AC19/'T E&amp;G 4YR'!AC19*100</f>
        <v>5.93207641917527</v>
      </c>
      <c r="F21" s="65">
        <f>'ASptISptSSv 4yr'!AC19/'T E&amp;G 4YR'!AC19*100</f>
        <v>21.042943550659086</v>
      </c>
      <c r="G21" s="65">
        <f>'SCHOLAR FELLOW 4yr'!AC19/'T E&amp;G 4YR'!AC19*100</f>
        <v>17.194862140072765</v>
      </c>
      <c r="H21" s="65">
        <f>('All Other 4yr'!AC19/'T E&amp;G 4YR'!AC19)*100</f>
        <v>3.0819122321047767</v>
      </c>
      <c r="I21" s="66">
        <f t="shared" si="1"/>
        <v>-0.6028872005884125</v>
      </c>
      <c r="J21" s="65">
        <f t="shared" si="2"/>
        <v>-0.31827548908817249</v>
      </c>
      <c r="K21" s="65">
        <f t="shared" si="3"/>
        <v>-1.955631757912168</v>
      </c>
      <c r="L21" s="65">
        <f t="shared" si="4"/>
        <v>-1.0635784035051756</v>
      </c>
      <c r="M21" s="65">
        <f t="shared" si="5"/>
        <v>1.101437529753813</v>
      </c>
      <c r="N21" s="65">
        <f t="shared" si="6"/>
        <v>2.8389353213401227</v>
      </c>
      <c r="O21" s="8"/>
      <c r="P21" s="38">
        <f>('Instruction-4YR'!X19)/'T E&amp;G 4YR'!X19*100</f>
        <v>40.462434355159736</v>
      </c>
      <c r="Q21" s="38">
        <f>('RESEARCH 4yr'!X19)/('T E&amp;G 4YR'!X19)*100</f>
        <v>13.206933992504952</v>
      </c>
      <c r="R21" s="38">
        <f>('PUBLIC SERVICE 4yr'!X19)/('T E&amp;G 4YR'!X19)*100</f>
        <v>7.887708177087438</v>
      </c>
      <c r="S21" s="38">
        <f>('ASptISptSSv 4yr'!X19)/('T E&amp;G 4YR'!X19)*100</f>
        <v>22.106521954164261</v>
      </c>
      <c r="T21" s="39">
        <f>('PLANT OPER MAIN 4yr'!X19)/('T E&amp;G 4YR'!X19)*100</f>
        <v>0</v>
      </c>
      <c r="U21" s="38">
        <f>('SCHOLAR FELLOW 4yr'!X19)/('T E&amp;G 4YR'!X19)*100</f>
        <v>16.093424610318952</v>
      </c>
      <c r="V21" s="37">
        <f>IF((('All Other 4yr'!X19/'T E&amp;G 4YR'!X19)*100)&gt;=0.05,('All Other 4yr'!X19/'T E&amp;G 4YR'!X19)*100,"*")</f>
        <v>0.24297691076465422</v>
      </c>
      <c r="W21" s="36"/>
      <c r="X21" s="28">
        <f t="shared" si="7"/>
        <v>99.999999999999986</v>
      </c>
      <c r="Y21" s="28">
        <f t="shared" si="10"/>
        <v>100</v>
      </c>
      <c r="Z21" s="1"/>
      <c r="AA21" s="1"/>
      <c r="AB21" s="1"/>
      <c r="AC21" s="1"/>
      <c r="AD21" s="1"/>
    </row>
    <row r="22" spans="1:30">
      <c r="A22" s="53" t="s">
        <v>13</v>
      </c>
      <c r="B22" s="53"/>
      <c r="C22" s="65">
        <f>'Instruction-4YR'!AC20/'T E&amp;G 4YR'!AC20*100</f>
        <v>35.592177545744612</v>
      </c>
      <c r="D22" s="65">
        <f>'RESEARCH 4yr'!AC20/'T E&amp;G 4YR'!AC20*100</f>
        <v>15.205451730421046</v>
      </c>
      <c r="E22" s="65">
        <f>'PUBLIC SERVICE 4yr'!AC20/'T E&amp;G 4YR'!AC20*100</f>
        <v>6.954446136110402</v>
      </c>
      <c r="F22" s="65">
        <f>'ASptISptSSv 4yr'!AC20/'T E&amp;G 4YR'!AC20*100</f>
        <v>23.488496103253045</v>
      </c>
      <c r="G22" s="65">
        <f>'SCHOLAR FELLOW 4yr'!AC20/'T E&amp;G 4YR'!AC20*100</f>
        <v>17.600150252611336</v>
      </c>
      <c r="H22" s="65">
        <f>('All Other 4yr'!AC20/'T E&amp;G 4YR'!AC20)*100</f>
        <v>1.1592782318595543</v>
      </c>
      <c r="I22" s="66">
        <f t="shared" si="1"/>
        <v>-0.39043682933638735</v>
      </c>
      <c r="J22" s="65">
        <f t="shared" si="2"/>
        <v>-1.7438056797297428</v>
      </c>
      <c r="K22" s="65">
        <f t="shared" si="3"/>
        <v>0.34999680060936011</v>
      </c>
      <c r="L22" s="65">
        <f t="shared" si="4"/>
        <v>0.96174964002215901</v>
      </c>
      <c r="M22" s="65">
        <f t="shared" si="5"/>
        <v>0.12821343681321906</v>
      </c>
      <c r="N22" s="65">
        <f t="shared" si="6"/>
        <v>0.69428263162138992</v>
      </c>
      <c r="O22" s="8"/>
      <c r="P22" s="38">
        <f>('Instruction-4YR'!X20)/'T E&amp;G 4YR'!X20*100</f>
        <v>35.982614375080999</v>
      </c>
      <c r="Q22" s="38">
        <f>('RESEARCH 4yr'!X20)/('T E&amp;G 4YR'!X20)*100</f>
        <v>16.949257410150789</v>
      </c>
      <c r="R22" s="38">
        <f>('PUBLIC SERVICE 4yr'!X20)/('T E&amp;G 4YR'!X20)*100</f>
        <v>6.6044493355010419</v>
      </c>
      <c r="S22" s="38">
        <f>('ASptISptSSv 4yr'!X20)/('T E&amp;G 4YR'!X20)*100</f>
        <v>22.526746463230886</v>
      </c>
      <c r="T22" s="39">
        <f>('PLANT OPER MAIN 4yr'!X20)/('T E&amp;G 4YR'!X20)*100</f>
        <v>0</v>
      </c>
      <c r="U22" s="38">
        <f>('SCHOLAR FELLOW 4yr'!X20)/('T E&amp;G 4YR'!X20)*100</f>
        <v>17.471936815798117</v>
      </c>
      <c r="V22" s="37">
        <f>IF((('All Other 4yr'!X20/'T E&amp;G 4YR'!X20)*100)&gt;=0.05,('All Other 4yr'!X20/'T E&amp;G 4YR'!X20)*100,"*")</f>
        <v>0.46499560023816439</v>
      </c>
      <c r="W22" s="36"/>
      <c r="X22" s="28">
        <f t="shared" si="7"/>
        <v>100</v>
      </c>
      <c r="Y22" s="28">
        <f t="shared" si="10"/>
        <v>100</v>
      </c>
      <c r="Z22" s="1"/>
      <c r="AA22" s="1"/>
      <c r="AB22" s="1"/>
      <c r="AC22" s="1"/>
      <c r="AD22" s="1"/>
    </row>
    <row r="23" spans="1:30">
      <c r="A23" s="54" t="s">
        <v>14</v>
      </c>
      <c r="B23" s="54"/>
      <c r="C23" s="63">
        <f>'Instruction-4YR'!AC21/'T E&amp;G 4YR'!AC21*100</f>
        <v>39.442485665531066</v>
      </c>
      <c r="D23" s="63">
        <f>'RESEARCH 4yr'!AC21/'T E&amp;G 4YR'!AC21*100</f>
        <v>10.174945163500228</v>
      </c>
      <c r="E23" s="63">
        <f>'PUBLIC SERVICE 4yr'!AC21/'T E&amp;G 4YR'!AC21*100</f>
        <v>6.2370230496254724</v>
      </c>
      <c r="F23" s="63">
        <f>'ASptISptSSv 4yr'!AC21/'T E&amp;G 4YR'!AC21*100</f>
        <v>24.98777961787939</v>
      </c>
      <c r="G23" s="63">
        <f>'SCHOLAR FELLOW 4yr'!AC21/'T E&amp;G 4YR'!AC21*100</f>
        <v>17.252957565620555</v>
      </c>
      <c r="H23" s="63">
        <f>('All Other 4yr'!AC21/'T E&amp;G 4YR'!AC21)*100</f>
        <v>1.9048089378432866</v>
      </c>
      <c r="I23" s="64">
        <f t="shared" si="1"/>
        <v>1.4909989326230217</v>
      </c>
      <c r="J23" s="63">
        <f t="shared" si="2"/>
        <v>-1.0013570162215455</v>
      </c>
      <c r="K23" s="63">
        <f t="shared" si="3"/>
        <v>-1.1999349761983336</v>
      </c>
      <c r="L23" s="63">
        <f t="shared" si="4"/>
        <v>0.87882545129079404</v>
      </c>
      <c r="M23" s="63">
        <f t="shared" si="5"/>
        <v>-2.0660051526412317</v>
      </c>
      <c r="N23" s="63">
        <f t="shared" si="6"/>
        <v>1.9048089378432866</v>
      </c>
      <c r="O23" s="23"/>
      <c r="P23" s="38">
        <f>('Instruction-4YR'!X21)/'T E&amp;G 4YR'!X21*100</f>
        <v>37.951486732908045</v>
      </c>
      <c r="Q23" s="38">
        <f>('RESEARCH 4yr'!X21)/('T E&amp;G 4YR'!X21)*100</f>
        <v>11.176302179721773</v>
      </c>
      <c r="R23" s="38">
        <f>('PUBLIC SERVICE 4yr'!X21)/('T E&amp;G 4YR'!X21)*100</f>
        <v>7.4369580258238059</v>
      </c>
      <c r="S23" s="38">
        <f>('ASptISptSSv 4yr'!X21)/('T E&amp;G 4YR'!X21)*100</f>
        <v>24.108954166588596</v>
      </c>
      <c r="T23" s="39">
        <f>('PLANT OPER MAIN 4yr'!X21)/('T E&amp;G 4YR'!X21)*100</f>
        <v>0</v>
      </c>
      <c r="U23" s="38">
        <f>('SCHOLAR FELLOW 4yr'!X21)/('T E&amp;G 4YR'!X21)*100</f>
        <v>19.318962718261787</v>
      </c>
      <c r="V23" s="37" t="str">
        <f>IF((('All Other 4yr'!X21/'T E&amp;G 4YR'!X21)*100)&gt;=0.05,('All Other 4yr'!X21/'T E&amp;G 4YR'!X21)*100,"*")</f>
        <v>*</v>
      </c>
      <c r="W23" s="37"/>
      <c r="X23" s="28">
        <f t="shared" si="7"/>
        <v>99.992663823304014</v>
      </c>
      <c r="Y23" s="28">
        <f t="shared" si="10"/>
        <v>100</v>
      </c>
      <c r="Z23" s="1"/>
      <c r="AA23" s="1"/>
      <c r="AB23" s="1"/>
      <c r="AC23" s="1"/>
      <c r="AD23" s="1"/>
    </row>
    <row r="24" spans="1:30">
      <c r="A24" s="54" t="s">
        <v>15</v>
      </c>
      <c r="B24" s="54"/>
      <c r="C24" s="63">
        <f>'Instruction-4YR'!AC22/'T E&amp;G 4YR'!AC22*100</f>
        <v>37.408925595103035</v>
      </c>
      <c r="D24" s="63">
        <f>'RESEARCH 4yr'!AC22/'T E&amp;G 4YR'!AC22*100</f>
        <v>15.223175822456122</v>
      </c>
      <c r="E24" s="63">
        <f>'PUBLIC SERVICE 4yr'!AC22/'T E&amp;G 4YR'!AC22*100</f>
        <v>4.2835651227717912</v>
      </c>
      <c r="F24" s="63">
        <f>'ASptISptSSv 4yr'!AC22/'T E&amp;G 4YR'!AC22*100</f>
        <v>22.183576423878613</v>
      </c>
      <c r="G24" s="63">
        <f>'SCHOLAR FELLOW 4yr'!AC22/'T E&amp;G 4YR'!AC22*100</f>
        <v>12.425479250812815</v>
      </c>
      <c r="H24" s="63">
        <f>('All Other 4yr'!AC22/'T E&amp;G 4YR'!AC22)*100</f>
        <v>8.475277784977612</v>
      </c>
      <c r="I24" s="64">
        <f t="shared" si="1"/>
        <v>-0.64352869741182417</v>
      </c>
      <c r="J24" s="63">
        <f t="shared" si="2"/>
        <v>-1.971738575816099</v>
      </c>
      <c r="K24" s="63">
        <f t="shared" si="3"/>
        <v>-0.51522471723517427</v>
      </c>
      <c r="L24" s="63">
        <f t="shared" si="4"/>
        <v>0.31109804270490926</v>
      </c>
      <c r="M24" s="63">
        <f t="shared" si="5"/>
        <v>-0.14216970148359387</v>
      </c>
      <c r="N24" s="63">
        <f t="shared" si="6"/>
        <v>2.9615636492417723</v>
      </c>
      <c r="O24" s="23"/>
      <c r="P24" s="38">
        <f>('Instruction-4YR'!X22)/'T E&amp;G 4YR'!X22*100</f>
        <v>38.052454292514859</v>
      </c>
      <c r="Q24" s="38">
        <f>('RESEARCH 4yr'!X22)/('T E&amp;G 4YR'!X22)*100</f>
        <v>17.194914398272221</v>
      </c>
      <c r="R24" s="38">
        <f>('PUBLIC SERVICE 4yr'!X22)/('T E&amp;G 4YR'!X22)*100</f>
        <v>4.7987898400069655</v>
      </c>
      <c r="S24" s="38">
        <f>('ASptISptSSv 4yr'!X22)/('T E&amp;G 4YR'!X22)*100</f>
        <v>21.872478381173703</v>
      </c>
      <c r="T24" s="39">
        <f>('PLANT OPER MAIN 4yr'!X22)/('T E&amp;G 4YR'!X22)*100</f>
        <v>0</v>
      </c>
      <c r="U24" s="38">
        <f>('SCHOLAR FELLOW 4yr'!X22)/('T E&amp;G 4YR'!X22)*100</f>
        <v>12.567648952296409</v>
      </c>
      <c r="V24" s="37">
        <f>IF((('All Other 4yr'!X22/'T E&amp;G 4YR'!X22)*100)&gt;=0.05,('All Other 4yr'!X22/'T E&amp;G 4YR'!X22)*100,"*")</f>
        <v>5.5137141357358397</v>
      </c>
      <c r="W24" s="37"/>
      <c r="X24" s="28">
        <f t="shared" si="7"/>
        <v>100</v>
      </c>
      <c r="Y24" s="28">
        <f t="shared" si="10"/>
        <v>99.999999999999986</v>
      </c>
      <c r="Z24" s="1"/>
      <c r="AA24" s="1"/>
      <c r="AB24" s="1"/>
      <c r="AC24" s="1"/>
      <c r="AD24" s="1"/>
    </row>
    <row r="25" spans="1:30">
      <c r="A25" s="54" t="s">
        <v>16</v>
      </c>
      <c r="B25" s="54"/>
      <c r="C25" s="63">
        <f>'Instruction-4YR'!AC23/'T E&amp;G 4YR'!AC23*100</f>
        <v>38.87613072201443</v>
      </c>
      <c r="D25" s="63">
        <f>'RESEARCH 4yr'!AC23/'T E&amp;G 4YR'!AC23*100</f>
        <v>17.756774716109323</v>
      </c>
      <c r="E25" s="63">
        <f>'PUBLIC SERVICE 4yr'!AC23/'T E&amp;G 4YR'!AC23*100</f>
        <v>3.8023560012346378</v>
      </c>
      <c r="F25" s="63">
        <f>'ASptISptSSv 4yr'!AC23/'T E&amp;G 4YR'!AC23*100</f>
        <v>24.161279016134209</v>
      </c>
      <c r="G25" s="63">
        <f>'SCHOLAR FELLOW 4yr'!AC23/'T E&amp;G 4YR'!AC23*100</f>
        <v>14.625713676116264</v>
      </c>
      <c r="H25" s="63">
        <f>('All Other 4yr'!AC23/'T E&amp;G 4YR'!AC23)*100</f>
        <v>0.77774586839113058</v>
      </c>
      <c r="I25" s="64">
        <f t="shared" si="1"/>
        <v>-0.18789965460106828</v>
      </c>
      <c r="J25" s="63">
        <f t="shared" si="2"/>
        <v>-1.6317298650710654</v>
      </c>
      <c r="K25" s="63">
        <f t="shared" si="3"/>
        <v>-0.14179209597456266</v>
      </c>
      <c r="L25" s="63">
        <f t="shared" si="4"/>
        <v>0.77710164699423956</v>
      </c>
      <c r="M25" s="63">
        <f t="shared" si="5"/>
        <v>1.0080565846681466</v>
      </c>
      <c r="N25" s="63">
        <f t="shared" si="6"/>
        <v>0.17626338398431107</v>
      </c>
      <c r="O25" s="23"/>
      <c r="P25" s="38">
        <f>('Instruction-4YR'!X23)/'T E&amp;G 4YR'!X23*100</f>
        <v>39.064030376615499</v>
      </c>
      <c r="Q25" s="38">
        <f>('RESEARCH 4yr'!X23)/('T E&amp;G 4YR'!X23)*100</f>
        <v>19.388504581180388</v>
      </c>
      <c r="R25" s="38">
        <f>('PUBLIC SERVICE 4yr'!X23)/('T E&amp;G 4YR'!X23)*100</f>
        <v>3.9441480972092005</v>
      </c>
      <c r="S25" s="38">
        <f>('ASptISptSSv 4yr'!X23)/('T E&amp;G 4YR'!X23)*100</f>
        <v>23.384177369139969</v>
      </c>
      <c r="T25" s="39">
        <f>('PLANT OPER MAIN 4yr'!X23)/('T E&amp;G 4YR'!X23)*100</f>
        <v>0</v>
      </c>
      <c r="U25" s="38">
        <f>('SCHOLAR FELLOW 4yr'!X23)/('T E&amp;G 4YR'!X23)*100</f>
        <v>13.617657091448118</v>
      </c>
      <c r="V25" s="37">
        <f>IF((('All Other 4yr'!X23/'T E&amp;G 4YR'!X23)*100)&gt;=0.05,('All Other 4yr'!X23/'T E&amp;G 4YR'!X23)*100,"*")</f>
        <v>0.60148248440681951</v>
      </c>
      <c r="W25" s="37"/>
      <c r="X25" s="28">
        <f t="shared" si="7"/>
        <v>100</v>
      </c>
      <c r="Y25" s="28">
        <f t="shared" si="10"/>
        <v>100</v>
      </c>
      <c r="Z25" s="1"/>
      <c r="AA25" s="1"/>
      <c r="AB25" s="1"/>
      <c r="AC25" s="1"/>
      <c r="AD25" s="1"/>
    </row>
    <row r="26" spans="1:30">
      <c r="A26" s="55" t="s">
        <v>17</v>
      </c>
      <c r="B26" s="55"/>
      <c r="C26" s="61">
        <f>'Instruction-4YR'!AC24/'T E&amp;G 4YR'!AC24*100</f>
        <v>32.281236976912012</v>
      </c>
      <c r="D26" s="61">
        <f>'RESEARCH 4yr'!AC24/'T E&amp;G 4YR'!AC24*100</f>
        <v>9.2029255558803378</v>
      </c>
      <c r="E26" s="61">
        <f>'PUBLIC SERVICE 4yr'!AC24/'T E&amp;G 4YR'!AC24*100</f>
        <v>5.2688010913233372</v>
      </c>
      <c r="F26" s="61">
        <f>'ASptISptSSv 4yr'!AC24/'T E&amp;G 4YR'!AC24*100</f>
        <v>22.860459332543396</v>
      </c>
      <c r="G26" s="61">
        <f>'SCHOLAR FELLOW 4yr'!AC24/'T E&amp;G 4YR'!AC24*100</f>
        <v>16.680112716794689</v>
      </c>
      <c r="H26" s="98">
        <f>('All Other 4yr'!AC24/'T E&amp;G 4YR'!AC24)*100</f>
        <v>13.706464326546225</v>
      </c>
      <c r="I26" s="62">
        <f t="shared" si="1"/>
        <v>-4.8637609588917741</v>
      </c>
      <c r="J26" s="61">
        <f t="shared" si="2"/>
        <v>-3.185653145002874</v>
      </c>
      <c r="K26" s="61">
        <f t="shared" si="3"/>
        <v>-1.7031446730244229</v>
      </c>
      <c r="L26" s="61">
        <f t="shared" si="4"/>
        <v>-2.9550185671256592</v>
      </c>
      <c r="M26" s="61">
        <f t="shared" si="5"/>
        <v>1.6444482270703489</v>
      </c>
      <c r="N26" s="61">
        <f t="shared" si="6"/>
        <v>11.063129116974377</v>
      </c>
      <c r="O26" s="23"/>
      <c r="P26" s="38">
        <f>('Instruction-4YR'!X24)/'T E&amp;G 4YR'!X24*100</f>
        <v>37.144997935803787</v>
      </c>
      <c r="Q26" s="38">
        <f>('RESEARCH 4yr'!X24)/('T E&amp;G 4YR'!X24)*100</f>
        <v>12.388578700883212</v>
      </c>
      <c r="R26" s="38">
        <f>('PUBLIC SERVICE 4yr'!X24)/('T E&amp;G 4YR'!X24)*100</f>
        <v>6.97194576434776</v>
      </c>
      <c r="S26" s="38">
        <f>('ASptISptSSv 4yr'!X24)/('T E&amp;G 4YR'!X24)*100</f>
        <v>25.815477899669055</v>
      </c>
      <c r="T26" s="39">
        <f>('PLANT OPER MAIN 4yr'!X24)/('T E&amp;G 4YR'!X24)*100</f>
        <v>0</v>
      </c>
      <c r="U26" s="38">
        <f>('SCHOLAR FELLOW 4yr'!X24)/('T E&amp;G 4YR'!X24)*100</f>
        <v>15.03566448972434</v>
      </c>
      <c r="V26" s="37">
        <f>IF((('All Other 4yr'!X24/'T E&amp;G 4YR'!X24)*100)&gt;=0.05,('All Other 4yr'!X24/'T E&amp;G 4YR'!X24)*100,"*")</f>
        <v>2.6433352095718479</v>
      </c>
      <c r="W26" s="37"/>
      <c r="X26" s="28">
        <f t="shared" si="7"/>
        <v>100</v>
      </c>
      <c r="Y26" s="28">
        <f t="shared" si="10"/>
        <v>100.00000000000001</v>
      </c>
      <c r="Z26" s="1"/>
      <c r="AA26" s="1"/>
      <c r="AB26" s="1"/>
      <c r="AC26" s="1"/>
      <c r="AD26" s="1"/>
    </row>
    <row r="27" spans="1:30">
      <c r="A27" s="54" t="s">
        <v>120</v>
      </c>
      <c r="B27" s="54"/>
      <c r="C27" s="63">
        <f>'Instruction-4YR'!AC25/'T E&amp;G 4YR'!AC25*100</f>
        <v>33.314973785664876</v>
      </c>
      <c r="D27" s="63">
        <f>'RESEARCH 4yr'!AC25/'T E&amp;G 4YR'!AC25*100</f>
        <v>17.162412596842167</v>
      </c>
      <c r="E27" s="63">
        <f>'PUBLIC SERVICE 4yr'!AC25/'T E&amp;G 4YR'!AC25*100</f>
        <v>5.2452420364356565</v>
      </c>
      <c r="F27" s="63">
        <f>'ASptISptSSv 4yr'!AC25/'T E&amp;G 4YR'!AC25*100</f>
        <v>24.937972686400318</v>
      </c>
      <c r="G27" s="63">
        <f>'SCHOLAR FELLOW 4yr'!AC25/'T E&amp;G 4YR'!AC25*100</f>
        <v>13.712563683199575</v>
      </c>
      <c r="H27" s="63">
        <f>('All Other 4yr'!AC25/'T E&amp;G 4YR'!AC25)*100</f>
        <v>5.6268352114574123</v>
      </c>
      <c r="I27" s="64">
        <f t="shared" si="1"/>
        <v>-0.24308098469482076</v>
      </c>
      <c r="J27" s="63">
        <f t="shared" si="2"/>
        <v>-3.9333130918730816</v>
      </c>
      <c r="K27" s="63">
        <f t="shared" si="3"/>
        <v>-0.33125402735647214</v>
      </c>
      <c r="L27" s="63">
        <f t="shared" si="4"/>
        <v>1.0585616634517621</v>
      </c>
      <c r="M27" s="63">
        <f t="shared" si="5"/>
        <v>-0.96331472235413962</v>
      </c>
      <c r="N27" s="63">
        <f t="shared" si="6"/>
        <v>4.4124011628267716</v>
      </c>
      <c r="O27" s="8"/>
      <c r="P27" s="38">
        <f>('Instruction-4YR'!X25)/'T E&amp;G 4YR'!X25*100</f>
        <v>33.558054770359696</v>
      </c>
      <c r="Q27" s="38">
        <f>('RESEARCH 4yr'!X25)/('T E&amp;G 4YR'!X25)*100</f>
        <v>21.095725688715248</v>
      </c>
      <c r="R27" s="38">
        <f>('PUBLIC SERVICE 4yr'!X25)/('T E&amp;G 4YR'!X25)*100</f>
        <v>5.5764960637921286</v>
      </c>
      <c r="S27" s="38">
        <f>('ASptISptSSv 4yr'!X25)/('T E&amp;G 4YR'!X25)*100</f>
        <v>23.879411022948556</v>
      </c>
      <c r="T27" s="39">
        <f>('PLANT OPER MAIN 4yr'!X25)/('T E&amp;G 4YR'!X25)*100</f>
        <v>0</v>
      </c>
      <c r="U27" s="38">
        <f>('SCHOLAR FELLOW 4yr'!X25)/('T E&amp;G 4YR'!X25)*100</f>
        <v>14.675878405553714</v>
      </c>
      <c r="V27" s="37">
        <f>IF((('All Other 4yr'!X25/'T E&amp;G 4YR'!X25)*100)&gt;=0.05,('All Other 4yr'!X25/'T E&amp;G 4YR'!X25)*100,"*")</f>
        <v>1.2144340486306411</v>
      </c>
      <c r="W27" s="8"/>
      <c r="X27" s="28">
        <f t="shared" ref="X27:X67" si="11">SUM(P27:V27)</f>
        <v>99.999999999999986</v>
      </c>
      <c r="Y27" s="28">
        <f t="shared" ref="Y27:Y67" si="12">SUM(C27:H27)</f>
        <v>100.00000000000001</v>
      </c>
      <c r="Z27" s="1"/>
      <c r="AA27" s="1"/>
      <c r="AB27" s="1"/>
      <c r="AC27" s="1"/>
      <c r="AD27" s="1"/>
    </row>
    <row r="28" spans="1:30" s="31" customFormat="1">
      <c r="A28" s="54"/>
      <c r="B28" s="54"/>
      <c r="C28" s="63"/>
      <c r="D28" s="63"/>
      <c r="E28" s="63"/>
      <c r="F28" s="63"/>
      <c r="G28" s="63"/>
      <c r="H28" s="63"/>
      <c r="I28" s="64"/>
      <c r="J28" s="63"/>
      <c r="K28" s="63"/>
      <c r="L28" s="63"/>
      <c r="M28" s="63"/>
      <c r="N28" s="63"/>
      <c r="O28" s="17"/>
      <c r="P28" s="38"/>
      <c r="Q28" s="38"/>
      <c r="R28" s="38"/>
      <c r="S28" s="38"/>
      <c r="T28" s="39"/>
      <c r="U28" s="38"/>
      <c r="V28" s="37"/>
      <c r="W28" s="17"/>
      <c r="X28" s="28"/>
      <c r="Y28" s="28"/>
      <c r="Z28" s="30"/>
    </row>
    <row r="29" spans="1:30" s="31" customFormat="1">
      <c r="A29" s="53" t="s">
        <v>85</v>
      </c>
      <c r="B29" s="53"/>
      <c r="C29" s="65">
        <f>'Instruction-4YR'!AC27/'T E&amp;G 4YR'!AC27*100</f>
        <v>33.04370934602921</v>
      </c>
      <c r="D29" s="65">
        <f>'RESEARCH 4yr'!AC27/'T E&amp;G 4YR'!AC27*100</f>
        <v>21.661696775141202</v>
      </c>
      <c r="E29" s="65">
        <f>'PUBLIC SERVICE 4yr'!AC27/'T E&amp;G 4YR'!AC27*100</f>
        <v>7.7965337653154503</v>
      </c>
      <c r="F29" s="65">
        <f>'ASptISptSSv 4yr'!AC27/'T E&amp;G 4YR'!AC27*100</f>
        <v>29.087560134555694</v>
      </c>
      <c r="G29" s="65">
        <f>'SCHOLAR FELLOW 4yr'!AC27/'T E&amp;G 4YR'!AC27*100</f>
        <v>6.0512081592784455</v>
      </c>
      <c r="H29" s="65">
        <f>('All Other 4yr'!AC27/'T E&amp;G 4YR'!AC27)*100</f>
        <v>2.3592918196799886</v>
      </c>
      <c r="I29" s="66">
        <f t="shared" ref="I29:I42" si="13">IF((C29-P29)=0,(C29-P29),IF((C29-P29)&gt;=0.05,(C29-P29),IF((C29-P29&lt;=-0.05),(C29-P29),"*")))</f>
        <v>-1.1298292784968709</v>
      </c>
      <c r="J29" s="65">
        <f t="shared" ref="J29:J42" si="14">IF((D29-Q29)=0,(D29-Q29),IF((D29-Q29)&gt;=0.05,(D29-Q29),IF((D29-Q29&lt;=-0.05),(D29-Q29),"*")))</f>
        <v>-1.1743607268354559</v>
      </c>
      <c r="K29" s="65">
        <f t="shared" ref="K29:K42" si="15">IF((E29-R29)=0,(E29-R29),IF((E29-R29)&gt;=0.05,(E29-R29),IF((E29-R29&lt;=-0.05),(E29-R29),"*")))</f>
        <v>1.917987646002377</v>
      </c>
      <c r="L29" s="65">
        <f t="shared" ref="L29:L42" si="16">IF((F29-S29)=0,(F29-S29),IF((F29-S29)&gt;=0.05,(F29-S29),IF((F29-S29&lt;=-0.05),(F29-S29),"*")))</f>
        <v>0.30964039479941263</v>
      </c>
      <c r="M29" s="65">
        <f t="shared" ref="M29:M42" si="17">IF((G29-U29)=0,(G29-U29),IF((G29-U29)&gt;=0.05,(G29-U29),IF((G29-U29&lt;=-0.05),(G29-U29),"*")))</f>
        <v>-0.16031442297961274</v>
      </c>
      <c r="N29" s="65">
        <f t="shared" ref="N29:N42" si="18">IF((H29-V29)=0,(H29-V29),IF((H29-V29)&gt;=0.05,(H29-V29),IF((H29-V29&lt;=-0.05),(H29-V29),"*")))</f>
        <v>0.23687638751014006</v>
      </c>
      <c r="O29" s="17"/>
      <c r="P29" s="38">
        <f>('Instruction-4YR'!X27)/'T E&amp;G 4YR'!X27*100</f>
        <v>34.173538624526081</v>
      </c>
      <c r="Q29" s="38">
        <f>('RESEARCH 4yr'!X27)/('T E&amp;G 4YR'!X27)*100</f>
        <v>22.836057501976658</v>
      </c>
      <c r="R29" s="38">
        <f>('PUBLIC SERVICE 4yr'!X27)/('T E&amp;G 4YR'!X27)*100</f>
        <v>5.8785461193130732</v>
      </c>
      <c r="S29" s="38">
        <f>('ASptISptSSv 4yr'!X27)/('T E&amp;G 4YR'!X27)*100</f>
        <v>28.777919739756282</v>
      </c>
      <c r="T29" s="39">
        <f>('PLANT OPER MAIN 4yr'!X27)/('T E&amp;G 4YR'!X27)*100</f>
        <v>0</v>
      </c>
      <c r="U29" s="38">
        <f>('SCHOLAR FELLOW 4yr'!X27)/('T E&amp;G 4YR'!X27)*100</f>
        <v>6.2115225822580582</v>
      </c>
      <c r="V29" s="37">
        <f>IF((('All Other 4yr'!X27/'T E&amp;G 4YR'!X27)*100)&gt;=0.05,('All Other 4yr'!X27/'T E&amp;G 4YR'!X27)*100,"*")</f>
        <v>2.1224154321698485</v>
      </c>
      <c r="W29" s="17"/>
      <c r="X29" s="28">
        <f t="shared" si="11"/>
        <v>100</v>
      </c>
      <c r="Y29" s="28">
        <f t="shared" si="12"/>
        <v>100</v>
      </c>
      <c r="Z29" s="30"/>
    </row>
    <row r="30" spans="1:30" s="31" customFormat="1">
      <c r="A30" s="53" t="s">
        <v>86</v>
      </c>
      <c r="B30" s="53"/>
      <c r="C30" s="65">
        <f>'Instruction-4YR'!AC28/'T E&amp;G 4YR'!AC28*100</f>
        <v>30.328501746183129</v>
      </c>
      <c r="D30" s="65">
        <f>'RESEARCH 4yr'!AC28/'T E&amp;G 4YR'!AC28*100</f>
        <v>15.173546582408036</v>
      </c>
      <c r="E30" s="65">
        <f>'PUBLIC SERVICE 4yr'!AC28/'T E&amp;G 4YR'!AC28*100</f>
        <v>3.2437791755135628</v>
      </c>
      <c r="F30" s="65">
        <f>'ASptISptSSv 4yr'!AC28/'T E&amp;G 4YR'!AC28*100</f>
        <v>26.14468893965493</v>
      </c>
      <c r="G30" s="65">
        <f>'SCHOLAR FELLOW 4yr'!AC28/'T E&amp;G 4YR'!AC28*100</f>
        <v>18.854135552449687</v>
      </c>
      <c r="H30" s="65">
        <f>('All Other 4yr'!AC28/'T E&amp;G 4YR'!AC28)*100</f>
        <v>6.2553480037906493</v>
      </c>
      <c r="I30" s="66">
        <f t="shared" si="13"/>
        <v>-2.9494476116877806</v>
      </c>
      <c r="J30" s="65">
        <f t="shared" si="14"/>
        <v>-4.7519726912392528</v>
      </c>
      <c r="K30" s="65">
        <f t="shared" si="15"/>
        <v>-1.3547732644258668</v>
      </c>
      <c r="L30" s="65">
        <f t="shared" si="16"/>
        <v>1.6818186768238768</v>
      </c>
      <c r="M30" s="65">
        <f t="shared" si="17"/>
        <v>1.3905445161527901</v>
      </c>
      <c r="N30" s="65">
        <f t="shared" si="18"/>
        <v>5.9838303743762227</v>
      </c>
      <c r="O30" s="17"/>
      <c r="P30" s="38">
        <f>('Instruction-4YR'!X28)/'T E&amp;G 4YR'!X28*100</f>
        <v>33.277949357870909</v>
      </c>
      <c r="Q30" s="38">
        <f>('RESEARCH 4yr'!X28)/('T E&amp;G 4YR'!X28)*100</f>
        <v>19.925519273647289</v>
      </c>
      <c r="R30" s="38">
        <f>('PUBLIC SERVICE 4yr'!X28)/('T E&amp;G 4YR'!X28)*100</f>
        <v>4.5985524399394295</v>
      </c>
      <c r="S30" s="38">
        <f>('ASptISptSSv 4yr'!X28)/('T E&amp;G 4YR'!X28)*100</f>
        <v>24.462870262831053</v>
      </c>
      <c r="T30" s="39">
        <f>('PLANT OPER MAIN 4yr'!X28)/('T E&amp;G 4YR'!X28)*100</f>
        <v>0</v>
      </c>
      <c r="U30" s="38">
        <f>('SCHOLAR FELLOW 4yr'!X28)/('T E&amp;G 4YR'!X28)*100</f>
        <v>17.463591036296897</v>
      </c>
      <c r="V30" s="37">
        <f>IF((('All Other 4yr'!X28/'T E&amp;G 4YR'!X28)*100)&gt;=0.05,('All Other 4yr'!X28/'T E&amp;G 4YR'!X28)*100,"*")</f>
        <v>0.27151762941442692</v>
      </c>
      <c r="W30" s="17"/>
      <c r="X30" s="28">
        <f t="shared" si="11"/>
        <v>100</v>
      </c>
      <c r="Y30" s="28">
        <f t="shared" si="12"/>
        <v>99.999999999999986</v>
      </c>
      <c r="Z30" s="30"/>
    </row>
    <row r="31" spans="1:30" s="31" customFormat="1">
      <c r="A31" s="53" t="s">
        <v>87</v>
      </c>
      <c r="B31" s="53"/>
      <c r="C31" s="65">
        <f>'Instruction-4YR'!AC29/'T E&amp;G 4YR'!AC29*100</f>
        <v>33.068257320921582</v>
      </c>
      <c r="D31" s="65">
        <f>'RESEARCH 4yr'!AC29/'T E&amp;G 4YR'!AC29*100</f>
        <v>17.146606775709952</v>
      </c>
      <c r="E31" s="65">
        <f>'PUBLIC SERVICE 4yr'!AC29/'T E&amp;G 4YR'!AC29*100</f>
        <v>2.108726429334006</v>
      </c>
      <c r="F31" s="65">
        <f>'ASptISptSSv 4yr'!AC29/'T E&amp;G 4YR'!AC29*100</f>
        <v>26.566426195917494</v>
      </c>
      <c r="G31" s="65">
        <f>'SCHOLAR FELLOW 4yr'!AC29/'T E&amp;G 4YR'!AC29*100</f>
        <v>15.038982461680412</v>
      </c>
      <c r="H31" s="65">
        <f>('All Other 4yr'!AC29/'T E&amp;G 4YR'!AC29)*100</f>
        <v>6.0710008164365448</v>
      </c>
      <c r="I31" s="66" t="str">
        <f t="shared" si="13"/>
        <v>*</v>
      </c>
      <c r="J31" s="65">
        <f t="shared" si="14"/>
        <v>-3.4052735119401234</v>
      </c>
      <c r="K31" s="65">
        <f t="shared" si="15"/>
        <v>-0.4097390485762995</v>
      </c>
      <c r="L31" s="65">
        <f t="shared" si="16"/>
        <v>0.17631123043117114</v>
      </c>
      <c r="M31" s="65">
        <f t="shared" si="17"/>
        <v>-1.4577493284351029</v>
      </c>
      <c r="N31" s="65">
        <f t="shared" si="18"/>
        <v>5.111404296110992</v>
      </c>
      <c r="O31" s="17"/>
      <c r="P31" s="38">
        <f>('Instruction-4YR'!X29)/'T E&amp;G 4YR'!X29*100</f>
        <v>33.083210958512218</v>
      </c>
      <c r="Q31" s="38">
        <f>('RESEARCH 4yr'!X29)/('T E&amp;G 4YR'!X29)*100</f>
        <v>20.551880287650075</v>
      </c>
      <c r="R31" s="38">
        <f>('PUBLIC SERVICE 4yr'!X29)/('T E&amp;G 4YR'!X29)*100</f>
        <v>2.5184654779103055</v>
      </c>
      <c r="S31" s="38">
        <f>('ASptISptSSv 4yr'!X29)/('T E&amp;G 4YR'!X29)*100</f>
        <v>26.390114965486323</v>
      </c>
      <c r="T31" s="39">
        <f>('PLANT OPER MAIN 4yr'!X29)/('T E&amp;G 4YR'!X29)*100</f>
        <v>0</v>
      </c>
      <c r="U31" s="38">
        <f>('SCHOLAR FELLOW 4yr'!X29)/('T E&amp;G 4YR'!X29)*100</f>
        <v>16.496731790115515</v>
      </c>
      <c r="V31" s="37">
        <f>IF((('All Other 4yr'!X29/'T E&amp;G 4YR'!X29)*100)&gt;=0.05,('All Other 4yr'!X29/'T E&amp;G 4YR'!X29)*100,"*")</f>
        <v>0.95959652032555298</v>
      </c>
      <c r="W31" s="17"/>
      <c r="X31" s="28">
        <f t="shared" si="11"/>
        <v>99.999999999999986</v>
      </c>
      <c r="Y31" s="28">
        <f t="shared" si="12"/>
        <v>99.999999999999972</v>
      </c>
      <c r="Z31" s="30"/>
    </row>
    <row r="32" spans="1:30" s="31" customFormat="1">
      <c r="A32" s="53" t="s">
        <v>88</v>
      </c>
      <c r="B32" s="53"/>
      <c r="C32" s="65">
        <f>'Instruction-4YR'!AC30/'T E&amp;G 4YR'!AC30*100</f>
        <v>35.177724928655834</v>
      </c>
      <c r="D32" s="65">
        <f>'RESEARCH 4yr'!AC30/'T E&amp;G 4YR'!AC30*100</f>
        <v>18.585265923241188</v>
      </c>
      <c r="E32" s="65">
        <f>'PUBLIC SERVICE 4yr'!AC30/'T E&amp;G 4YR'!AC30*100</f>
        <v>4.277360645410381</v>
      </c>
      <c r="F32" s="65">
        <f>'ASptISptSSv 4yr'!AC30/'T E&amp;G 4YR'!AC30*100</f>
        <v>20.548843803212336</v>
      </c>
      <c r="G32" s="65">
        <f>'SCHOLAR FELLOW 4yr'!AC30/'T E&amp;G 4YR'!AC30*100</f>
        <v>10.881828443569448</v>
      </c>
      <c r="H32" s="65">
        <f>('All Other 4yr'!AC30/'T E&amp;G 4YR'!AC30)*100</f>
        <v>10.528976255910811</v>
      </c>
      <c r="I32" s="66">
        <f t="shared" si="13"/>
        <v>-2.8259663215601947</v>
      </c>
      <c r="J32" s="65">
        <f t="shared" si="14"/>
        <v>-4.9056788346060785</v>
      </c>
      <c r="K32" s="65">
        <f t="shared" si="15"/>
        <v>-2.612169474533899</v>
      </c>
      <c r="L32" s="65">
        <f t="shared" si="16"/>
        <v>1.3887077934738521</v>
      </c>
      <c r="M32" s="65">
        <f t="shared" si="17"/>
        <v>-1.0927733640204345</v>
      </c>
      <c r="N32" s="65">
        <f t="shared" si="18"/>
        <v>10.047880201246761</v>
      </c>
      <c r="O32" s="17"/>
      <c r="P32" s="38">
        <f>('Instruction-4YR'!X30)/'T E&amp;G 4YR'!X30*100</f>
        <v>38.003691250216029</v>
      </c>
      <c r="Q32" s="38">
        <f>('RESEARCH 4yr'!X30)/('T E&amp;G 4YR'!X30)*100</f>
        <v>23.490944757847267</v>
      </c>
      <c r="R32" s="38">
        <f>('PUBLIC SERVICE 4yr'!X30)/('T E&amp;G 4YR'!X30)*100</f>
        <v>6.88953011994428</v>
      </c>
      <c r="S32" s="38">
        <f>('ASptISptSSv 4yr'!X30)/('T E&amp;G 4YR'!X30)*100</f>
        <v>19.160136009738483</v>
      </c>
      <c r="T32" s="39">
        <f>('PLANT OPER MAIN 4yr'!X30)/('T E&amp;G 4YR'!X30)*100</f>
        <v>0</v>
      </c>
      <c r="U32" s="38">
        <f>('SCHOLAR FELLOW 4yr'!X30)/('T E&amp;G 4YR'!X30)*100</f>
        <v>11.974601807589883</v>
      </c>
      <c r="V32" s="37">
        <f>IF((('All Other 4yr'!X30/'T E&amp;G 4YR'!X30)*100)&gt;=0.05,('All Other 4yr'!X30/'T E&amp;G 4YR'!X30)*100,"*")</f>
        <v>0.48109605466404953</v>
      </c>
      <c r="W32" s="17"/>
      <c r="X32" s="28">
        <f t="shared" si="11"/>
        <v>99.999999999999986</v>
      </c>
      <c r="Y32" s="28">
        <f t="shared" si="12"/>
        <v>100</v>
      </c>
      <c r="Z32" s="30"/>
    </row>
    <row r="33" spans="1:26" s="31" customFormat="1">
      <c r="A33" s="54" t="s">
        <v>91</v>
      </c>
      <c r="B33" s="54"/>
      <c r="C33" s="63">
        <f>'Instruction-4YR'!AC31/'T E&amp;G 4YR'!AC31*100</f>
        <v>35.735650696370122</v>
      </c>
      <c r="D33" s="63">
        <f>'RESEARCH 4yr'!AC31/'T E&amp;G 4YR'!AC31*100</f>
        <v>21.600190888883041</v>
      </c>
      <c r="E33" s="63">
        <f>'PUBLIC SERVICE 4yr'!AC31/'T E&amp;G 4YR'!AC31*100</f>
        <v>5.50729464135516</v>
      </c>
      <c r="F33" s="63">
        <f>'ASptISptSSv 4yr'!AC31/'T E&amp;G 4YR'!AC31*100</f>
        <v>17.403609074466246</v>
      </c>
      <c r="G33" s="63">
        <f>'SCHOLAR FELLOW 4yr'!AC31/'T E&amp;G 4YR'!AC31*100</f>
        <v>10.991744516262639</v>
      </c>
      <c r="H33" s="63">
        <f>('All Other 4yr'!AC31/'T E&amp;G 4YR'!AC31)*100</f>
        <v>8.7615101826627892</v>
      </c>
      <c r="I33" s="64">
        <f t="shared" si="13"/>
        <v>3.1692034432479588</v>
      </c>
      <c r="J33" s="63">
        <f t="shared" si="14"/>
        <v>-11.659374747687508</v>
      </c>
      <c r="K33" s="63">
        <f t="shared" si="15"/>
        <v>1.3038344429924891</v>
      </c>
      <c r="L33" s="63">
        <f t="shared" si="16"/>
        <v>-0.42978924416007303</v>
      </c>
      <c r="M33" s="63">
        <f t="shared" si="17"/>
        <v>0.85909217946695193</v>
      </c>
      <c r="N33" s="63">
        <f t="shared" si="18"/>
        <v>6.7570339261401928</v>
      </c>
      <c r="O33" s="17"/>
      <c r="P33" s="38">
        <f>('Instruction-4YR'!X31)/'T E&amp;G 4YR'!X31*100</f>
        <v>32.566447253122163</v>
      </c>
      <c r="Q33" s="38">
        <f>('RESEARCH 4yr'!X31)/('T E&amp;G 4YR'!X31)*100</f>
        <v>33.259565636570549</v>
      </c>
      <c r="R33" s="38">
        <f>('PUBLIC SERVICE 4yr'!X31)/('T E&amp;G 4YR'!X31)*100</f>
        <v>4.2034601983626709</v>
      </c>
      <c r="S33" s="38">
        <f>('ASptISptSSv 4yr'!X31)/('T E&amp;G 4YR'!X31)*100</f>
        <v>17.833398318626319</v>
      </c>
      <c r="T33" s="39">
        <f>('PLANT OPER MAIN 4yr'!X31)/('T E&amp;G 4YR'!X31)*100</f>
        <v>0</v>
      </c>
      <c r="U33" s="38">
        <f>('SCHOLAR FELLOW 4yr'!X31)/('T E&amp;G 4YR'!X31)*100</f>
        <v>10.132652336795687</v>
      </c>
      <c r="V33" s="37">
        <f>IF((('All Other 4yr'!X31/'T E&amp;G 4YR'!X31)*100)&gt;=0.05,('All Other 4yr'!X31/'T E&amp;G 4YR'!X31)*100,"*")</f>
        <v>2.0044762565225964</v>
      </c>
      <c r="W33" s="17"/>
      <c r="X33" s="28">
        <f t="shared" si="11"/>
        <v>100</v>
      </c>
      <c r="Y33" s="28">
        <f t="shared" si="12"/>
        <v>100</v>
      </c>
      <c r="Z33" s="30"/>
    </row>
    <row r="34" spans="1:26" s="31" customFormat="1">
      <c r="A34" s="54" t="s">
        <v>92</v>
      </c>
      <c r="B34" s="54"/>
      <c r="C34" s="63">
        <f>'Instruction-4YR'!AC32/'T E&amp;G 4YR'!AC32*100</f>
        <v>37.871249638018931</v>
      </c>
      <c r="D34" s="63">
        <f>'RESEARCH 4yr'!AC32/'T E&amp;G 4YR'!AC32*100</f>
        <v>12.813745142728184</v>
      </c>
      <c r="E34" s="63">
        <f>'PUBLIC SERVICE 4yr'!AC32/'T E&amp;G 4YR'!AC32*100</f>
        <v>5.934680696721955</v>
      </c>
      <c r="F34" s="63">
        <f>'ASptISptSSv 4yr'!AC32/'T E&amp;G 4YR'!AC32*100</f>
        <v>24.995707194970414</v>
      </c>
      <c r="G34" s="63">
        <f>'SCHOLAR FELLOW 4yr'!AC32/'T E&amp;G 4YR'!AC32*100</f>
        <v>14.112570204633185</v>
      </c>
      <c r="H34" s="63">
        <f>('All Other 4yr'!AC32/'T E&amp;G 4YR'!AC32)*100</f>
        <v>4.2720471229273436</v>
      </c>
      <c r="I34" s="64">
        <f t="shared" si="13"/>
        <v>0.27203704414807106</v>
      </c>
      <c r="J34" s="63">
        <f t="shared" si="14"/>
        <v>-2.3600453304124738</v>
      </c>
      <c r="K34" s="63">
        <f t="shared" si="15"/>
        <v>-0.20878512058839149</v>
      </c>
      <c r="L34" s="63">
        <f t="shared" si="16"/>
        <v>2.9607864918550284</v>
      </c>
      <c r="M34" s="63">
        <f t="shared" si="17"/>
        <v>-2.8763199155291854</v>
      </c>
      <c r="N34" s="63">
        <f t="shared" si="18"/>
        <v>2.2123268305269583</v>
      </c>
      <c r="O34" s="17"/>
      <c r="P34" s="38">
        <f>('Instruction-4YR'!X32)/'T E&amp;G 4YR'!X32*100</f>
        <v>37.59921259387086</v>
      </c>
      <c r="Q34" s="38">
        <f>('RESEARCH 4yr'!X32)/('T E&amp;G 4YR'!X32)*100</f>
        <v>15.173790473140658</v>
      </c>
      <c r="R34" s="38">
        <f>('PUBLIC SERVICE 4yr'!X32)/('T E&amp;G 4YR'!X32)*100</f>
        <v>6.1434658173103465</v>
      </c>
      <c r="S34" s="38">
        <f>('ASptISptSSv 4yr'!X32)/('T E&amp;G 4YR'!X32)*100</f>
        <v>22.034920703115386</v>
      </c>
      <c r="T34" s="39">
        <f>('PLANT OPER MAIN 4yr'!X32)/('T E&amp;G 4YR'!X32)*100</f>
        <v>0</v>
      </c>
      <c r="U34" s="38">
        <f>('SCHOLAR FELLOW 4yr'!X32)/('T E&amp;G 4YR'!X32)*100</f>
        <v>16.98889012016237</v>
      </c>
      <c r="V34" s="37">
        <f>IF((('All Other 4yr'!X32/'T E&amp;G 4YR'!X32)*100)&gt;=0.05,('All Other 4yr'!X32/'T E&amp;G 4YR'!X32)*100,"*")</f>
        <v>2.0597202924003852</v>
      </c>
      <c r="W34" s="17"/>
      <c r="X34" s="28">
        <f t="shared" si="11"/>
        <v>100</v>
      </c>
      <c r="Y34" s="28">
        <f t="shared" si="12"/>
        <v>100.00000000000003</v>
      </c>
      <c r="Z34" s="30"/>
    </row>
    <row r="35" spans="1:26" s="31" customFormat="1">
      <c r="A35" s="54" t="s">
        <v>100</v>
      </c>
      <c r="B35" s="54"/>
      <c r="C35" s="63">
        <f>'Instruction-4YR'!AC33/'T E&amp;G 4YR'!AC33*100</f>
        <v>30.940466167788433</v>
      </c>
      <c r="D35" s="63">
        <f>'RESEARCH 4yr'!AC33/'T E&amp;G 4YR'!AC33*100</f>
        <v>21.946633444514713</v>
      </c>
      <c r="E35" s="63">
        <f>'PUBLIC SERVICE 4yr'!AC33/'T E&amp;G 4YR'!AC33*100</f>
        <v>7.5402850507245986</v>
      </c>
      <c r="F35" s="63">
        <f>'ASptISptSSv 4yr'!AC33/'T E&amp;G 4YR'!AC33*100</f>
        <v>25.643550063259042</v>
      </c>
      <c r="G35" s="63">
        <f>'SCHOLAR FELLOW 4yr'!AC33/'T E&amp;G 4YR'!AC33*100</f>
        <v>12.40073849922465</v>
      </c>
      <c r="H35" s="63">
        <f>('All Other 4yr'!AC33/'T E&amp;G 4YR'!AC33)*100</f>
        <v>1.5283267744885658</v>
      </c>
      <c r="I35" s="64">
        <f t="shared" si="13"/>
        <v>0.48322115097898077</v>
      </c>
      <c r="J35" s="63">
        <f t="shared" si="14"/>
        <v>-0.86913476969294479</v>
      </c>
      <c r="K35" s="63">
        <f t="shared" si="15"/>
        <v>1.4426951191144468</v>
      </c>
      <c r="L35" s="63" t="str">
        <f t="shared" si="16"/>
        <v>*</v>
      </c>
      <c r="M35" s="63">
        <f t="shared" si="17"/>
        <v>-2.1308914809712789</v>
      </c>
      <c r="N35" s="63">
        <f t="shared" si="18"/>
        <v>1.0803866689003621</v>
      </c>
      <c r="O35" s="17"/>
      <c r="P35" s="38">
        <f>('Instruction-4YR'!X33)/'T E&amp;G 4YR'!X33*100</f>
        <v>30.457245016809452</v>
      </c>
      <c r="Q35" s="38">
        <f>('RESEARCH 4yr'!X33)/('T E&amp;G 4YR'!X33)*100</f>
        <v>22.815768214207658</v>
      </c>
      <c r="R35" s="38">
        <f>('PUBLIC SERVICE 4yr'!X33)/('T E&amp;G 4YR'!X33)*100</f>
        <v>6.0975899316101518</v>
      </c>
      <c r="S35" s="38">
        <f>('ASptISptSSv 4yr'!X33)/('T E&amp;G 4YR'!X33)*100</f>
        <v>25.649826751588606</v>
      </c>
      <c r="T35" s="39">
        <f>('PLANT OPER MAIN 4yr'!X33)/('T E&amp;G 4YR'!X33)*100</f>
        <v>0</v>
      </c>
      <c r="U35" s="38">
        <f>('SCHOLAR FELLOW 4yr'!X33)/('T E&amp;G 4YR'!X33)*100</f>
        <v>14.531629980195929</v>
      </c>
      <c r="V35" s="37">
        <f>IF((('All Other 4yr'!X33/'T E&amp;G 4YR'!X33)*100)&gt;=0.05,('All Other 4yr'!X33/'T E&amp;G 4YR'!X33)*100,"*")</f>
        <v>0.44794010558820369</v>
      </c>
      <c r="W35" s="17"/>
      <c r="X35" s="28">
        <f t="shared" si="11"/>
        <v>100</v>
      </c>
      <c r="Y35" s="28">
        <f t="shared" si="12"/>
        <v>100</v>
      </c>
      <c r="Z35" s="30"/>
    </row>
    <row r="36" spans="1:26" s="31" customFormat="1">
      <c r="A36" s="54" t="s">
        <v>102</v>
      </c>
      <c r="B36" s="54"/>
      <c r="C36" s="63">
        <f>'Instruction-4YR'!AC34/'T E&amp;G 4YR'!AC34*100</f>
        <v>40.933172541021115</v>
      </c>
      <c r="D36" s="63">
        <f>'RESEARCH 4yr'!AC34/'T E&amp;G 4YR'!AC34*100</f>
        <v>9.8787793843699436</v>
      </c>
      <c r="E36" s="63">
        <f>'PUBLIC SERVICE 4yr'!AC34/'T E&amp;G 4YR'!AC34*100</f>
        <v>5.3653796848016038</v>
      </c>
      <c r="F36" s="63">
        <f>'ASptISptSSv 4yr'!AC34/'T E&amp;G 4YR'!AC34*100</f>
        <v>29.479901360603257</v>
      </c>
      <c r="G36" s="63">
        <f>'SCHOLAR FELLOW 4yr'!AC34/'T E&amp;G 4YR'!AC34*100</f>
        <v>12.519241489461413</v>
      </c>
      <c r="H36" s="63">
        <f>('All Other 4yr'!AC34/'T E&amp;G 4YR'!AC34)*100</f>
        <v>1.8235255397426684</v>
      </c>
      <c r="I36" s="64">
        <f t="shared" si="13"/>
        <v>-2.3256234516457752</v>
      </c>
      <c r="J36" s="63">
        <f t="shared" si="14"/>
        <v>-0.59296488187509944</v>
      </c>
      <c r="K36" s="63">
        <f t="shared" si="15"/>
        <v>-0.62021699549977249</v>
      </c>
      <c r="L36" s="63">
        <f t="shared" si="16"/>
        <v>3.4405707014884896</v>
      </c>
      <c r="M36" s="63">
        <f t="shared" si="17"/>
        <v>-0.4637139872444962</v>
      </c>
      <c r="N36" s="63">
        <f t="shared" si="18"/>
        <v>0.56194861477666347</v>
      </c>
      <c r="O36" s="17"/>
      <c r="P36" s="38">
        <f>('Instruction-4YR'!X34)/'T E&amp;G 4YR'!X34*100</f>
        <v>43.25879599266689</v>
      </c>
      <c r="Q36" s="38">
        <f>('RESEARCH 4yr'!X34)/('T E&amp;G 4YR'!X34)*100</f>
        <v>10.471744266245043</v>
      </c>
      <c r="R36" s="38">
        <f>('PUBLIC SERVICE 4yr'!X34)/('T E&amp;G 4YR'!X34)*100</f>
        <v>5.9855966803013763</v>
      </c>
      <c r="S36" s="38">
        <f>('ASptISptSSv 4yr'!X34)/('T E&amp;G 4YR'!X34)*100</f>
        <v>26.039330659114768</v>
      </c>
      <c r="T36" s="39">
        <f>('PLANT OPER MAIN 4yr'!X34)/('T E&amp;G 4YR'!X34)*100</f>
        <v>0</v>
      </c>
      <c r="U36" s="38">
        <f>('SCHOLAR FELLOW 4yr'!X34)/('T E&amp;G 4YR'!X34)*100</f>
        <v>12.982955476705909</v>
      </c>
      <c r="V36" s="37">
        <f>IF((('All Other 4yr'!X34/'T E&amp;G 4YR'!X34)*100)&gt;=0.05,('All Other 4yr'!X34/'T E&amp;G 4YR'!X34)*100,"*")</f>
        <v>1.2615769249660049</v>
      </c>
      <c r="W36" s="17"/>
      <c r="X36" s="28">
        <f t="shared" si="11"/>
        <v>99.999999999999986</v>
      </c>
      <c r="Y36" s="28">
        <f t="shared" si="12"/>
        <v>100</v>
      </c>
      <c r="Z36" s="30"/>
    </row>
    <row r="37" spans="1:26" s="31" customFormat="1">
      <c r="A37" s="53" t="s">
        <v>105</v>
      </c>
      <c r="B37" s="53"/>
      <c r="C37" s="65">
        <f>'Instruction-4YR'!AC35/'T E&amp;G 4YR'!AC35*100</f>
        <v>24.761717594610495</v>
      </c>
      <c r="D37" s="65">
        <f>'RESEARCH 4yr'!AC35/'T E&amp;G 4YR'!AC35*100</f>
        <v>17.389521265481445</v>
      </c>
      <c r="E37" s="65">
        <f>'PUBLIC SERVICE 4yr'!AC35/'T E&amp;G 4YR'!AC35*100</f>
        <v>25.026111532045363</v>
      </c>
      <c r="F37" s="65">
        <f>'ASptISptSSv 4yr'!AC35/'T E&amp;G 4YR'!AC35*100</f>
        <v>13.713204108020701</v>
      </c>
      <c r="G37" s="65">
        <f>'SCHOLAR FELLOW 4yr'!AC35/'T E&amp;G 4YR'!AC35*100</f>
        <v>10.061306989370088</v>
      </c>
      <c r="H37" s="65">
        <f>('All Other 4yr'!AC35/'T E&amp;G 4YR'!AC35)*100</f>
        <v>9.0481385104719081</v>
      </c>
      <c r="I37" s="66">
        <f t="shared" si="13"/>
        <v>-7.4004046743954888E-2</v>
      </c>
      <c r="J37" s="65">
        <f t="shared" si="14"/>
        <v>-4.3538346779387602</v>
      </c>
      <c r="K37" s="65">
        <f t="shared" si="15"/>
        <v>4.350900508126859</v>
      </c>
      <c r="L37" s="65">
        <f t="shared" si="16"/>
        <v>-0.54254237923720972</v>
      </c>
      <c r="M37" s="65">
        <f t="shared" si="17"/>
        <v>-1.2823830987634501</v>
      </c>
      <c r="N37" s="65">
        <f t="shared" si="18"/>
        <v>1.9018636945565257</v>
      </c>
      <c r="O37" s="17"/>
      <c r="P37" s="38">
        <f>('Instruction-4YR'!X35)/'T E&amp;G 4YR'!X35*100</f>
        <v>24.83572164135445</v>
      </c>
      <c r="Q37" s="38">
        <f>('RESEARCH 4yr'!X35)/('T E&amp;G 4YR'!X35)*100</f>
        <v>21.743355943420205</v>
      </c>
      <c r="R37" s="38">
        <f>('PUBLIC SERVICE 4yr'!X35)/('T E&amp;G 4YR'!X35)*100</f>
        <v>20.675211023918504</v>
      </c>
      <c r="S37" s="38">
        <f>('ASptISptSSv 4yr'!X35)/('T E&amp;G 4YR'!X35)*100</f>
        <v>14.255746487257911</v>
      </c>
      <c r="T37" s="39">
        <f>('PLANT OPER MAIN 4yr'!X35)/('T E&amp;G 4YR'!X35)*100</f>
        <v>0</v>
      </c>
      <c r="U37" s="38">
        <f>('SCHOLAR FELLOW 4yr'!X35)/('T E&amp;G 4YR'!X35)*100</f>
        <v>11.343690088133538</v>
      </c>
      <c r="V37" s="37">
        <f>IF((('All Other 4yr'!X35/'T E&amp;G 4YR'!X35)*100)&gt;=0.05,('All Other 4yr'!X35/'T E&amp;G 4YR'!X35)*100,"*")</f>
        <v>7.1462748159153824</v>
      </c>
      <c r="W37" s="17"/>
      <c r="X37" s="28">
        <f t="shared" si="11"/>
        <v>99.999999999999986</v>
      </c>
      <c r="Y37" s="28">
        <f t="shared" si="12"/>
        <v>100</v>
      </c>
      <c r="Z37" s="30"/>
    </row>
    <row r="38" spans="1:26" s="31" customFormat="1">
      <c r="A38" s="53" t="s">
        <v>109</v>
      </c>
      <c r="B38" s="53"/>
      <c r="C38" s="65">
        <f>'Instruction-4YR'!AC36/'T E&amp;G 4YR'!AC36*100</f>
        <v>33.359588346900146</v>
      </c>
      <c r="D38" s="65">
        <f>'RESEARCH 4yr'!AC36/'T E&amp;G 4YR'!AC36*100</f>
        <v>17.148857216797126</v>
      </c>
      <c r="E38" s="65">
        <f>'PUBLIC SERVICE 4yr'!AC36/'T E&amp;G 4YR'!AC36*100</f>
        <v>7.6432780372234888</v>
      </c>
      <c r="F38" s="65">
        <f>'ASptISptSSv 4yr'!AC36/'T E&amp;G 4YR'!AC36*100</f>
        <v>28.725529338920598</v>
      </c>
      <c r="G38" s="65">
        <f>'SCHOLAR FELLOW 4yr'!AC36/'T E&amp;G 4YR'!AC36*100</f>
        <v>9.7330282243509831</v>
      </c>
      <c r="H38" s="65">
        <f>('All Other 4yr'!AC36/'T E&amp;G 4YR'!AC36)*100</f>
        <v>3.3897188358076589</v>
      </c>
      <c r="I38" s="66">
        <f t="shared" si="13"/>
        <v>-0.63055097294631679</v>
      </c>
      <c r="J38" s="65">
        <f t="shared" si="14"/>
        <v>-4.3668230746708545</v>
      </c>
      <c r="K38" s="65">
        <f t="shared" si="15"/>
        <v>0.28938400690607669</v>
      </c>
      <c r="L38" s="65">
        <f t="shared" si="16"/>
        <v>3.9979617857669574</v>
      </c>
      <c r="M38" s="65">
        <f t="shared" si="17"/>
        <v>-0.97869135380016381</v>
      </c>
      <c r="N38" s="65">
        <f t="shared" si="18"/>
        <v>1.6887196087443039</v>
      </c>
      <c r="O38" s="17"/>
      <c r="P38" s="38">
        <f>('Instruction-4YR'!X36)/'T E&amp;G 4YR'!X36*100</f>
        <v>33.990139319846463</v>
      </c>
      <c r="Q38" s="38">
        <f>('RESEARCH 4yr'!X36)/('T E&amp;G 4YR'!X36)*100</f>
        <v>21.51568029146798</v>
      </c>
      <c r="R38" s="38">
        <f>('PUBLIC SERVICE 4yr'!X36)/('T E&amp;G 4YR'!X36)*100</f>
        <v>7.3538940303174121</v>
      </c>
      <c r="S38" s="38">
        <f>('ASptISptSSv 4yr'!X36)/('T E&amp;G 4YR'!X36)*100</f>
        <v>24.727567553153641</v>
      </c>
      <c r="T38" s="39">
        <f>('PLANT OPER MAIN 4yr'!X36)/('T E&amp;G 4YR'!X36)*100</f>
        <v>0</v>
      </c>
      <c r="U38" s="38">
        <f>('SCHOLAR FELLOW 4yr'!X36)/('T E&amp;G 4YR'!X36)*100</f>
        <v>10.711719578151147</v>
      </c>
      <c r="V38" s="37">
        <f>IF((('All Other 4yr'!X36/'T E&amp;G 4YR'!X36)*100)&gt;=0.05,('All Other 4yr'!X36/'T E&amp;G 4YR'!X36)*100,"*")</f>
        <v>1.7009992270633549</v>
      </c>
      <c r="W38" s="17"/>
      <c r="X38" s="28">
        <f t="shared" si="11"/>
        <v>100</v>
      </c>
      <c r="Y38" s="28">
        <f t="shared" si="12"/>
        <v>100</v>
      </c>
      <c r="Z38" s="30"/>
    </row>
    <row r="39" spans="1:26" s="31" customFormat="1">
      <c r="A39" s="53" t="s">
        <v>113</v>
      </c>
      <c r="B39" s="53"/>
      <c r="C39" s="65">
        <f>'Instruction-4YR'!AC37/'T E&amp;G 4YR'!AC37*100</f>
        <v>27.298165588345636</v>
      </c>
      <c r="D39" s="65">
        <f>'RESEARCH 4yr'!AC37/'T E&amp;G 4YR'!AC37*100</f>
        <v>13.28408002515873</v>
      </c>
      <c r="E39" s="65">
        <f>'PUBLIC SERVICE 4yr'!AC37/'T E&amp;G 4YR'!AC37*100</f>
        <v>25.172721643528075</v>
      </c>
      <c r="F39" s="65">
        <f>'ASptISptSSv 4yr'!AC37/'T E&amp;G 4YR'!AC37*100</f>
        <v>20.590836314485966</v>
      </c>
      <c r="G39" s="65">
        <f>'SCHOLAR FELLOW 4yr'!AC37/'T E&amp;G 4YR'!AC37*100</f>
        <v>10.63427981200196</v>
      </c>
      <c r="H39" s="65">
        <f>('All Other 4yr'!AC37/'T E&amp;G 4YR'!AC37)*100</f>
        <v>3.0199166164796436</v>
      </c>
      <c r="I39" s="66">
        <f t="shared" si="13"/>
        <v>6.8372295096796876E-2</v>
      </c>
      <c r="J39" s="65">
        <f t="shared" si="14"/>
        <v>-1.8763724066075529</v>
      </c>
      <c r="K39" s="65">
        <f t="shared" si="15"/>
        <v>1.8271442086457483</v>
      </c>
      <c r="L39" s="65">
        <f t="shared" si="16"/>
        <v>0.96391806647198308</v>
      </c>
      <c r="M39" s="65">
        <f t="shared" si="17"/>
        <v>-2.2078045558945654</v>
      </c>
      <c r="N39" s="65">
        <f t="shared" si="18"/>
        <v>1.224742392287596</v>
      </c>
      <c r="O39" s="17"/>
      <c r="P39" s="38">
        <f>('Instruction-4YR'!X37)/'T E&amp;G 4YR'!X37*100</f>
        <v>27.229793293248839</v>
      </c>
      <c r="Q39" s="38">
        <f>('RESEARCH 4yr'!X37)/('T E&amp;G 4YR'!X37)*100</f>
        <v>15.160452431766283</v>
      </c>
      <c r="R39" s="38">
        <f>('PUBLIC SERVICE 4yr'!X37)/('T E&amp;G 4YR'!X37)*100</f>
        <v>23.345577434882326</v>
      </c>
      <c r="S39" s="38">
        <f>('ASptISptSSv 4yr'!X37)/('T E&amp;G 4YR'!X37)*100</f>
        <v>19.626918248013983</v>
      </c>
      <c r="T39" s="39">
        <f>('PLANT OPER MAIN 4yr'!X37)/('T E&amp;G 4YR'!X37)*100</f>
        <v>0</v>
      </c>
      <c r="U39" s="38">
        <f>('SCHOLAR FELLOW 4yr'!X37)/('T E&amp;G 4YR'!X37)*100</f>
        <v>12.842084367896526</v>
      </c>
      <c r="V39" s="37">
        <f>IF((('All Other 4yr'!X37/'T E&amp;G 4YR'!X37)*100)&gt;=0.05,('All Other 4yr'!X37/'T E&amp;G 4YR'!X37)*100,"*")</f>
        <v>1.7951742241920476</v>
      </c>
      <c r="W39" s="17"/>
      <c r="X39" s="28">
        <f t="shared" si="11"/>
        <v>100.00000000000001</v>
      </c>
      <c r="Y39" s="28">
        <f t="shared" si="12"/>
        <v>100.00000000000003</v>
      </c>
      <c r="Z39" s="30"/>
    </row>
    <row r="40" spans="1:26" s="31" customFormat="1">
      <c r="A40" s="53" t="s">
        <v>115</v>
      </c>
      <c r="B40" s="53"/>
      <c r="C40" s="65">
        <f>'Instruction-4YR'!AC38/'T E&amp;G 4YR'!AC38*100</f>
        <v>39.969776495680648</v>
      </c>
      <c r="D40" s="65">
        <f>'RESEARCH 4yr'!AC38/'T E&amp;G 4YR'!AC38*100</f>
        <v>20.527695299414432</v>
      </c>
      <c r="E40" s="65">
        <f>'PUBLIC SERVICE 4yr'!AC38/'T E&amp;G 4YR'!AC38*100</f>
        <v>2.046200000327568</v>
      </c>
      <c r="F40" s="65">
        <f>'ASptISptSSv 4yr'!AC38/'T E&amp;G 4YR'!AC38*100</f>
        <v>24.035464765141175</v>
      </c>
      <c r="G40" s="65">
        <f>'SCHOLAR FELLOW 4yr'!AC38/'T E&amp;G 4YR'!AC38*100</f>
        <v>12.67921448391975</v>
      </c>
      <c r="H40" s="65">
        <f>('All Other 4yr'!AC38/'T E&amp;G 4YR'!AC38)*100</f>
        <v>0.74164895551643073</v>
      </c>
      <c r="I40" s="66">
        <f t="shared" si="13"/>
        <v>2.8179415443269633</v>
      </c>
      <c r="J40" s="65">
        <f t="shared" si="14"/>
        <v>-5.7058860811073941</v>
      </c>
      <c r="K40" s="65">
        <f t="shared" si="15"/>
        <v>0.13485493004634819</v>
      </c>
      <c r="L40" s="65">
        <f t="shared" si="16"/>
        <v>2.934168336433526</v>
      </c>
      <c r="M40" s="65">
        <f t="shared" si="17"/>
        <v>-0.4078479747085062</v>
      </c>
      <c r="N40" s="65">
        <f t="shared" si="18"/>
        <v>0.22676924500906659</v>
      </c>
      <c r="O40" s="17"/>
      <c r="P40" s="38">
        <f>('Instruction-4YR'!X38)/'T E&amp;G 4YR'!X38*100</f>
        <v>37.151834951353685</v>
      </c>
      <c r="Q40" s="38">
        <f>('RESEARCH 4yr'!X38)/('T E&amp;G 4YR'!X38)*100</f>
        <v>26.233581380521827</v>
      </c>
      <c r="R40" s="38">
        <f>('PUBLIC SERVICE 4yr'!X38)/('T E&amp;G 4YR'!X38)*100</f>
        <v>1.9113450702812198</v>
      </c>
      <c r="S40" s="38">
        <f>('ASptISptSSv 4yr'!X38)/('T E&amp;G 4YR'!X38)*100</f>
        <v>21.101296428707649</v>
      </c>
      <c r="T40" s="39">
        <f>('PLANT OPER MAIN 4yr'!X38)/('T E&amp;G 4YR'!X38)*100</f>
        <v>0</v>
      </c>
      <c r="U40" s="38">
        <f>('SCHOLAR FELLOW 4yr'!X38)/('T E&amp;G 4YR'!X38)*100</f>
        <v>13.087062458628257</v>
      </c>
      <c r="V40" s="37">
        <f>IF((('All Other 4yr'!X38/'T E&amp;G 4YR'!X38)*100)&gt;=0.05,('All Other 4yr'!X38/'T E&amp;G 4YR'!X38)*100,"*")</f>
        <v>0.51487971050736414</v>
      </c>
      <c r="W40" s="17"/>
      <c r="X40" s="28">
        <f t="shared" si="11"/>
        <v>100</v>
      </c>
      <c r="Y40" s="28">
        <f t="shared" si="12"/>
        <v>100</v>
      </c>
      <c r="Z40" s="30"/>
    </row>
    <row r="41" spans="1:26" s="31" customFormat="1">
      <c r="A41" s="56" t="s">
        <v>117</v>
      </c>
      <c r="B41" s="56"/>
      <c r="C41" s="67">
        <f>'Instruction-4YR'!AC39/'T E&amp;G 4YR'!AC39*100</f>
        <v>33.713919532360315</v>
      </c>
      <c r="D41" s="67">
        <f>'RESEARCH 4yr'!AC39/'T E&amp;G 4YR'!AC39*100</f>
        <v>15.439837365094419</v>
      </c>
      <c r="E41" s="67">
        <f>'PUBLIC SERVICE 4yr'!AC39/'T E&amp;G 4YR'!AC39*100</f>
        <v>8.1818094618309587</v>
      </c>
      <c r="F41" s="67">
        <f>'ASptISptSSv 4yr'!AC39/'T E&amp;G 4YR'!AC39*100</f>
        <v>22.635767214995852</v>
      </c>
      <c r="G41" s="67">
        <f>'SCHOLAR FELLOW 4yr'!AC39/'T E&amp;G 4YR'!AC39*100</f>
        <v>11.456219819262534</v>
      </c>
      <c r="H41" s="99">
        <f>('All Other 4yr'!AC39/'T E&amp;G 4YR'!AC39)*100</f>
        <v>8.5724466064559284</v>
      </c>
      <c r="I41" s="68">
        <f t="shared" si="13"/>
        <v>-3.6696537348617042</v>
      </c>
      <c r="J41" s="67">
        <f t="shared" si="14"/>
        <v>-4.953567787827609</v>
      </c>
      <c r="K41" s="67">
        <f t="shared" si="15"/>
        <v>0.19196385860190368</v>
      </c>
      <c r="L41" s="67">
        <f t="shared" si="16"/>
        <v>0.19142325739409571</v>
      </c>
      <c r="M41" s="67">
        <f t="shared" si="17"/>
        <v>-0.33261219976260747</v>
      </c>
      <c r="N41" s="67">
        <f t="shared" si="18"/>
        <v>8.5724466064559284</v>
      </c>
      <c r="O41" s="17"/>
      <c r="P41" s="38">
        <f>('Instruction-4YR'!X39)/'T E&amp;G 4YR'!X39*100</f>
        <v>37.383573267222019</v>
      </c>
      <c r="Q41" s="38">
        <f>('RESEARCH 4yr'!X39)/('T E&amp;G 4YR'!X39)*100</f>
        <v>20.393405152922028</v>
      </c>
      <c r="R41" s="38">
        <f>('PUBLIC SERVICE 4yr'!X39)/('T E&amp;G 4YR'!X39)*100</f>
        <v>7.989845603229055</v>
      </c>
      <c r="S41" s="38">
        <f>('ASptISptSSv 4yr'!X39)/('T E&amp;G 4YR'!X39)*100</f>
        <v>22.444343957601756</v>
      </c>
      <c r="T41" s="39">
        <f>('PLANT OPER MAIN 4yr'!X39)/('T E&amp;G 4YR'!X39)*100</f>
        <v>0</v>
      </c>
      <c r="U41" s="38">
        <f>('SCHOLAR FELLOW 4yr'!X39)/('T E&amp;G 4YR'!X39)*100</f>
        <v>11.788832019025142</v>
      </c>
      <c r="V41" s="37" t="str">
        <f>IF((('All Other 4yr'!X39/'T E&amp;G 4YR'!X39)*100)&gt;=0.05,('All Other 4yr'!X39/'T E&amp;G 4YR'!X39)*100,"*")</f>
        <v>*</v>
      </c>
      <c r="W41" s="17"/>
      <c r="X41" s="28">
        <f t="shared" si="11"/>
        <v>100</v>
      </c>
      <c r="Y41" s="28">
        <f t="shared" si="12"/>
        <v>100</v>
      </c>
      <c r="Z41" s="30"/>
    </row>
    <row r="42" spans="1:26" s="31" customFormat="1">
      <c r="A42" s="54" t="s">
        <v>121</v>
      </c>
      <c r="B42" s="54"/>
      <c r="C42" s="63">
        <f>'Instruction-4YR'!AC40/'T E&amp;G 4YR'!AC40*100</f>
        <v>36.520975353482214</v>
      </c>
      <c r="D42" s="63">
        <f>'RESEARCH 4yr'!AC40/'T E&amp;G 4YR'!AC40*100</f>
        <v>15.388981499530638</v>
      </c>
      <c r="E42" s="63">
        <f>'PUBLIC SERVICE 4yr'!AC40/'T E&amp;G 4YR'!AC40*100</f>
        <v>6.6130885675698634</v>
      </c>
      <c r="F42" s="63">
        <f>'ASptISptSSv 4yr'!AC40/'T E&amp;G 4YR'!AC40*100</f>
        <v>24.962218365159796</v>
      </c>
      <c r="G42" s="63">
        <f>'SCHOLAR FELLOW 4yr'!AC40/'T E&amp;G 4YR'!AC40*100</f>
        <v>13.155565589757728</v>
      </c>
      <c r="H42" s="63">
        <f>('All Other 4yr'!AC40/'T E&amp;G 4YR'!AC40)*100</f>
        <v>3.3591706244997641</v>
      </c>
      <c r="I42" s="64">
        <f t="shared" si="13"/>
        <v>-0.70274591563632782</v>
      </c>
      <c r="J42" s="63">
        <f t="shared" si="14"/>
        <v>-1.675507604988157</v>
      </c>
      <c r="K42" s="63">
        <f t="shared" si="15"/>
        <v>-0.44945739791932482</v>
      </c>
      <c r="L42" s="63">
        <f t="shared" si="16"/>
        <v>0.4198358266067963</v>
      </c>
      <c r="M42" s="63">
        <f t="shared" si="17"/>
        <v>0.20474424125877277</v>
      </c>
      <c r="N42" s="63">
        <f t="shared" si="18"/>
        <v>2.2031308506782579</v>
      </c>
      <c r="O42" s="17"/>
      <c r="P42" s="38">
        <f>('Instruction-4YR'!X40)/'T E&amp;G 4YR'!X40*100</f>
        <v>37.223721269118542</v>
      </c>
      <c r="Q42" s="38">
        <f>('RESEARCH 4yr'!X40)/('T E&amp;G 4YR'!X40)*100</f>
        <v>17.064489104518795</v>
      </c>
      <c r="R42" s="38">
        <f>('PUBLIC SERVICE 4yr'!X40)/('T E&amp;G 4YR'!X40)*100</f>
        <v>7.0625459654891882</v>
      </c>
      <c r="S42" s="38">
        <f>('ASptISptSSv 4yr'!X40)/('T E&amp;G 4YR'!X40)*100</f>
        <v>24.542382538552999</v>
      </c>
      <c r="T42" s="39">
        <f>('PLANT OPER MAIN 4yr'!X40)/('T E&amp;G 4YR'!X40)*100</f>
        <v>0</v>
      </c>
      <c r="U42" s="38">
        <f>('SCHOLAR FELLOW 4yr'!X40)/('T E&amp;G 4YR'!X40)*100</f>
        <v>12.950821348498955</v>
      </c>
      <c r="V42" s="37">
        <f>IF((('All Other 4yr'!X40/'T E&amp;G 4YR'!X40)*100)&gt;=0.05,('All Other 4yr'!X40/'T E&amp;G 4YR'!X40)*100,"*")</f>
        <v>1.1560397738215062</v>
      </c>
      <c r="W42" s="17"/>
      <c r="X42" s="28">
        <f t="shared" si="11"/>
        <v>99.999999999999972</v>
      </c>
      <c r="Y42" s="28">
        <f t="shared" si="12"/>
        <v>100</v>
      </c>
      <c r="Z42" s="30"/>
    </row>
    <row r="43" spans="1:26" s="31" customFormat="1">
      <c r="A43" s="54"/>
      <c r="B43" s="54"/>
      <c r="C43" s="63"/>
      <c r="D43" s="63"/>
      <c r="E43" s="63"/>
      <c r="F43" s="63"/>
      <c r="G43" s="63"/>
      <c r="H43" s="63"/>
      <c r="I43" s="64"/>
      <c r="J43" s="63"/>
      <c r="K43" s="63"/>
      <c r="L43" s="63"/>
      <c r="M43" s="63"/>
      <c r="N43" s="63"/>
      <c r="O43" s="17"/>
      <c r="P43" s="38"/>
      <c r="Q43" s="38"/>
      <c r="R43" s="38"/>
      <c r="S43" s="38"/>
      <c r="T43" s="39"/>
      <c r="U43" s="38"/>
      <c r="V43" s="37"/>
      <c r="W43" s="17"/>
      <c r="X43" s="28"/>
      <c r="Y43" s="28"/>
      <c r="Z43" s="30"/>
    </row>
    <row r="44" spans="1:26" s="31" customFormat="1">
      <c r="A44" s="53" t="s">
        <v>93</v>
      </c>
      <c r="B44" s="53"/>
      <c r="C44" s="65">
        <f>'Instruction-4YR'!AC42/'T E&amp;G 4YR'!AC42*100</f>
        <v>39.177581492092543</v>
      </c>
      <c r="D44" s="65">
        <f>'RESEARCH 4yr'!AC42/'T E&amp;G 4YR'!AC42*100</f>
        <v>12.233692147620935</v>
      </c>
      <c r="E44" s="65">
        <f>'PUBLIC SERVICE 4yr'!AC42/'T E&amp;G 4YR'!AC42*100</f>
        <v>8.6436181442050621</v>
      </c>
      <c r="F44" s="65">
        <f>'ASptISptSSv 4yr'!AC42/'T E&amp;G 4YR'!AC42*100</f>
        <v>25.713873772338953</v>
      </c>
      <c r="G44" s="65">
        <f>'SCHOLAR FELLOW 4yr'!AC42/'T E&amp;G 4YR'!AC42*100</f>
        <v>13.893756828337494</v>
      </c>
      <c r="H44" s="65">
        <f>('All Other 4yr'!AC42/'T E&amp;G 4YR'!AC42)*100</f>
        <v>0.33747761540501325</v>
      </c>
      <c r="I44" s="66">
        <f t="shared" ref="I44:I56" si="19">IF((C44-P44)=0,(C44-P44),IF((C44-P44)&gt;=0.05,(C44-P44),IF((C44-P44&lt;=-0.05),(C44-P44),"*")))</f>
        <v>0.86261981835510682</v>
      </c>
      <c r="J44" s="65">
        <f t="shared" ref="J44:J56" si="20">IF((D44-Q44)=0,(D44-Q44),IF((D44-Q44)&gt;=0.05,(D44-Q44),IF((D44-Q44&lt;=-0.05),(D44-Q44),"*")))</f>
        <v>-1.9154595782905766</v>
      </c>
      <c r="K44" s="65">
        <f t="shared" ref="K44:K56" si="21">IF((E44-R44)=0,(E44-R44),IF((E44-R44)&gt;=0.05,(E44-R44),IF((E44-R44&lt;=-0.05),(E44-R44),"*")))</f>
        <v>-1.5319723370544658</v>
      </c>
      <c r="L44" s="65">
        <f t="shared" ref="L44:L56" si="22">IF((F44-S44)=0,(F44-S44),IF((F44-S44)&gt;=0.05,(F44-S44),IF((F44-S44&lt;=-0.05),(F44-S44),"*")))</f>
        <v>1.6791405714400192</v>
      </c>
      <c r="M44" s="65">
        <f t="shared" ref="M44:M56" si="23">IF((G44-U44)=0,(G44-U44),IF((G44-U44)&gt;=0.05,(G44-U44),IF((G44-U44&lt;=-0.05),(G44-U44),"*")))</f>
        <v>1.1388807884991827</v>
      </c>
      <c r="N44" s="65">
        <f t="shared" ref="N44:N56" si="24">IF((H44-V44)=0,(H44-V44),IF((H44-V44)&gt;=0.05,(H44-V44),IF((H44-V44&lt;=-0.05),(H44-V44),"*")))</f>
        <v>-0.23320926294926519</v>
      </c>
      <c r="O44" s="17"/>
      <c r="P44" s="38">
        <f>('Instruction-4YR'!X42)/'T E&amp;G 4YR'!X42*100</f>
        <v>38.314961673737436</v>
      </c>
      <c r="Q44" s="38">
        <f>('RESEARCH 4yr'!X42)/('T E&amp;G 4YR'!X42)*100</f>
        <v>14.149151725911512</v>
      </c>
      <c r="R44" s="38">
        <f>('PUBLIC SERVICE 4yr'!X42)/('T E&amp;G 4YR'!X42)*100</f>
        <v>10.175590481259528</v>
      </c>
      <c r="S44" s="38">
        <f>('ASptISptSSv 4yr'!X42)/('T E&amp;G 4YR'!X42)*100</f>
        <v>24.034733200898934</v>
      </c>
      <c r="T44" s="39">
        <f>('PLANT OPER MAIN 4yr'!X42)/('T E&amp;G 4YR'!X42)*100</f>
        <v>0</v>
      </c>
      <c r="U44" s="38">
        <f>('SCHOLAR FELLOW 4yr'!X42)/('T E&amp;G 4YR'!X42)*100</f>
        <v>12.754876039838312</v>
      </c>
      <c r="V44" s="37">
        <f>IF((('All Other 4yr'!X42/'T E&amp;G 4YR'!X42)*100)&gt;=0.05,('All Other 4yr'!X42/'T E&amp;G 4YR'!X42)*100,"*")</f>
        <v>0.57068687835427845</v>
      </c>
      <c r="W44" s="17"/>
      <c r="X44" s="28">
        <f t="shared" si="11"/>
        <v>100</v>
      </c>
      <c r="Y44" s="28">
        <f t="shared" si="12"/>
        <v>99.999999999999986</v>
      </c>
      <c r="Z44" s="30"/>
    </row>
    <row r="45" spans="1:26" s="31" customFormat="1">
      <c r="A45" s="53" t="s">
        <v>58</v>
      </c>
      <c r="B45" s="53"/>
      <c r="C45" s="65">
        <f>'Instruction-4YR'!AC43/'T E&amp;G 4YR'!AC43*100</f>
        <v>43.352330137782587</v>
      </c>
      <c r="D45" s="65">
        <f>'RESEARCH 4yr'!AC43/'T E&amp;G 4YR'!AC43*100</f>
        <v>10.624280262355805</v>
      </c>
      <c r="E45" s="65">
        <f>'PUBLIC SERVICE 4yr'!AC43/'T E&amp;G 4YR'!AC43*100</f>
        <v>5.9581783455108681</v>
      </c>
      <c r="F45" s="65">
        <f>'ASptISptSSv 4yr'!AC43/'T E&amp;G 4YR'!AC43*100</f>
        <v>25.330226030062164</v>
      </c>
      <c r="G45" s="65">
        <f>'SCHOLAR FELLOW 4yr'!AC43/'T E&amp;G 4YR'!AC43*100</f>
        <v>14.411167113699639</v>
      </c>
      <c r="H45" s="65">
        <f>('All Other 4yr'!AC43/'T E&amp;G 4YR'!AC43)*100</f>
        <v>0.3238181105889355</v>
      </c>
      <c r="I45" s="66">
        <f t="shared" si="19"/>
        <v>0.22771120962328695</v>
      </c>
      <c r="J45" s="65">
        <f t="shared" si="20"/>
        <v>-1.0128860506748811</v>
      </c>
      <c r="K45" s="65">
        <f t="shared" si="21"/>
        <v>-1.0555838780741169</v>
      </c>
      <c r="L45" s="65">
        <f t="shared" si="22"/>
        <v>1.7749188999817491</v>
      </c>
      <c r="M45" s="65">
        <f t="shared" si="23"/>
        <v>0.29858359177423033</v>
      </c>
      <c r="N45" s="65">
        <f t="shared" si="24"/>
        <v>-0.23274377263026513</v>
      </c>
      <c r="O45" s="17"/>
      <c r="P45" s="38">
        <f>('Instruction-4YR'!X43)/'T E&amp;G 4YR'!X43*100</f>
        <v>43.1246189281593</v>
      </c>
      <c r="Q45" s="38">
        <f>('RESEARCH 4yr'!X43)/('T E&amp;G 4YR'!X43)*100</f>
        <v>11.637166313030686</v>
      </c>
      <c r="R45" s="38">
        <f>('PUBLIC SERVICE 4yr'!X43)/('T E&amp;G 4YR'!X43)*100</f>
        <v>7.013762223584985</v>
      </c>
      <c r="S45" s="38">
        <f>('ASptISptSSv 4yr'!X43)/('T E&amp;G 4YR'!X43)*100</f>
        <v>23.555307130080415</v>
      </c>
      <c r="T45" s="39">
        <f>('PLANT OPER MAIN 4yr'!X43)/('T E&amp;G 4YR'!X43)*100</f>
        <v>0</v>
      </c>
      <c r="U45" s="38">
        <f>('SCHOLAR FELLOW 4yr'!X43)/('T E&amp;G 4YR'!X43)*100</f>
        <v>14.112583521925409</v>
      </c>
      <c r="V45" s="37">
        <f>IF((('All Other 4yr'!X43/'T E&amp;G 4YR'!X43)*100)&gt;=0.05,('All Other 4yr'!X43/'T E&amp;G 4YR'!X43)*100,"*")</f>
        <v>0.55656188321920064</v>
      </c>
      <c r="W45" s="17"/>
      <c r="X45" s="28">
        <f t="shared" si="11"/>
        <v>99.999999999999986</v>
      </c>
      <c r="Y45" s="28">
        <f t="shared" si="12"/>
        <v>99.999999999999986</v>
      </c>
      <c r="Z45" s="30"/>
    </row>
    <row r="46" spans="1:26" s="31" customFormat="1">
      <c r="A46" s="53" t="s">
        <v>94</v>
      </c>
      <c r="B46" s="53"/>
      <c r="C46" s="65">
        <f>'Instruction-4YR'!AC44/'T E&amp;G 4YR'!AC44*100</f>
        <v>30.195756782175593</v>
      </c>
      <c r="D46" s="65">
        <f>'RESEARCH 4yr'!AC44/'T E&amp;G 4YR'!AC44*100</f>
        <v>22.164594950515784</v>
      </c>
      <c r="E46" s="65">
        <f>'PUBLIC SERVICE 4yr'!AC44/'T E&amp;G 4YR'!AC44*100</f>
        <v>8.0822648163561084</v>
      </c>
      <c r="F46" s="65">
        <f>'ASptISptSSv 4yr'!AC44/'T E&amp;G 4YR'!AC44*100</f>
        <v>24.901638126451182</v>
      </c>
      <c r="G46" s="65">
        <f>'SCHOLAR FELLOW 4yr'!AC44/'T E&amp;G 4YR'!AC44*100</f>
        <v>12.846545408647781</v>
      </c>
      <c r="H46" s="65">
        <f>('All Other 4yr'!AC44/'T E&amp;G 4YR'!AC44)*100</f>
        <v>1.8091999158535468</v>
      </c>
      <c r="I46" s="66">
        <f t="shared" si="19"/>
        <v>-1.9342291944296761</v>
      </c>
      <c r="J46" s="65">
        <f t="shared" si="20"/>
        <v>-1.0080396344098475</v>
      </c>
      <c r="K46" s="65">
        <f t="shared" si="21"/>
        <v>-0.28744010032889378</v>
      </c>
      <c r="L46" s="65">
        <f t="shared" si="22"/>
        <v>0.26206945019714212</v>
      </c>
      <c r="M46" s="65">
        <f t="shared" si="23"/>
        <v>1.7148143011791657</v>
      </c>
      <c r="N46" s="65">
        <f t="shared" si="24"/>
        <v>1.2528251777921064</v>
      </c>
      <c r="O46" s="17"/>
      <c r="P46" s="38">
        <f>('Instruction-4YR'!X44)/'T E&amp;G 4YR'!X44*100</f>
        <v>32.129985976605269</v>
      </c>
      <c r="Q46" s="38">
        <f>('RESEARCH 4yr'!X44)/('T E&amp;G 4YR'!X44)*100</f>
        <v>23.172634584925632</v>
      </c>
      <c r="R46" s="38">
        <f>('PUBLIC SERVICE 4yr'!X44)/('T E&amp;G 4YR'!X44)*100</f>
        <v>8.3697049166850022</v>
      </c>
      <c r="S46" s="38">
        <f>('ASptISptSSv 4yr'!X44)/('T E&amp;G 4YR'!X44)*100</f>
        <v>24.63956867625404</v>
      </c>
      <c r="T46" s="39">
        <f>('PLANT OPER MAIN 4yr'!X44)/('T E&amp;G 4YR'!X44)*100</f>
        <v>0</v>
      </c>
      <c r="U46" s="38">
        <f>('SCHOLAR FELLOW 4yr'!X44)/('T E&amp;G 4YR'!X44)*100</f>
        <v>11.131731107468616</v>
      </c>
      <c r="V46" s="37">
        <f>IF((('All Other 4yr'!X44/'T E&amp;G 4YR'!X44)*100)&gt;=0.05,('All Other 4yr'!X44/'T E&amp;G 4YR'!X44)*100,"*")</f>
        <v>0.55637473806144033</v>
      </c>
      <c r="W46" s="17"/>
      <c r="X46" s="28">
        <f t="shared" si="11"/>
        <v>99.999999999999986</v>
      </c>
      <c r="Y46" s="28">
        <f t="shared" si="12"/>
        <v>99.999999999999986</v>
      </c>
      <c r="Z46" s="30"/>
    </row>
    <row r="47" spans="1:26" s="31" customFormat="1">
      <c r="A47" s="53" t="s">
        <v>95</v>
      </c>
      <c r="B47" s="53"/>
      <c r="C47" s="65">
        <f>'Instruction-4YR'!AC45/'T E&amp;G 4YR'!AC45*100</f>
        <v>38.18138533773984</v>
      </c>
      <c r="D47" s="65">
        <f>'RESEARCH 4yr'!AC45/'T E&amp;G 4YR'!AC45*100</f>
        <v>20.980924503407142</v>
      </c>
      <c r="E47" s="65">
        <f>'PUBLIC SERVICE 4yr'!AC45/'T E&amp;G 4YR'!AC45*100</f>
        <v>6.6443057766406008</v>
      </c>
      <c r="F47" s="65">
        <f>'ASptISptSSv 4yr'!AC45/'T E&amp;G 4YR'!AC45*100</f>
        <v>21.733595407117431</v>
      </c>
      <c r="G47" s="65">
        <f>'SCHOLAR FELLOW 4yr'!AC45/'T E&amp;G 4YR'!AC45*100</f>
        <v>9.4115981113312941</v>
      </c>
      <c r="H47" s="65">
        <f>('All Other 4yr'!AC45/'T E&amp;G 4YR'!AC45)*100</f>
        <v>3.0481908637636979</v>
      </c>
      <c r="I47" s="66">
        <f t="shared" si="19"/>
        <v>2.8432881244203614</v>
      </c>
      <c r="J47" s="65">
        <f t="shared" si="20"/>
        <v>-1.3274610906934718</v>
      </c>
      <c r="K47" s="65">
        <f t="shared" si="21"/>
        <v>-0.58454175287158971</v>
      </c>
      <c r="L47" s="65">
        <f t="shared" si="22"/>
        <v>-3.3352531893400865</v>
      </c>
      <c r="M47" s="65">
        <f t="shared" si="23"/>
        <v>0.18124726066110242</v>
      </c>
      <c r="N47" s="65">
        <f t="shared" si="24"/>
        <v>2.2227206478236905</v>
      </c>
      <c r="O47" s="17"/>
      <c r="P47" s="38">
        <f>('Instruction-4YR'!X45)/'T E&amp;G 4YR'!X45*100</f>
        <v>35.338097213319479</v>
      </c>
      <c r="Q47" s="38">
        <f>('RESEARCH 4yr'!X45)/('T E&amp;G 4YR'!X45)*100</f>
        <v>22.308385594100614</v>
      </c>
      <c r="R47" s="38">
        <f>('PUBLIC SERVICE 4yr'!X45)/('T E&amp;G 4YR'!X45)*100</f>
        <v>7.2288475295121906</v>
      </c>
      <c r="S47" s="38">
        <f>('ASptISptSSv 4yr'!X45)/('T E&amp;G 4YR'!X45)*100</f>
        <v>25.068848596457517</v>
      </c>
      <c r="T47" s="39">
        <f>('PLANT OPER MAIN 4yr'!X45)/('T E&amp;G 4YR'!X45)*100</f>
        <v>0</v>
      </c>
      <c r="U47" s="38">
        <f>('SCHOLAR FELLOW 4yr'!X45)/('T E&amp;G 4YR'!X45)*100</f>
        <v>9.2303508506701917</v>
      </c>
      <c r="V47" s="37">
        <f>IF((('All Other 4yr'!X45/'T E&amp;G 4YR'!X45)*100)&gt;=0.05,('All Other 4yr'!X45/'T E&amp;G 4YR'!X45)*100,"*")</f>
        <v>0.82547021594000736</v>
      </c>
      <c r="W47" s="17"/>
      <c r="X47" s="28">
        <f t="shared" si="11"/>
        <v>99.999999999999986</v>
      </c>
      <c r="Y47" s="28">
        <f t="shared" si="12"/>
        <v>100</v>
      </c>
      <c r="Z47" s="30"/>
    </row>
    <row r="48" spans="1:26" s="31" customFormat="1">
      <c r="A48" s="54" t="s">
        <v>98</v>
      </c>
      <c r="B48" s="54"/>
      <c r="C48" s="63">
        <f>'Instruction-4YR'!AC46/'T E&amp;G 4YR'!AC46*100</f>
        <v>34.934551553277281</v>
      </c>
      <c r="D48" s="63">
        <f>'RESEARCH 4yr'!AC46/'T E&amp;G 4YR'!AC46*100</f>
        <v>15.969884011106302</v>
      </c>
      <c r="E48" s="63">
        <f>'PUBLIC SERVICE 4yr'!AC46/'T E&amp;G 4YR'!AC46*100</f>
        <v>6.4974320454966632</v>
      </c>
      <c r="F48" s="63">
        <f>'ASptISptSSv 4yr'!AC46/'T E&amp;G 4YR'!AC46*100</f>
        <v>22.510320040691752</v>
      </c>
      <c r="G48" s="63">
        <f>'SCHOLAR FELLOW 4yr'!AC46/'T E&amp;G 4YR'!AC46*100</f>
        <v>14.663894830649873</v>
      </c>
      <c r="H48" s="63">
        <f>('All Other 4yr'!AC46/'T E&amp;G 4YR'!AC46)*100</f>
        <v>5.4239175187781212</v>
      </c>
      <c r="I48" s="64">
        <f t="shared" si="19"/>
        <v>-2.6280412167793088</v>
      </c>
      <c r="J48" s="63">
        <f t="shared" si="20"/>
        <v>-2.2527581022554628</v>
      </c>
      <c r="K48" s="63">
        <f t="shared" si="21"/>
        <v>5.7893707082217638E-2</v>
      </c>
      <c r="L48" s="63">
        <f t="shared" si="22"/>
        <v>-0.45579958565294731</v>
      </c>
      <c r="M48" s="63">
        <f t="shared" si="23"/>
        <v>0.34790993397959014</v>
      </c>
      <c r="N48" s="63">
        <f t="shared" si="24"/>
        <v>4.9307952636258996</v>
      </c>
      <c r="O48" s="17"/>
      <c r="P48" s="38">
        <f>('Instruction-4YR'!X46)/'T E&amp;G 4YR'!X46*100</f>
        <v>37.56259277005659</v>
      </c>
      <c r="Q48" s="38">
        <f>('RESEARCH 4yr'!X46)/('T E&amp;G 4YR'!X46)*100</f>
        <v>18.222642113361765</v>
      </c>
      <c r="R48" s="38">
        <f>('PUBLIC SERVICE 4yr'!X46)/('T E&amp;G 4YR'!X46)*100</f>
        <v>6.4395383384144456</v>
      </c>
      <c r="S48" s="38">
        <f>('ASptISptSSv 4yr'!X46)/('T E&amp;G 4YR'!X46)*100</f>
        <v>22.9661196263447</v>
      </c>
      <c r="T48" s="39">
        <f>('PLANT OPER MAIN 4yr'!X46)/('T E&amp;G 4YR'!X46)*100</f>
        <v>0</v>
      </c>
      <c r="U48" s="38">
        <f>('SCHOLAR FELLOW 4yr'!X46)/('T E&amp;G 4YR'!X46)*100</f>
        <v>14.315984896670283</v>
      </c>
      <c r="V48" s="37">
        <f>IF((('All Other 4yr'!X46/'T E&amp;G 4YR'!X46)*100)&gt;=0.05,('All Other 4yr'!X46/'T E&amp;G 4YR'!X46)*100,"*")</f>
        <v>0.49312225515222147</v>
      </c>
      <c r="W48" s="17"/>
      <c r="X48" s="28">
        <f t="shared" si="11"/>
        <v>100</v>
      </c>
      <c r="Y48" s="28">
        <f t="shared" si="12"/>
        <v>100</v>
      </c>
      <c r="Z48" s="30"/>
    </row>
    <row r="49" spans="1:26" s="31" customFormat="1">
      <c r="A49" s="54" t="s">
        <v>99</v>
      </c>
      <c r="B49" s="54"/>
      <c r="C49" s="63">
        <f>'Instruction-4YR'!AC47/'T E&amp;G 4YR'!AC47*100</f>
        <v>26.919745532390642</v>
      </c>
      <c r="D49" s="63">
        <f>'RESEARCH 4yr'!AC47/'T E&amp;G 4YR'!AC47*100</f>
        <v>19.13665440038179</v>
      </c>
      <c r="E49" s="63">
        <f>'PUBLIC SERVICE 4yr'!AC47/'T E&amp;G 4YR'!AC47*100</f>
        <v>6.7284742738274739</v>
      </c>
      <c r="F49" s="63">
        <f>'ASptISptSSv 4yr'!AC47/'T E&amp;G 4YR'!AC47*100</f>
        <v>28.7533461082107</v>
      </c>
      <c r="G49" s="63">
        <f>'SCHOLAR FELLOW 4yr'!AC47/'T E&amp;G 4YR'!AC47*100</f>
        <v>10.40167026280484</v>
      </c>
      <c r="H49" s="63">
        <f>('All Other 4yr'!AC47/'T E&amp;G 4YR'!AC47)*100</f>
        <v>8.0601094223845653</v>
      </c>
      <c r="I49" s="64">
        <f t="shared" si="19"/>
        <v>-2.3576461157740702</v>
      </c>
      <c r="J49" s="63">
        <f t="shared" si="20"/>
        <v>-1.9805365320442796</v>
      </c>
      <c r="K49" s="63">
        <f t="shared" si="21"/>
        <v>-0.56851209919808454</v>
      </c>
      <c r="L49" s="63">
        <f t="shared" si="22"/>
        <v>-1.4192278346964606</v>
      </c>
      <c r="M49" s="63">
        <f t="shared" si="23"/>
        <v>-0.81872764297153822</v>
      </c>
      <c r="N49" s="63">
        <f t="shared" si="24"/>
        <v>7.1446502246844483</v>
      </c>
      <c r="O49" s="17"/>
      <c r="P49" s="38">
        <f>('Instruction-4YR'!X47)/'T E&amp;G 4YR'!X47*100</f>
        <v>29.277391648164713</v>
      </c>
      <c r="Q49" s="38">
        <f>('RESEARCH 4yr'!X47)/('T E&amp;G 4YR'!X47)*100</f>
        <v>21.11719093242607</v>
      </c>
      <c r="R49" s="38">
        <f>('PUBLIC SERVICE 4yr'!X47)/('T E&amp;G 4YR'!X47)*100</f>
        <v>7.2969863730255584</v>
      </c>
      <c r="S49" s="38">
        <f>('ASptISptSSv 4yr'!X47)/('T E&amp;G 4YR'!X47)*100</f>
        <v>30.17257394290716</v>
      </c>
      <c r="T49" s="39">
        <f>('PLANT OPER MAIN 4yr'!X47)/('T E&amp;G 4YR'!X47)*100</f>
        <v>0</v>
      </c>
      <c r="U49" s="38">
        <f>('SCHOLAR FELLOW 4yr'!X47)/('T E&amp;G 4YR'!X47)*100</f>
        <v>11.220397905776379</v>
      </c>
      <c r="V49" s="37">
        <f>IF((('All Other 4yr'!X47/'T E&amp;G 4YR'!X47)*100)&gt;=0.05,('All Other 4yr'!X47/'T E&amp;G 4YR'!X47)*100,"*")</f>
        <v>0.91545919770011708</v>
      </c>
      <c r="W49" s="17"/>
      <c r="X49" s="28">
        <f t="shared" si="11"/>
        <v>100</v>
      </c>
      <c r="Y49" s="28">
        <f t="shared" si="12"/>
        <v>100.00000000000003</v>
      </c>
      <c r="Z49" s="30"/>
    </row>
    <row r="50" spans="1:26" s="31" customFormat="1">
      <c r="A50" s="54" t="s">
        <v>59</v>
      </c>
      <c r="B50" s="54"/>
      <c r="C50" s="63">
        <f>'Instruction-4YR'!AC48/'T E&amp;G 4YR'!AC48*100</f>
        <v>40.203875328953849</v>
      </c>
      <c r="D50" s="63">
        <f>'RESEARCH 4yr'!AC48/'T E&amp;G 4YR'!AC48*100</f>
        <v>7.7419297660566171</v>
      </c>
      <c r="E50" s="63">
        <f>'PUBLIC SERVICE 4yr'!AC48/'T E&amp;G 4YR'!AC48*100</f>
        <v>7.4582126031037017</v>
      </c>
      <c r="F50" s="63">
        <f>'ASptISptSSv 4yr'!AC48/'T E&amp;G 4YR'!AC48*100</f>
        <v>23.992428056643632</v>
      </c>
      <c r="G50" s="63">
        <f>'SCHOLAR FELLOW 4yr'!AC48/'T E&amp;G 4YR'!AC48*100</f>
        <v>18.508773260536763</v>
      </c>
      <c r="H50" s="63">
        <f>('All Other 4yr'!AC48/'T E&amp;G 4YR'!AC48)*100</f>
        <v>2.0947809847054377</v>
      </c>
      <c r="I50" s="64">
        <f t="shared" si="19"/>
        <v>-0.65646130547555259</v>
      </c>
      <c r="J50" s="63">
        <f t="shared" si="20"/>
        <v>-1.7253635551635869</v>
      </c>
      <c r="K50" s="63">
        <f t="shared" si="21"/>
        <v>0.21807934030399156</v>
      </c>
      <c r="L50" s="63">
        <f t="shared" si="22"/>
        <v>0.47977441816601996</v>
      </c>
      <c r="M50" s="63">
        <f t="shared" si="23"/>
        <v>0.29672454352096267</v>
      </c>
      <c r="N50" s="63">
        <f t="shared" si="24"/>
        <v>1.3872465586481677</v>
      </c>
      <c r="O50" s="17"/>
      <c r="P50" s="38">
        <f>('Instruction-4YR'!X48)/'T E&amp;G 4YR'!X48*100</f>
        <v>40.860336634429402</v>
      </c>
      <c r="Q50" s="38">
        <f>('RESEARCH 4yr'!X48)/('T E&amp;G 4YR'!X48)*100</f>
        <v>9.4672933212202039</v>
      </c>
      <c r="R50" s="38">
        <f>('PUBLIC SERVICE 4yr'!X48)/('T E&amp;G 4YR'!X48)*100</f>
        <v>7.2401332627997101</v>
      </c>
      <c r="S50" s="38">
        <f>('ASptISptSSv 4yr'!X48)/('T E&amp;G 4YR'!X48)*100</f>
        <v>23.512653638477612</v>
      </c>
      <c r="T50" s="39">
        <f>('PLANT OPER MAIN 4yr'!X48)/('T E&amp;G 4YR'!X48)*100</f>
        <v>0</v>
      </c>
      <c r="U50" s="38">
        <f>('SCHOLAR FELLOW 4yr'!X48)/('T E&amp;G 4YR'!X48)*100</f>
        <v>18.212048717015801</v>
      </c>
      <c r="V50" s="37">
        <f>IF((('All Other 4yr'!X48/'T E&amp;G 4YR'!X48)*100)&gt;=0.05,('All Other 4yr'!X48/'T E&amp;G 4YR'!X48)*100,"*")</f>
        <v>0.70753442605727002</v>
      </c>
      <c r="W50" s="17"/>
      <c r="X50" s="28">
        <f t="shared" si="11"/>
        <v>100</v>
      </c>
      <c r="Y50" s="28">
        <f t="shared" si="12"/>
        <v>100</v>
      </c>
      <c r="Z50" s="30"/>
    </row>
    <row r="51" spans="1:26" s="31" customFormat="1">
      <c r="A51" s="54" t="s">
        <v>101</v>
      </c>
      <c r="B51" s="54"/>
      <c r="C51" s="63">
        <f>'Instruction-4YR'!AC49/'T E&amp;G 4YR'!AC49*100</f>
        <v>35.777466360954691</v>
      </c>
      <c r="D51" s="63">
        <f>'RESEARCH 4yr'!AC49/'T E&amp;G 4YR'!AC49*100</f>
        <v>19.876726420640047</v>
      </c>
      <c r="E51" s="63">
        <f>'PUBLIC SERVICE 4yr'!AC49/'T E&amp;G 4YR'!AC49*100</f>
        <v>6.203505804592206</v>
      </c>
      <c r="F51" s="63">
        <f>'ASptISptSSv 4yr'!AC49/'T E&amp;G 4YR'!AC49*100</f>
        <v>20.652423034865354</v>
      </c>
      <c r="G51" s="63">
        <f>'SCHOLAR FELLOW 4yr'!AC49/'T E&amp;G 4YR'!AC49*100</f>
        <v>11.683652151563733</v>
      </c>
      <c r="H51" s="63">
        <f>('All Other 4yr'!AC49/'T E&amp;G 4YR'!AC49)*100</f>
        <v>5.8062262273839798</v>
      </c>
      <c r="I51" s="64">
        <f t="shared" si="19"/>
        <v>-0.71358804474847659</v>
      </c>
      <c r="J51" s="63">
        <f t="shared" si="20"/>
        <v>-1.2384607937746814</v>
      </c>
      <c r="K51" s="63">
        <f t="shared" si="21"/>
        <v>-2.0779998410700209</v>
      </c>
      <c r="L51" s="63">
        <f t="shared" si="22"/>
        <v>0.18434201294376962</v>
      </c>
      <c r="M51" s="63">
        <f t="shared" si="23"/>
        <v>-0.18276249931132327</v>
      </c>
      <c r="N51" s="63">
        <f t="shared" si="24"/>
        <v>4.0284691659607423</v>
      </c>
      <c r="O51" s="17"/>
      <c r="P51" s="38">
        <f>('Instruction-4YR'!X49)/'T E&amp;G 4YR'!X49*100</f>
        <v>36.491054405703167</v>
      </c>
      <c r="Q51" s="38">
        <f>('RESEARCH 4yr'!X49)/('T E&amp;G 4YR'!X49)*100</f>
        <v>21.115187214414728</v>
      </c>
      <c r="R51" s="38">
        <f>('PUBLIC SERVICE 4yr'!X49)/('T E&amp;G 4YR'!X49)*100</f>
        <v>8.2815056456622269</v>
      </c>
      <c r="S51" s="38">
        <f>('ASptISptSSv 4yr'!X49)/('T E&amp;G 4YR'!X49)*100</f>
        <v>20.468081021921584</v>
      </c>
      <c r="T51" s="39">
        <f>('PLANT OPER MAIN 4yr'!X49)/('T E&amp;G 4YR'!X49)*100</f>
        <v>0</v>
      </c>
      <c r="U51" s="38">
        <f>('SCHOLAR FELLOW 4yr'!X49)/('T E&amp;G 4YR'!X49)*100</f>
        <v>11.866414650875056</v>
      </c>
      <c r="V51" s="37">
        <f>IF((('All Other 4yr'!X49/'T E&amp;G 4YR'!X49)*100)&gt;=0.05,('All Other 4yr'!X49/'T E&amp;G 4YR'!X49)*100,"*")</f>
        <v>1.7777570614232376</v>
      </c>
      <c r="W51" s="17"/>
      <c r="X51" s="28">
        <f t="shared" si="11"/>
        <v>100.00000000000001</v>
      </c>
      <c r="Y51" s="28">
        <f t="shared" si="12"/>
        <v>100</v>
      </c>
      <c r="Z51" s="30"/>
    </row>
    <row r="52" spans="1:26" s="31" customFormat="1">
      <c r="A52" s="53" t="s">
        <v>107</v>
      </c>
      <c r="B52" s="53"/>
      <c r="C52" s="65">
        <f>'Instruction-4YR'!AC50/'T E&amp;G 4YR'!AC50*100</f>
        <v>41.511218525078306</v>
      </c>
      <c r="D52" s="65">
        <f>'RESEARCH 4yr'!AC50/'T E&amp;G 4YR'!AC50*100</f>
        <v>16.612745081327031</v>
      </c>
      <c r="E52" s="65">
        <f>'PUBLIC SERVICE 4yr'!AC50/'T E&amp;G 4YR'!AC50*100</f>
        <v>7.3486132878469821</v>
      </c>
      <c r="F52" s="65">
        <f>'ASptISptSSv 4yr'!AC50/'T E&amp;G 4YR'!AC50*100</f>
        <v>25.729837894130803</v>
      </c>
      <c r="G52" s="65">
        <f>'SCHOLAR FELLOW 4yr'!AC50/'T E&amp;G 4YR'!AC50*100</f>
        <v>6.8972499245823755</v>
      </c>
      <c r="H52" s="65">
        <f>('All Other 4yr'!AC50/'T E&amp;G 4YR'!AC50)*100</f>
        <v>1.9003352870345047</v>
      </c>
      <c r="I52" s="66" t="str">
        <f t="shared" si="19"/>
        <v>*</v>
      </c>
      <c r="J52" s="65">
        <f t="shared" si="20"/>
        <v>-3.8307479882225302</v>
      </c>
      <c r="K52" s="65">
        <f t="shared" si="21"/>
        <v>-0.54742007371273704</v>
      </c>
      <c r="L52" s="65">
        <f t="shared" si="22"/>
        <v>4.3861642568282733</v>
      </c>
      <c r="M52" s="65">
        <f t="shared" si="23"/>
        <v>-1.5301682222496069</v>
      </c>
      <c r="N52" s="65">
        <f t="shared" si="24"/>
        <v>1.4943287166355981</v>
      </c>
      <c r="O52" s="17"/>
      <c r="P52" s="38">
        <f>('Instruction-4YR'!X50)/'T E&amp;G 4YR'!X50*100</f>
        <v>41.483375214357302</v>
      </c>
      <c r="Q52" s="38">
        <f>('RESEARCH 4yr'!X50)/('T E&amp;G 4YR'!X50)*100</f>
        <v>20.443493069549561</v>
      </c>
      <c r="R52" s="38">
        <f>('PUBLIC SERVICE 4yr'!X50)/('T E&amp;G 4YR'!X50)*100</f>
        <v>7.8960333615597191</v>
      </c>
      <c r="S52" s="38">
        <f>('ASptISptSSv 4yr'!X50)/('T E&amp;G 4YR'!X50)*100</f>
        <v>21.34367363730253</v>
      </c>
      <c r="T52" s="39">
        <f>('PLANT OPER MAIN 4yr'!X50)/('T E&amp;G 4YR'!X50)*100</f>
        <v>0</v>
      </c>
      <c r="U52" s="38">
        <f>('SCHOLAR FELLOW 4yr'!X50)/('T E&amp;G 4YR'!X50)*100</f>
        <v>8.4274181468319824</v>
      </c>
      <c r="V52" s="37">
        <f>IF((('All Other 4yr'!X50/'T E&amp;G 4YR'!X50)*100)&gt;=0.05,('All Other 4yr'!X50/'T E&amp;G 4YR'!X50)*100,"*")</f>
        <v>0.40600657039890659</v>
      </c>
      <c r="W52" s="17"/>
      <c r="X52" s="28">
        <f t="shared" si="11"/>
        <v>100</v>
      </c>
      <c r="Y52" s="28">
        <f t="shared" si="12"/>
        <v>100.00000000000001</v>
      </c>
      <c r="Z52" s="30"/>
    </row>
    <row r="53" spans="1:26" s="31" customFormat="1">
      <c r="A53" s="53" t="s">
        <v>108</v>
      </c>
      <c r="B53" s="53"/>
      <c r="C53" s="65">
        <f>'Instruction-4YR'!AC51/'T E&amp;G 4YR'!AC51*100</f>
        <v>39.718963024683291</v>
      </c>
      <c r="D53" s="65">
        <f>'RESEARCH 4yr'!AC51/'T E&amp;G 4YR'!AC51*100</f>
        <v>12.108295797200499</v>
      </c>
      <c r="E53" s="65">
        <f>'PUBLIC SERVICE 4yr'!AC51/'T E&amp;G 4YR'!AC51*100</f>
        <v>4.9819016922644206</v>
      </c>
      <c r="F53" s="65">
        <f>'ASptISptSSv 4yr'!AC51/'T E&amp;G 4YR'!AC51*100</f>
        <v>27.46392844521997</v>
      </c>
      <c r="G53" s="65">
        <f>'SCHOLAR FELLOW 4yr'!AC51/'T E&amp;G 4YR'!AC51*100</f>
        <v>14.272124064092917</v>
      </c>
      <c r="H53" s="65">
        <f>('All Other 4yr'!AC51/'T E&amp;G 4YR'!AC51)*100</f>
        <v>1.4547869765389057</v>
      </c>
      <c r="I53" s="66">
        <f t="shared" si="19"/>
        <v>-0.43157779630259796</v>
      </c>
      <c r="J53" s="65">
        <f t="shared" si="20"/>
        <v>-1.4990901542990827</v>
      </c>
      <c r="K53" s="65">
        <f t="shared" si="21"/>
        <v>0.78056154587788207</v>
      </c>
      <c r="L53" s="65">
        <f t="shared" si="22"/>
        <v>1.4310693594409294</v>
      </c>
      <c r="M53" s="65">
        <f t="shared" si="23"/>
        <v>-0.72912537732702809</v>
      </c>
      <c r="N53" s="65">
        <f t="shared" si="24"/>
        <v>0.44816242260989658</v>
      </c>
      <c r="O53" s="17"/>
      <c r="P53" s="38">
        <f>('Instruction-4YR'!X51)/'T E&amp;G 4YR'!X51*100</f>
        <v>40.150540820985889</v>
      </c>
      <c r="Q53" s="38">
        <f>('RESEARCH 4yr'!X51)/('T E&amp;G 4YR'!X51)*100</f>
        <v>13.607385951499582</v>
      </c>
      <c r="R53" s="38">
        <f>('PUBLIC SERVICE 4yr'!X51)/('T E&amp;G 4YR'!X51)*100</f>
        <v>4.2013401463865385</v>
      </c>
      <c r="S53" s="38">
        <f>('ASptISptSSv 4yr'!X51)/('T E&amp;G 4YR'!X51)*100</f>
        <v>26.032859085779041</v>
      </c>
      <c r="T53" s="39">
        <f>('PLANT OPER MAIN 4yr'!X51)/('T E&amp;G 4YR'!X51)*100</f>
        <v>0</v>
      </c>
      <c r="U53" s="38">
        <f>('SCHOLAR FELLOW 4yr'!X51)/('T E&amp;G 4YR'!X51)*100</f>
        <v>15.001249441419946</v>
      </c>
      <c r="V53" s="37">
        <f>IF((('All Other 4yr'!X51/'T E&amp;G 4YR'!X51)*100)&gt;=0.05,('All Other 4yr'!X51/'T E&amp;G 4YR'!X51)*100,"*")</f>
        <v>1.0066245539290091</v>
      </c>
      <c r="W53" s="17"/>
      <c r="X53" s="28">
        <f t="shared" si="11"/>
        <v>100</v>
      </c>
      <c r="Y53" s="28">
        <f t="shared" si="12"/>
        <v>100.00000000000001</v>
      </c>
      <c r="Z53" s="30"/>
    </row>
    <row r="54" spans="1:26" s="31" customFormat="1">
      <c r="A54" s="53" t="s">
        <v>112</v>
      </c>
      <c r="B54" s="53"/>
      <c r="C54" s="65">
        <f>'Instruction-4YR'!AC52/'T E&amp;G 4YR'!AC52*100</f>
        <v>35.926565218100997</v>
      </c>
      <c r="D54" s="65">
        <f>'RESEARCH 4yr'!AC52/'T E&amp;G 4YR'!AC52*100</f>
        <v>13.582705848889914</v>
      </c>
      <c r="E54" s="65">
        <f>'PUBLIC SERVICE 4yr'!AC52/'T E&amp;G 4YR'!AC52*100</f>
        <v>7.2855889051582734</v>
      </c>
      <c r="F54" s="65">
        <f>'ASptISptSSv 4yr'!AC52/'T E&amp;G 4YR'!AC52*100</f>
        <v>31.612108954063462</v>
      </c>
      <c r="G54" s="65">
        <f>'SCHOLAR FELLOW 4yr'!AC52/'T E&amp;G 4YR'!AC52*100</f>
        <v>10.689163812854286</v>
      </c>
      <c r="H54" s="65">
        <f>('All Other 4yr'!AC52/'T E&amp;G 4YR'!AC52)*100</f>
        <v>0.90386726093307168</v>
      </c>
      <c r="I54" s="66">
        <f t="shared" si="19"/>
        <v>2.8401544762808655</v>
      </c>
      <c r="J54" s="65">
        <f t="shared" si="20"/>
        <v>-2.3848915583121837</v>
      </c>
      <c r="K54" s="65">
        <f t="shared" si="21"/>
        <v>-1.0490964066460835</v>
      </c>
      <c r="L54" s="65">
        <f t="shared" si="22"/>
        <v>3.4845082810599521</v>
      </c>
      <c r="M54" s="65">
        <f t="shared" si="23"/>
        <v>-1.1922746043058279</v>
      </c>
      <c r="N54" s="65">
        <f t="shared" si="24"/>
        <v>-1.6984001880767132</v>
      </c>
      <c r="O54" s="17"/>
      <c r="P54" s="38">
        <f>('Instruction-4YR'!X52)/'T E&amp;G 4YR'!X52*100</f>
        <v>33.086410741820131</v>
      </c>
      <c r="Q54" s="38">
        <f>('RESEARCH 4yr'!X52)/('T E&amp;G 4YR'!X52)*100</f>
        <v>15.967597407202097</v>
      </c>
      <c r="R54" s="38">
        <f>('PUBLIC SERVICE 4yr'!X52)/('T E&amp;G 4YR'!X52)*100</f>
        <v>8.3346853118043569</v>
      </c>
      <c r="S54" s="38">
        <f>('ASptISptSSv 4yr'!X52)/('T E&amp;G 4YR'!X52)*100</f>
        <v>28.12760067300351</v>
      </c>
      <c r="T54" s="39">
        <f>('PLANT OPER MAIN 4yr'!X52)/('T E&amp;G 4YR'!X52)*100</f>
        <v>0</v>
      </c>
      <c r="U54" s="38">
        <f>('SCHOLAR FELLOW 4yr'!X52)/('T E&amp;G 4YR'!X52)*100</f>
        <v>11.881438417160114</v>
      </c>
      <c r="V54" s="37">
        <f>IF((('All Other 4yr'!X52/'T E&amp;G 4YR'!X52)*100)&gt;=0.05,('All Other 4yr'!X52/'T E&amp;G 4YR'!X52)*100,"*")</f>
        <v>2.6022674490097848</v>
      </c>
      <c r="W54" s="17"/>
      <c r="X54" s="28">
        <f t="shared" si="11"/>
        <v>100</v>
      </c>
      <c r="Y54" s="28">
        <f t="shared" si="12"/>
        <v>100</v>
      </c>
      <c r="Z54" s="30"/>
    </row>
    <row r="55" spans="1:26" s="31" customFormat="1">
      <c r="A55" s="53" t="s">
        <v>116</v>
      </c>
      <c r="B55" s="53"/>
      <c r="C55" s="65">
        <f>'Instruction-4YR'!AC53/'T E&amp;G 4YR'!AC53*100</f>
        <v>30.017155372029471</v>
      </c>
      <c r="D55" s="65">
        <f>'RESEARCH 4yr'!AC53/'T E&amp;G 4YR'!AC53*100</f>
        <v>24.251821723651076</v>
      </c>
      <c r="E55" s="65">
        <f>'PUBLIC SERVICE 4yr'!AC53/'T E&amp;G 4YR'!AC53*100</f>
        <v>5.4838032659183638</v>
      </c>
      <c r="F55" s="65">
        <f>'ASptISptSSv 4yr'!AC53/'T E&amp;G 4YR'!AC53*100</f>
        <v>23.221783933031631</v>
      </c>
      <c r="G55" s="65">
        <f>'SCHOLAR FELLOW 4yr'!AC53/'T E&amp;G 4YR'!AC53*100</f>
        <v>8.5333109616778149</v>
      </c>
      <c r="H55" s="65">
        <f>('All Other 4yr'!AC53/'T E&amp;G 4YR'!AC53)*100</f>
        <v>8.4921247436916349</v>
      </c>
      <c r="I55" s="66">
        <f t="shared" si="19"/>
        <v>-0.98085312881585551</v>
      </c>
      <c r="J55" s="65">
        <f t="shared" si="20"/>
        <v>-0.86568957053781759</v>
      </c>
      <c r="K55" s="65">
        <f t="shared" si="21"/>
        <v>-0.918477987685546</v>
      </c>
      <c r="L55" s="65">
        <f t="shared" si="22"/>
        <v>-0.85989094945569633</v>
      </c>
      <c r="M55" s="65">
        <f t="shared" si="23"/>
        <v>0.39790260305426983</v>
      </c>
      <c r="N55" s="65">
        <f t="shared" si="24"/>
        <v>3.2270090334406474</v>
      </c>
      <c r="O55" s="17"/>
      <c r="P55" s="38">
        <f>('Instruction-4YR'!X53)/'T E&amp;G 4YR'!X53*100</f>
        <v>30.998008500845327</v>
      </c>
      <c r="Q55" s="38">
        <f>('RESEARCH 4yr'!X53)/('T E&amp;G 4YR'!X53)*100</f>
        <v>25.117511294188894</v>
      </c>
      <c r="R55" s="38">
        <f>('PUBLIC SERVICE 4yr'!X53)/('T E&amp;G 4YR'!X53)*100</f>
        <v>6.4022812536039098</v>
      </c>
      <c r="S55" s="38">
        <f>('ASptISptSSv 4yr'!X53)/('T E&amp;G 4YR'!X53)*100</f>
        <v>24.081674882487327</v>
      </c>
      <c r="T55" s="39">
        <f>('PLANT OPER MAIN 4yr'!X53)/('T E&amp;G 4YR'!X53)*100</f>
        <v>0</v>
      </c>
      <c r="U55" s="38">
        <f>('SCHOLAR FELLOW 4yr'!X53)/('T E&amp;G 4YR'!X53)*100</f>
        <v>8.1354083586235451</v>
      </c>
      <c r="V55" s="37">
        <f>IF((('All Other 4yr'!X53/'T E&amp;G 4YR'!X53)*100)&gt;=0.05,('All Other 4yr'!X53/'T E&amp;G 4YR'!X53)*100,"*")</f>
        <v>5.2651157102509876</v>
      </c>
      <c r="W55" s="17"/>
      <c r="X55" s="28">
        <f t="shared" si="11"/>
        <v>99.999999999999986</v>
      </c>
      <c r="Y55" s="28">
        <f t="shared" si="12"/>
        <v>99.999999999999986</v>
      </c>
      <c r="Z55" s="30"/>
    </row>
    <row r="56" spans="1:26" s="31" customFormat="1">
      <c r="A56" s="57" t="s">
        <v>122</v>
      </c>
      <c r="B56" s="57"/>
      <c r="C56" s="69">
        <f>'Instruction-4YR'!AC54/'T E&amp;G 4YR'!AC54*100</f>
        <v>39.353854122456902</v>
      </c>
      <c r="D56" s="69">
        <f>'RESEARCH 4yr'!AC54/'T E&amp;G 4YR'!AC54*100</f>
        <v>8.9582067458383321</v>
      </c>
      <c r="E56" s="69">
        <f>'PUBLIC SERVICE 4yr'!AC54/'T E&amp;G 4YR'!AC54*100</f>
        <v>4.8323785129688561</v>
      </c>
      <c r="F56" s="69">
        <f>'ASptISptSSv 4yr'!AC54/'T E&amp;G 4YR'!AC54*100</f>
        <v>29.649348981807442</v>
      </c>
      <c r="G56" s="69">
        <f>'SCHOLAR FELLOW 4yr'!AC54/'T E&amp;G 4YR'!AC54*100</f>
        <v>14.43335986765292</v>
      </c>
      <c r="H56" s="69">
        <f>('All Other 4yr'!AC54/'T E&amp;G 4YR'!AC54)*100</f>
        <v>2.7728517692755426</v>
      </c>
      <c r="I56" s="70">
        <f t="shared" si="19"/>
        <v>0.22066906304137035</v>
      </c>
      <c r="J56" s="69">
        <f t="shared" si="20"/>
        <v>-1.7700542771269046</v>
      </c>
      <c r="K56" s="69">
        <f t="shared" si="21"/>
        <v>-0.25085017382881336</v>
      </c>
      <c r="L56" s="69" t="str">
        <f t="shared" si="22"/>
        <v>*</v>
      </c>
      <c r="M56" s="69">
        <f t="shared" si="23"/>
        <v>0.65246058072903779</v>
      </c>
      <c r="N56" s="69">
        <f t="shared" si="24"/>
        <v>1.1675548085293241</v>
      </c>
      <c r="O56" s="17"/>
      <c r="P56" s="38">
        <f>('Instruction-4YR'!X54)/'T E&amp;G 4YR'!X54*100</f>
        <v>39.133185059415531</v>
      </c>
      <c r="Q56" s="38">
        <f>('RESEARCH 4yr'!X54)/('T E&amp;G 4YR'!X54)*100</f>
        <v>10.728261022965237</v>
      </c>
      <c r="R56" s="38">
        <f>('PUBLIC SERVICE 4yr'!X54)/('T E&amp;G 4YR'!X54)*100</f>
        <v>5.0832286867976695</v>
      </c>
      <c r="S56" s="38">
        <f>('ASptISptSSv 4yr'!X54)/('T E&amp;G 4YR'!X54)*100</f>
        <v>29.669128983151467</v>
      </c>
      <c r="T56" s="39">
        <f>('PLANT OPER MAIN 4yr'!X54)/('T E&amp;G 4YR'!X54)*100</f>
        <v>0</v>
      </c>
      <c r="U56" s="38">
        <f>('SCHOLAR FELLOW 4yr'!X54)/('T E&amp;G 4YR'!X54)*100</f>
        <v>13.780899286923882</v>
      </c>
      <c r="V56" s="37">
        <f>IF((('All Other 4yr'!X54/'T E&amp;G 4YR'!X54)*100)&gt;=0.05,('All Other 4yr'!X54/'T E&amp;G 4YR'!X54)*100,"*")</f>
        <v>1.6052969607462184</v>
      </c>
      <c r="W56" s="17"/>
      <c r="X56" s="28">
        <f t="shared" si="11"/>
        <v>100</v>
      </c>
      <c r="Y56" s="28">
        <f t="shared" si="12"/>
        <v>100.00000000000001</v>
      </c>
      <c r="Z56" s="30"/>
    </row>
    <row r="57" spans="1:26" s="31" customFormat="1">
      <c r="A57" s="54"/>
      <c r="B57" s="54"/>
      <c r="C57" s="63"/>
      <c r="D57" s="63"/>
      <c r="E57" s="63"/>
      <c r="F57" s="63"/>
      <c r="G57" s="63"/>
      <c r="H57" s="63"/>
      <c r="I57" s="64"/>
      <c r="J57" s="63"/>
      <c r="K57" s="63"/>
      <c r="L57" s="63"/>
      <c r="M57" s="63"/>
      <c r="N57" s="63"/>
      <c r="O57" s="17"/>
      <c r="P57" s="38"/>
      <c r="Q57" s="38"/>
      <c r="R57" s="38"/>
      <c r="S57" s="38"/>
      <c r="T57" s="39"/>
      <c r="U57" s="38"/>
      <c r="V57" s="37"/>
      <c r="W57" s="17"/>
      <c r="X57" s="28"/>
      <c r="Y57" s="28"/>
      <c r="Z57" s="30"/>
    </row>
    <row r="58" spans="1:26" s="31" customFormat="1">
      <c r="A58" s="53" t="s">
        <v>89</v>
      </c>
      <c r="B58" s="53"/>
      <c r="C58" s="65">
        <f>'Instruction-4YR'!AC56/'T E&amp;G 4YR'!AC56*100</f>
        <v>37.690109474917271</v>
      </c>
      <c r="D58" s="65">
        <f>'RESEARCH 4yr'!AC56/'T E&amp;G 4YR'!AC56*100</f>
        <v>7.0106334067896636</v>
      </c>
      <c r="E58" s="65">
        <f>'PUBLIC SERVICE 4yr'!AC56/'T E&amp;G 4YR'!AC56*100</f>
        <v>3.9966371467391166</v>
      </c>
      <c r="F58" s="65">
        <f>'ASptISptSSv 4yr'!AC56/'T E&amp;G 4YR'!AC56*100</f>
        <v>25.599124095906099</v>
      </c>
      <c r="G58" s="65">
        <f>'SCHOLAR FELLOW 4yr'!AC56/'T E&amp;G 4YR'!AC56*100</f>
        <v>13.214151754697198</v>
      </c>
      <c r="H58" s="65">
        <f>('All Other 4yr'!AC56/'T E&amp;G 4YR'!AC56)*100</f>
        <v>12.489344120950651</v>
      </c>
      <c r="I58" s="66">
        <f t="shared" ref="I58:I67" si="25">IF((C58-P58)=0,(C58-P58),IF((C58-P58)&gt;=0.05,(C58-P58),IF((C58-P58&lt;=-0.05),(C58-P58),"*")))</f>
        <v>-0.66200658229458043</v>
      </c>
      <c r="J58" s="65">
        <f t="shared" ref="J58:J67" si="26">IF((D58-Q58)=0,(D58-Q58),IF((D58-Q58)&gt;=0.05,(D58-Q58),IF((D58-Q58&lt;=-0.05),(D58-Q58),"*")))</f>
        <v>-1.7206393877712411</v>
      </c>
      <c r="K58" s="65">
        <f t="shared" ref="K58:K67" si="27">IF((E58-R58)=0,(E58-R58),IF((E58-R58)&gt;=0.05,(E58-R58),IF((E58-R58&lt;=-0.05),(E58-R58),"*")))</f>
        <v>-2.086300369589777</v>
      </c>
      <c r="L58" s="65">
        <f t="shared" ref="L58:L67" si="28">IF((F58-S58)=0,(F58-S58),IF((F58-S58)&gt;=0.05,(F58-S58),IF((F58-S58&lt;=-0.05),(F58-S58),"*")))</f>
        <v>-6.8932210839972186</v>
      </c>
      <c r="M58" s="65">
        <f t="shared" ref="M58:M67" si="29">IF((G58-U58)=0,(G58-U58),IF((G58-U58)&gt;=0.05,(G58-U58),IF((G58-U58&lt;=-0.05),(G58-U58),"*")))</f>
        <v>-0.4083973181645888</v>
      </c>
      <c r="N58" s="65">
        <f t="shared" ref="N58:N67" si="30">IF((H58-V58)=0,(H58-V58),IF((H58-V58)&gt;=0.05,(H58-V58),IF((H58-V58&lt;=-0.05),(H58-V58),"*")))</f>
        <v>11.770564741817411</v>
      </c>
      <c r="O58" s="17"/>
      <c r="P58" s="38">
        <f>('Instruction-4YR'!X56)/'T E&amp;G 4YR'!X56*100</f>
        <v>38.352116057211852</v>
      </c>
      <c r="Q58" s="38">
        <f>('RESEARCH 4yr'!X56)/('T E&amp;G 4YR'!X56)*100</f>
        <v>8.7312727945609048</v>
      </c>
      <c r="R58" s="38">
        <f>('PUBLIC SERVICE 4yr'!X56)/('T E&amp;G 4YR'!X56)*100</f>
        <v>6.0829375163288937</v>
      </c>
      <c r="S58" s="38">
        <f>('ASptISptSSv 4yr'!X56)/('T E&amp;G 4YR'!X56)*100</f>
        <v>32.492345179903317</v>
      </c>
      <c r="T58" s="39">
        <f>('PLANT OPER MAIN 4yr'!X56)/('T E&amp;G 4YR'!X56)*100</f>
        <v>0</v>
      </c>
      <c r="U58" s="38">
        <f>('SCHOLAR FELLOW 4yr'!X56)/('T E&amp;G 4YR'!X56)*100</f>
        <v>13.622549072861787</v>
      </c>
      <c r="V58" s="37">
        <f>IF((('All Other 4yr'!X56/'T E&amp;G 4YR'!X56)*100)&gt;=0.05,('All Other 4yr'!X56/'T E&amp;G 4YR'!X56)*100,"*")</f>
        <v>0.71877937913323997</v>
      </c>
      <c r="W58" s="17"/>
      <c r="X58" s="28">
        <f t="shared" si="11"/>
        <v>100</v>
      </c>
      <c r="Y58" s="28">
        <f t="shared" si="12"/>
        <v>100</v>
      </c>
      <c r="Z58" s="30"/>
    </row>
    <row r="59" spans="1:26" s="31" customFormat="1">
      <c r="A59" s="53" t="s">
        <v>96</v>
      </c>
      <c r="B59" s="53"/>
      <c r="C59" s="65">
        <f>'Instruction-4YR'!AC57/'T E&amp;G 4YR'!AC57*100</f>
        <v>29.608453326593953</v>
      </c>
      <c r="D59" s="65">
        <f>'RESEARCH 4yr'!AC57/'T E&amp;G 4YR'!AC57*100</f>
        <v>11.866849701558186</v>
      </c>
      <c r="E59" s="65">
        <f>'PUBLIC SERVICE 4yr'!AC57/'T E&amp;G 4YR'!AC57*100</f>
        <v>9.3872850559916063</v>
      </c>
      <c r="F59" s="65">
        <f>'ASptISptSSv 4yr'!AC57/'T E&amp;G 4YR'!AC57*100</f>
        <v>31.168092629143089</v>
      </c>
      <c r="G59" s="65">
        <f>'SCHOLAR FELLOW 4yr'!AC57/'T E&amp;G 4YR'!AC57*100</f>
        <v>17.969319286713176</v>
      </c>
      <c r="H59" s="65">
        <f>('All Other 4yr'!AC57/'T E&amp;G 4YR'!AC57)*100</f>
        <v>0</v>
      </c>
      <c r="I59" s="66">
        <f t="shared" si="25"/>
        <v>-2.1299130906583592</v>
      </c>
      <c r="J59" s="65">
        <f t="shared" si="26"/>
        <v>-0.29523916778282633</v>
      </c>
      <c r="K59" s="65">
        <f t="shared" si="27"/>
        <v>-1.0187869292599316</v>
      </c>
      <c r="L59" s="65">
        <f t="shared" si="28"/>
        <v>2.1943978378235691</v>
      </c>
      <c r="M59" s="65">
        <f t="shared" si="29"/>
        <v>1.4141863385666049</v>
      </c>
      <c r="N59" s="65">
        <f t="shared" si="30"/>
        <v>-0.16464498868903901</v>
      </c>
      <c r="O59" s="17"/>
      <c r="P59" s="38">
        <f>('Instruction-4YR'!X57)/'T E&amp;G 4YR'!X57*100</f>
        <v>31.738366417252312</v>
      </c>
      <c r="Q59" s="38">
        <f>('RESEARCH 4yr'!X57)/('T E&amp;G 4YR'!X57)*100</f>
        <v>12.162088869341012</v>
      </c>
      <c r="R59" s="38">
        <f>('PUBLIC SERVICE 4yr'!X57)/('T E&amp;G 4YR'!X57)*100</f>
        <v>10.406071985251538</v>
      </c>
      <c r="S59" s="38">
        <f>('ASptISptSSv 4yr'!X57)/('T E&amp;G 4YR'!X57)*100</f>
        <v>28.97369479131952</v>
      </c>
      <c r="T59" s="39">
        <f>('PLANT OPER MAIN 4yr'!X57)/('T E&amp;G 4YR'!X57)*100</f>
        <v>0</v>
      </c>
      <c r="U59" s="38">
        <f>('SCHOLAR FELLOW 4yr'!X57)/('T E&amp;G 4YR'!X57)*100</f>
        <v>16.555132948146571</v>
      </c>
      <c r="V59" s="37">
        <f>IF((('All Other 4yr'!X57/'T E&amp;G 4YR'!X57)*100)&gt;=0.05,('All Other 4yr'!X57/'T E&amp;G 4YR'!X57)*100,"*")</f>
        <v>0.16464498868903901</v>
      </c>
      <c r="W59" s="17"/>
      <c r="X59" s="28">
        <f t="shared" si="11"/>
        <v>99.999999999999986</v>
      </c>
      <c r="Y59" s="28">
        <f t="shared" si="12"/>
        <v>100.00000000000001</v>
      </c>
      <c r="Z59" s="30"/>
    </row>
    <row r="60" spans="1:26" s="31" customFormat="1">
      <c r="A60" s="53" t="s">
        <v>97</v>
      </c>
      <c r="B60" s="53"/>
      <c r="C60" s="65">
        <f>'Instruction-4YR'!AC58/'T E&amp;G 4YR'!AC58*100</f>
        <v>34.496863246827573</v>
      </c>
      <c r="D60" s="65">
        <f>'RESEARCH 4yr'!AC58/'T E&amp;G 4YR'!AC58*100</f>
        <v>13.258894033831778</v>
      </c>
      <c r="E60" s="65">
        <f>'PUBLIC SERVICE 4yr'!AC58/'T E&amp;G 4YR'!AC58*100</f>
        <v>12.051022497087803</v>
      </c>
      <c r="F60" s="65">
        <f>'ASptISptSSv 4yr'!AC58/'T E&amp;G 4YR'!AC58*100</f>
        <v>26.84426594281377</v>
      </c>
      <c r="G60" s="65">
        <f>'SCHOLAR FELLOW 4yr'!AC58/'T E&amp;G 4YR'!AC58*100</f>
        <v>11.35352093749437</v>
      </c>
      <c r="H60" s="65">
        <f>('All Other 4yr'!AC58/'T E&amp;G 4YR'!AC58)*100</f>
        <v>1.9954333419447114</v>
      </c>
      <c r="I60" s="66">
        <f t="shared" si="25"/>
        <v>0.98127290212415375</v>
      </c>
      <c r="J60" s="65">
        <f t="shared" si="26"/>
        <v>-1.9942706817972855</v>
      </c>
      <c r="K60" s="65">
        <f t="shared" si="27"/>
        <v>-1.5753159202043872</v>
      </c>
      <c r="L60" s="65">
        <f t="shared" si="28"/>
        <v>0.51847954947666253</v>
      </c>
      <c r="M60" s="65">
        <f t="shared" si="29"/>
        <v>1.6198409828173865</v>
      </c>
      <c r="N60" s="65">
        <f t="shared" si="30"/>
        <v>0.44999316758347008</v>
      </c>
      <c r="O60" s="17"/>
      <c r="P60" s="38">
        <f>('Instruction-4YR'!X58)/'T E&amp;G 4YR'!X58*100</f>
        <v>33.515590344703419</v>
      </c>
      <c r="Q60" s="38">
        <f>('RESEARCH 4yr'!X58)/('T E&amp;G 4YR'!X58)*100</f>
        <v>15.253164715629064</v>
      </c>
      <c r="R60" s="38">
        <f>('PUBLIC SERVICE 4yr'!X58)/('T E&amp;G 4YR'!X58)*100</f>
        <v>13.626338417292191</v>
      </c>
      <c r="S60" s="38">
        <f>('ASptISptSSv 4yr'!X58)/('T E&amp;G 4YR'!X58)*100</f>
        <v>26.325786393337108</v>
      </c>
      <c r="T60" s="39">
        <f>('PLANT OPER MAIN 4yr'!X58)/('T E&amp;G 4YR'!X58)*100</f>
        <v>0</v>
      </c>
      <c r="U60" s="38">
        <f>('SCHOLAR FELLOW 4yr'!X58)/('T E&amp;G 4YR'!X58)*100</f>
        <v>9.7336799546769832</v>
      </c>
      <c r="V60" s="37">
        <f>IF((('All Other 4yr'!X58/'T E&amp;G 4YR'!X58)*100)&gt;=0.05,('All Other 4yr'!X58/'T E&amp;G 4YR'!X58)*100,"*")</f>
        <v>1.5454401743612414</v>
      </c>
      <c r="W60" s="17"/>
      <c r="X60" s="28">
        <f t="shared" si="11"/>
        <v>100.00000000000001</v>
      </c>
      <c r="Y60" s="28">
        <f t="shared" si="12"/>
        <v>100</v>
      </c>
      <c r="Z60" s="30"/>
    </row>
    <row r="61" spans="1:26" s="31" customFormat="1">
      <c r="A61" s="53" t="s">
        <v>103</v>
      </c>
      <c r="B61" s="53"/>
      <c r="C61" s="65">
        <f>'Instruction-4YR'!AC59/'T E&amp;G 4YR'!AC59*100</f>
        <v>35.39153841117443</v>
      </c>
      <c r="D61" s="65">
        <f>'RESEARCH 4yr'!AC59/'T E&amp;G 4YR'!AC59*100</f>
        <v>15.317152243510131</v>
      </c>
      <c r="E61" s="65">
        <f>'PUBLIC SERVICE 4yr'!AC59/'T E&amp;G 4YR'!AC59*100</f>
        <v>1.3373447529231577</v>
      </c>
      <c r="F61" s="65">
        <f>'ASptISptSSv 4yr'!AC59/'T E&amp;G 4YR'!AC59*100</f>
        <v>25.682525768393411</v>
      </c>
      <c r="G61" s="65">
        <f>'SCHOLAR FELLOW 4yr'!AC59/'T E&amp;G 4YR'!AC59*100</f>
        <v>21.562876527268816</v>
      </c>
      <c r="H61" s="65">
        <f>('All Other 4yr'!AC59/'T E&amp;G 4YR'!AC59)*100</f>
        <v>0.70856229673005322</v>
      </c>
      <c r="I61" s="66">
        <f t="shared" si="25"/>
        <v>-0.75374223943543228</v>
      </c>
      <c r="J61" s="65">
        <f t="shared" si="26"/>
        <v>-6.819620433835814</v>
      </c>
      <c r="K61" s="65" t="str">
        <f t="shared" si="27"/>
        <v>*</v>
      </c>
      <c r="L61" s="65">
        <f t="shared" si="28"/>
        <v>3.0428087858950796</v>
      </c>
      <c r="M61" s="65">
        <f t="shared" si="29"/>
        <v>3.922724105606747</v>
      </c>
      <c r="N61" s="65">
        <f t="shared" si="30"/>
        <v>0.59768729317271141</v>
      </c>
      <c r="O61" s="17"/>
      <c r="P61" s="38">
        <f>('Instruction-4YR'!X59)/'T E&amp;G 4YR'!X59*100</f>
        <v>36.145280650609863</v>
      </c>
      <c r="Q61" s="38">
        <f>('RESEARCH 4yr'!X59)/('T E&amp;G 4YR'!X59)*100</f>
        <v>22.136772677345945</v>
      </c>
      <c r="R61" s="38">
        <f>('PUBLIC SERVICE 4yr'!X59)/('T E&amp;G 4YR'!X59)*100</f>
        <v>1.3272022643264421</v>
      </c>
      <c r="S61" s="38">
        <f>('ASptISptSSv 4yr'!X59)/('T E&amp;G 4YR'!X59)*100</f>
        <v>22.639716982498332</v>
      </c>
      <c r="T61" s="39">
        <f>('PLANT OPER MAIN 4yr'!X59)/('T E&amp;G 4YR'!X59)*100</f>
        <v>0</v>
      </c>
      <c r="U61" s="38">
        <f>('SCHOLAR FELLOW 4yr'!X59)/('T E&amp;G 4YR'!X59)*100</f>
        <v>17.640152421662069</v>
      </c>
      <c r="V61" s="37">
        <f>IF((('All Other 4yr'!X59/'T E&amp;G 4YR'!X59)*100)&gt;=0.05,('All Other 4yr'!X59/'T E&amp;G 4YR'!X59)*100,"*")</f>
        <v>0.11087500355734181</v>
      </c>
      <c r="W61" s="17"/>
      <c r="X61" s="28">
        <f t="shared" si="11"/>
        <v>99.999999999999986</v>
      </c>
      <c r="Y61" s="28">
        <f t="shared" si="12"/>
        <v>100</v>
      </c>
      <c r="Z61" s="30"/>
    </row>
    <row r="62" spans="1:26" s="31" customFormat="1">
      <c r="A62" s="54" t="s">
        <v>104</v>
      </c>
      <c r="B62" s="54"/>
      <c r="C62" s="63">
        <f>'Instruction-4YR'!AC60/'T E&amp;G 4YR'!AC60*100</f>
        <v>35.425069265436392</v>
      </c>
      <c r="D62" s="63">
        <f>'RESEARCH 4yr'!AC60/'T E&amp;G 4YR'!AC60*100</f>
        <v>10.74887464714495</v>
      </c>
      <c r="E62" s="63">
        <f>'PUBLIC SERVICE 4yr'!AC60/'T E&amp;G 4YR'!AC60*100</f>
        <v>5.8835226276729156</v>
      </c>
      <c r="F62" s="63">
        <f>'ASptISptSSv 4yr'!AC60/'T E&amp;G 4YR'!AC60*100</f>
        <v>31.921358527106531</v>
      </c>
      <c r="G62" s="63">
        <f>'SCHOLAR FELLOW 4yr'!AC60/'T E&amp;G 4YR'!AC60*100</f>
        <v>13.068321433084257</v>
      </c>
      <c r="H62" s="63">
        <f>('All Other 4yr'!AC60/'T E&amp;G 4YR'!AC60)*100</f>
        <v>2.9528534995549491</v>
      </c>
      <c r="I62" s="64">
        <f t="shared" si="25"/>
        <v>-5.3857649126611378</v>
      </c>
      <c r="J62" s="63">
        <f t="shared" si="26"/>
        <v>-3.2975276084713645</v>
      </c>
      <c r="K62" s="63">
        <f t="shared" si="27"/>
        <v>1.2666131860512282</v>
      </c>
      <c r="L62" s="63">
        <f t="shared" si="28"/>
        <v>5.5031034963741163</v>
      </c>
      <c r="M62" s="63">
        <f t="shared" si="29"/>
        <v>7.6325810127029214E-2</v>
      </c>
      <c r="N62" s="63">
        <f t="shared" si="30"/>
        <v>1.8372500285801114</v>
      </c>
      <c r="O62" s="17"/>
      <c r="P62" s="38">
        <f>('Instruction-4YR'!X60)/'T E&amp;G 4YR'!X60*100</f>
        <v>40.810834178097529</v>
      </c>
      <c r="Q62" s="38">
        <f>('RESEARCH 4yr'!X60)/('T E&amp;G 4YR'!X60)*100</f>
        <v>14.046402255616314</v>
      </c>
      <c r="R62" s="38">
        <f>('PUBLIC SERVICE 4yr'!X60)/('T E&amp;G 4YR'!X60)*100</f>
        <v>4.6169094416216874</v>
      </c>
      <c r="S62" s="38">
        <f>('ASptISptSSv 4yr'!X60)/('T E&amp;G 4YR'!X60)*100</f>
        <v>26.418255030732414</v>
      </c>
      <c r="T62" s="39">
        <f>('PLANT OPER MAIN 4yr'!X60)/('T E&amp;G 4YR'!X60)*100</f>
        <v>0</v>
      </c>
      <c r="U62" s="38">
        <f>('SCHOLAR FELLOW 4yr'!X60)/('T E&amp;G 4YR'!X60)*100</f>
        <v>12.991995622957228</v>
      </c>
      <c r="V62" s="37">
        <f>IF((('All Other 4yr'!X60/'T E&amp;G 4YR'!X60)*100)&gt;=0.05,('All Other 4yr'!X60/'T E&amp;G 4YR'!X60)*100,"*")</f>
        <v>1.1156034709748377</v>
      </c>
      <c r="W62" s="17"/>
      <c r="X62" s="28">
        <f t="shared" si="11"/>
        <v>100.00000000000001</v>
      </c>
      <c r="Y62" s="28">
        <f t="shared" si="12"/>
        <v>100</v>
      </c>
      <c r="Z62" s="30"/>
    </row>
    <row r="63" spans="1:26" s="31" customFormat="1">
      <c r="A63" s="54" t="s">
        <v>106</v>
      </c>
      <c r="B63" s="54"/>
      <c r="C63" s="63">
        <f>'Instruction-4YR'!AC61/'T E&amp;G 4YR'!AC61*100</f>
        <v>44.583221966222126</v>
      </c>
      <c r="D63" s="63">
        <f>'RESEARCH 4yr'!AC61/'T E&amp;G 4YR'!AC61*100</f>
        <v>7.2032851397912001</v>
      </c>
      <c r="E63" s="63">
        <f>'PUBLIC SERVICE 4yr'!AC61/'T E&amp;G 4YR'!AC61*100</f>
        <v>2.0393680195239727</v>
      </c>
      <c r="F63" s="63">
        <f>'ASptISptSSv 4yr'!AC61/'T E&amp;G 4YR'!AC61*100</f>
        <v>29.467095977274639</v>
      </c>
      <c r="G63" s="63">
        <f>'SCHOLAR FELLOW 4yr'!AC61/'T E&amp;G 4YR'!AC61*100</f>
        <v>15.006476367417784</v>
      </c>
      <c r="H63" s="63">
        <f>('All Other 4yr'!AC61/'T E&amp;G 4YR'!AC61)*100</f>
        <v>1.7005525297702779</v>
      </c>
      <c r="I63" s="64">
        <f t="shared" si="25"/>
        <v>3.1695438761827717</v>
      </c>
      <c r="J63" s="63">
        <f t="shared" si="26"/>
        <v>-1.0692813173017868</v>
      </c>
      <c r="K63" s="63">
        <f t="shared" si="27"/>
        <v>-0.42870403875746765</v>
      </c>
      <c r="L63" s="63">
        <f t="shared" si="28"/>
        <v>-1.5557611830316347</v>
      </c>
      <c r="M63" s="63">
        <f t="shared" si="29"/>
        <v>0.95175935040682447</v>
      </c>
      <c r="N63" s="63">
        <f t="shared" si="30"/>
        <v>-1.0675566874987092</v>
      </c>
      <c r="O63" s="17"/>
      <c r="P63" s="38">
        <f>('Instruction-4YR'!X61)/'T E&amp;G 4YR'!X61*100</f>
        <v>41.413678090039355</v>
      </c>
      <c r="Q63" s="38">
        <f>('RESEARCH 4yr'!X61)/('T E&amp;G 4YR'!X61)*100</f>
        <v>8.2725664570929869</v>
      </c>
      <c r="R63" s="38">
        <f>('PUBLIC SERVICE 4yr'!X61)/('T E&amp;G 4YR'!X61)*100</f>
        <v>2.4680720582814404</v>
      </c>
      <c r="S63" s="38">
        <f>('ASptISptSSv 4yr'!X61)/('T E&amp;G 4YR'!X61)*100</f>
        <v>31.022857160306273</v>
      </c>
      <c r="T63" s="39">
        <f>('PLANT OPER MAIN 4yr'!X61)/('T E&amp;G 4YR'!X61)*100</f>
        <v>0</v>
      </c>
      <c r="U63" s="38">
        <f>('SCHOLAR FELLOW 4yr'!X61)/('T E&amp;G 4YR'!X61)*100</f>
        <v>14.05471701701096</v>
      </c>
      <c r="V63" s="37">
        <f>IF((('All Other 4yr'!X61/'T E&amp;G 4YR'!X61)*100)&gt;=0.05,('All Other 4yr'!X61/'T E&amp;G 4YR'!X61)*100,"*")</f>
        <v>2.7681092172689872</v>
      </c>
      <c r="W63" s="17"/>
      <c r="X63" s="28">
        <f t="shared" si="11"/>
        <v>100</v>
      </c>
      <c r="Y63" s="28">
        <f t="shared" si="12"/>
        <v>100</v>
      </c>
      <c r="Z63" s="30"/>
    </row>
    <row r="64" spans="1:26" s="31" customFormat="1">
      <c r="A64" s="54" t="s">
        <v>110</v>
      </c>
      <c r="B64" s="54"/>
      <c r="C64" s="63">
        <f>'Instruction-4YR'!AC62/'T E&amp;G 4YR'!AC62*100</f>
        <v>45.812760848466304</v>
      </c>
      <c r="D64" s="63">
        <f>'RESEARCH 4yr'!AC62/'T E&amp;G 4YR'!AC62*100</f>
        <v>0.36812958884893315</v>
      </c>
      <c r="E64" s="63">
        <f>'PUBLIC SERVICE 4yr'!AC62/'T E&amp;G 4YR'!AC62*100</f>
        <v>2.4804626880224463</v>
      </c>
      <c r="F64" s="63">
        <f>'ASptISptSSv 4yr'!AC62/'T E&amp;G 4YR'!AC62*100</f>
        <v>36.703815189525422</v>
      </c>
      <c r="G64" s="63">
        <f>'SCHOLAR FELLOW 4yr'!AC62/'T E&amp;G 4YR'!AC62*100</f>
        <v>14.634831538730269</v>
      </c>
      <c r="H64" s="63">
        <f>('All Other 4yr'!AC62/'T E&amp;G 4YR'!AC62)*100</f>
        <v>1.4640662035979479E-7</v>
      </c>
      <c r="I64" s="64">
        <f t="shared" si="25"/>
        <v>1.5375024290804689</v>
      </c>
      <c r="J64" s="63">
        <f t="shared" si="26"/>
        <v>-5.7682655731738586E-2</v>
      </c>
      <c r="K64" s="63">
        <f t="shared" si="27"/>
        <v>0.30615422238711565</v>
      </c>
      <c r="L64" s="63">
        <f t="shared" si="28"/>
        <v>-0.13667247464982069</v>
      </c>
      <c r="M64" s="63">
        <f t="shared" si="29"/>
        <v>-1.6493016674926526</v>
      </c>
      <c r="N64" s="63" t="str">
        <f t="shared" si="30"/>
        <v>*</v>
      </c>
      <c r="O64" s="17"/>
      <c r="P64" s="38">
        <f>('Instruction-4YR'!X62)/'T E&amp;G 4YR'!X62*100</f>
        <v>44.275258419385835</v>
      </c>
      <c r="Q64" s="38">
        <f>('RESEARCH 4yr'!X62)/('T E&amp;G 4YR'!X62)*100</f>
        <v>0.42581224458067174</v>
      </c>
      <c r="R64" s="38">
        <f>('PUBLIC SERVICE 4yr'!X62)/('T E&amp;G 4YR'!X62)*100</f>
        <v>2.1743084656353306</v>
      </c>
      <c r="S64" s="38">
        <f>('ASptISptSSv 4yr'!X62)/('T E&amp;G 4YR'!X62)*100</f>
        <v>36.840487664175242</v>
      </c>
      <c r="T64" s="39">
        <f>('PLANT OPER MAIN 4yr'!X62)/('T E&amp;G 4YR'!X62)*100</f>
        <v>0</v>
      </c>
      <c r="U64" s="38">
        <f>('SCHOLAR FELLOW 4yr'!X62)/('T E&amp;G 4YR'!X62)*100</f>
        <v>16.284133206222922</v>
      </c>
      <c r="V64" s="37" t="str">
        <f>IF((('All Other 4yr'!X62/'T E&amp;G 4YR'!X62)*100)&gt;=0.05,('All Other 4yr'!X62/'T E&amp;G 4YR'!X62)*100,"*")</f>
        <v>*</v>
      </c>
      <c r="W64" s="17"/>
      <c r="X64" s="28">
        <f t="shared" si="11"/>
        <v>100</v>
      </c>
      <c r="Y64" s="28">
        <f t="shared" si="12"/>
        <v>99.999999999999986</v>
      </c>
      <c r="Z64" s="30"/>
    </row>
    <row r="65" spans="1:30" s="31" customFormat="1">
      <c r="A65" s="54" t="s">
        <v>111</v>
      </c>
      <c r="B65" s="54"/>
      <c r="C65" s="63">
        <f>'Instruction-4YR'!AC63/'T E&amp;G 4YR'!AC63*100</f>
        <v>30.261681169405954</v>
      </c>
      <c r="D65" s="63">
        <f>'RESEARCH 4yr'!AC63/'T E&amp;G 4YR'!AC63*100</f>
        <v>15.753977059736791</v>
      </c>
      <c r="E65" s="63">
        <f>'PUBLIC SERVICE 4yr'!AC63/'T E&amp;G 4YR'!AC63*100</f>
        <v>1.7740968904672805</v>
      </c>
      <c r="F65" s="63">
        <f>'ASptISptSSv 4yr'!AC63/'T E&amp;G 4YR'!AC63*100</f>
        <v>29.116960397119772</v>
      </c>
      <c r="G65" s="63">
        <f>'SCHOLAR FELLOW 4yr'!AC63/'T E&amp;G 4YR'!AC63*100</f>
        <v>23.093284483270196</v>
      </c>
      <c r="H65" s="63">
        <f>('All Other 4yr'!AC63/'T E&amp;G 4YR'!AC63)*100</f>
        <v>0</v>
      </c>
      <c r="I65" s="64">
        <f t="shared" si="25"/>
        <v>1.7425583326488052</v>
      </c>
      <c r="J65" s="63">
        <f t="shared" si="26"/>
        <v>-3.4774726988986018</v>
      </c>
      <c r="K65" s="63">
        <f t="shared" si="27"/>
        <v>-0.16108513997543339</v>
      </c>
      <c r="L65" s="63">
        <f t="shared" si="28"/>
        <v>-1.0747091136768532</v>
      </c>
      <c r="M65" s="63">
        <f t="shared" si="29"/>
        <v>2.9707086199020729</v>
      </c>
      <c r="N65" s="63">
        <f t="shared" si="30"/>
        <v>0</v>
      </c>
      <c r="O65" s="17"/>
      <c r="P65" s="38">
        <f>('Instruction-4YR'!X63)/'T E&amp;G 4YR'!X63*100</f>
        <v>28.519122836757148</v>
      </c>
      <c r="Q65" s="38">
        <f>('RESEARCH 4yr'!X63)/('T E&amp;G 4YR'!X63)*100</f>
        <v>19.231449758635392</v>
      </c>
      <c r="R65" s="38">
        <f>('PUBLIC SERVICE 4yr'!X63)/('T E&amp;G 4YR'!X63)*100</f>
        <v>1.9351820304427139</v>
      </c>
      <c r="S65" s="38">
        <f>('ASptISptSSv 4yr'!X63)/('T E&amp;G 4YR'!X63)*100</f>
        <v>30.191669510796626</v>
      </c>
      <c r="T65" s="39">
        <f>('PLANT OPER MAIN 4yr'!X63)/('T E&amp;G 4YR'!X63)*100</f>
        <v>0</v>
      </c>
      <c r="U65" s="38">
        <f>('SCHOLAR FELLOW 4yr'!X63)/('T E&amp;G 4YR'!X63)*100</f>
        <v>20.122575863368123</v>
      </c>
      <c r="V65" s="37" t="str">
        <f>IF((('All Other 4yr'!X63/'T E&amp;G 4YR'!X63)*100)&gt;=0.05,('All Other 4yr'!X63/'T E&amp;G 4YR'!X63)*100,"*")</f>
        <v>*</v>
      </c>
      <c r="W65" s="17"/>
      <c r="X65" s="28">
        <f t="shared" si="11"/>
        <v>100</v>
      </c>
      <c r="Y65" s="28">
        <f t="shared" si="12"/>
        <v>99.999999999999986</v>
      </c>
      <c r="Z65" s="30"/>
    </row>
    <row r="66" spans="1:30" s="31" customFormat="1">
      <c r="A66" s="55" t="s">
        <v>114</v>
      </c>
      <c r="B66" s="55"/>
      <c r="C66" s="61">
        <f>'Instruction-4YR'!AC64/'T E&amp;G 4YR'!AC64*100</f>
        <v>30.671626957463072</v>
      </c>
      <c r="D66" s="61">
        <f>'RESEARCH 4yr'!AC64/'T E&amp;G 4YR'!AC64*100</f>
        <v>11.622107650904805</v>
      </c>
      <c r="E66" s="61">
        <f>'PUBLIC SERVICE 4yr'!AC64/'T E&amp;G 4YR'!AC64*100</f>
        <v>9.8088057152167707</v>
      </c>
      <c r="F66" s="61">
        <f>'ASptISptSSv 4yr'!AC64/'T E&amp;G 4YR'!AC64*100</f>
        <v>27.09261774963872</v>
      </c>
      <c r="G66" s="61">
        <f>'SCHOLAR FELLOW 4yr'!AC64/'T E&amp;G 4YR'!AC64*100</f>
        <v>17.493771709831151</v>
      </c>
      <c r="H66" s="98">
        <f>('All Other 4yr'!AC64/'T E&amp;G 4YR'!AC64)*100</f>
        <v>3.3110702169454753</v>
      </c>
      <c r="I66" s="62">
        <f t="shared" si="25"/>
        <v>-1.2522585220997691</v>
      </c>
      <c r="J66" s="61">
        <f t="shared" si="26"/>
        <v>-1.638232877666427</v>
      </c>
      <c r="K66" s="61">
        <f t="shared" si="27"/>
        <v>0.36064801047893802</v>
      </c>
      <c r="L66" s="61">
        <f t="shared" si="28"/>
        <v>-1.9033139143456879</v>
      </c>
      <c r="M66" s="61">
        <f t="shared" si="29"/>
        <v>1.952855729954095</v>
      </c>
      <c r="N66" s="61">
        <f t="shared" si="30"/>
        <v>2.4803015736788461</v>
      </c>
      <c r="O66" s="17"/>
      <c r="P66" s="38">
        <f>('Instruction-4YR'!X64)/'T E&amp;G 4YR'!X64*100</f>
        <v>31.923885479562841</v>
      </c>
      <c r="Q66" s="38">
        <f>('RESEARCH 4yr'!X64)/('T E&amp;G 4YR'!X64)*100</f>
        <v>13.260340528571232</v>
      </c>
      <c r="R66" s="38">
        <f>('PUBLIC SERVICE 4yr'!X64)/('T E&amp;G 4YR'!X64)*100</f>
        <v>9.4481577047378327</v>
      </c>
      <c r="S66" s="38">
        <f>('ASptISptSSv 4yr'!X64)/('T E&amp;G 4YR'!X64)*100</f>
        <v>28.995931663984408</v>
      </c>
      <c r="T66" s="39">
        <f>('PLANT OPER MAIN 4yr'!X64)/('T E&amp;G 4YR'!X64)*100</f>
        <v>0</v>
      </c>
      <c r="U66" s="38">
        <f>('SCHOLAR FELLOW 4yr'!X64)/('T E&amp;G 4YR'!X64)*100</f>
        <v>15.540915979877056</v>
      </c>
      <c r="V66" s="37">
        <f>IF((('All Other 4yr'!X64/'T E&amp;G 4YR'!X64)*100)&gt;=0.05,('All Other 4yr'!X64/'T E&amp;G 4YR'!X64)*100,"*")</f>
        <v>0.83076864326662936</v>
      </c>
      <c r="W66" s="17"/>
      <c r="X66" s="28">
        <f t="shared" si="11"/>
        <v>99.999999999999986</v>
      </c>
      <c r="Y66" s="28">
        <f t="shared" si="12"/>
        <v>100</v>
      </c>
      <c r="Z66" s="30"/>
    </row>
    <row r="67" spans="1:30" s="31" customFormat="1">
      <c r="A67" s="46" t="s">
        <v>90</v>
      </c>
      <c r="B67" s="46"/>
      <c r="C67" s="61">
        <f>'Instruction-4YR'!AC65/'T E&amp;G 4YR'!AC65*100</f>
        <v>27.686722813247748</v>
      </c>
      <c r="D67" s="61">
        <f>'RESEARCH 4yr'!AC65/'T E&amp;G 4YR'!AC65*100</f>
        <v>3.6243699059373213</v>
      </c>
      <c r="E67" s="61">
        <f>'PUBLIC SERVICE 4yr'!AC65/'T E&amp;G 4YR'!AC65*100</f>
        <v>1.661100307312978</v>
      </c>
      <c r="F67" s="61">
        <f>'ASptISptSSv 4yr'!AC65/'T E&amp;G 4YR'!AC65*100</f>
        <v>35.406397272267668</v>
      </c>
      <c r="G67" s="61">
        <f>'SCHOLAR FELLOW 4yr'!AC65/'T E&amp;G 4YR'!AC65*100</f>
        <v>14.332962117542916</v>
      </c>
      <c r="H67" s="98">
        <f>('All Other 4yr'!AC65/'T E&amp;G 4YR'!AC65)*100</f>
        <v>17.288447583691376</v>
      </c>
      <c r="I67" s="72">
        <f t="shared" si="25"/>
        <v>-13.155053587744419</v>
      </c>
      <c r="J67" s="71">
        <f t="shared" si="26"/>
        <v>-1.2682462026291592</v>
      </c>
      <c r="K67" s="71">
        <f t="shared" si="27"/>
        <v>-1.2920398455107862</v>
      </c>
      <c r="L67" s="71">
        <f t="shared" si="28"/>
        <v>5.2963252661543834</v>
      </c>
      <c r="M67" s="71">
        <f t="shared" si="29"/>
        <v>-2.5449371824398348</v>
      </c>
      <c r="N67" s="71">
        <f t="shared" si="30"/>
        <v>12.963951552169828</v>
      </c>
      <c r="O67" s="17"/>
      <c r="P67" s="38">
        <f>('Instruction-4YR'!X65)/'T E&amp;G 4YR'!X65*100</f>
        <v>40.841776400992167</v>
      </c>
      <c r="Q67" s="38">
        <f>('RESEARCH 4yr'!X65)/('T E&amp;G 4YR'!X65)*100</f>
        <v>4.8926161085664805</v>
      </c>
      <c r="R67" s="38">
        <f>('PUBLIC SERVICE 4yr'!X65)/('T E&amp;G 4YR'!X65)*100</f>
        <v>2.9531401528237642</v>
      </c>
      <c r="S67" s="38">
        <f>('ASptISptSSv 4yr'!X65)/('T E&amp;G 4YR'!X65)*100</f>
        <v>30.110072006113285</v>
      </c>
      <c r="T67" s="39">
        <f>('PLANT OPER MAIN 4yr'!X65)/('T E&amp;G 4YR'!X65)*100</f>
        <v>0</v>
      </c>
      <c r="U67" s="38">
        <f>('SCHOLAR FELLOW 4yr'!X65)/('T E&amp;G 4YR'!X65)*100</f>
        <v>16.877899299982751</v>
      </c>
      <c r="V67" s="37">
        <f>IF((('All Other 4yr'!X65/'T E&amp;G 4YR'!X65)*100)&gt;=0.05,('All Other 4yr'!X65/'T E&amp;G 4YR'!X65)*100,"*")</f>
        <v>4.3244960315215488</v>
      </c>
      <c r="W67" s="17"/>
      <c r="X67" s="28">
        <f t="shared" si="11"/>
        <v>99.999999999999986</v>
      </c>
      <c r="Y67" s="28">
        <f t="shared" si="12"/>
        <v>100.00000000000001</v>
      </c>
      <c r="Z67" s="30"/>
    </row>
    <row r="68" spans="1:30" s="31" customFormat="1">
      <c r="A68" s="22"/>
      <c r="B68"/>
      <c r="C68"/>
      <c r="D68"/>
      <c r="E68"/>
      <c r="F68"/>
      <c r="G68"/>
      <c r="H68"/>
      <c r="K68" s="29"/>
      <c r="L68" s="29"/>
      <c r="M68" s="29"/>
      <c r="N68" s="29"/>
      <c r="O68" s="17"/>
      <c r="P68" s="38"/>
      <c r="Q68" s="38"/>
      <c r="R68" s="38"/>
      <c r="S68" s="38"/>
      <c r="T68" s="39"/>
      <c r="U68" s="38"/>
      <c r="V68" s="37"/>
      <c r="W68" s="17"/>
      <c r="X68" s="30"/>
      <c r="Y68" s="30"/>
      <c r="Z68" s="30"/>
    </row>
    <row r="69" spans="1:30" ht="24.75" customHeight="1">
      <c r="A69" s="108" t="s">
        <v>159</v>
      </c>
      <c r="B69" s="102"/>
      <c r="C69" s="102"/>
      <c r="D69" s="102"/>
      <c r="E69" s="102"/>
      <c r="F69" s="102"/>
      <c r="G69" s="102"/>
      <c r="H69" s="102" t="s">
        <v>155</v>
      </c>
      <c r="I69" s="106" t="s">
        <v>146</v>
      </c>
      <c r="J69" s="107"/>
      <c r="K69" s="107"/>
      <c r="L69" s="107"/>
      <c r="M69" s="107"/>
      <c r="N69" s="107"/>
      <c r="O69" s="18"/>
      <c r="P69" s="38"/>
      <c r="Q69" s="38"/>
      <c r="R69" s="38"/>
      <c r="S69" s="38"/>
      <c r="T69" s="39"/>
      <c r="U69" s="38"/>
      <c r="V69" s="37"/>
      <c r="W69" s="18"/>
      <c r="X69" s="1"/>
      <c r="Y69" s="14"/>
      <c r="Z69" s="1"/>
      <c r="AA69" s="1"/>
      <c r="AB69" s="1"/>
      <c r="AC69" s="1"/>
      <c r="AD69" s="1"/>
    </row>
    <row r="70" spans="1:30" ht="114.75" customHeight="1">
      <c r="A70" s="106" t="s">
        <v>139</v>
      </c>
      <c r="B70" s="105"/>
      <c r="C70" s="105"/>
      <c r="D70" s="105"/>
      <c r="E70" s="105"/>
      <c r="F70" s="105"/>
      <c r="G70" s="105"/>
      <c r="H70" s="105"/>
      <c r="I70" s="32"/>
      <c r="J70" s="14"/>
      <c r="K70" s="14"/>
      <c r="L70" s="14"/>
      <c r="M70" s="14"/>
      <c r="N70" s="14"/>
      <c r="O70" s="18"/>
      <c r="P70" s="38"/>
      <c r="Q70" s="38"/>
      <c r="R70" s="38"/>
      <c r="S70" s="38"/>
      <c r="T70" s="39"/>
      <c r="U70" s="38"/>
      <c r="V70" s="37"/>
      <c r="W70" s="18"/>
      <c r="X70" s="1"/>
      <c r="Y70" s="14"/>
      <c r="Z70" s="1"/>
      <c r="AA70" s="1"/>
      <c r="AB70" s="1"/>
      <c r="AC70" s="1"/>
      <c r="AD70" s="1"/>
    </row>
    <row r="71" spans="1:30" ht="47.25" customHeight="1">
      <c r="A71" s="106" t="s">
        <v>147</v>
      </c>
      <c r="B71" s="105"/>
      <c r="C71" s="105"/>
      <c r="D71" s="105"/>
      <c r="E71" s="105"/>
      <c r="F71" s="105"/>
      <c r="G71" s="105"/>
      <c r="H71" s="105"/>
      <c r="I71" s="32"/>
      <c r="J71" s="14"/>
      <c r="K71" s="14"/>
      <c r="L71" s="14"/>
      <c r="M71" s="14"/>
      <c r="N71" s="14"/>
      <c r="O71" s="18"/>
      <c r="P71" s="18"/>
      <c r="Q71" s="18"/>
      <c r="R71" s="18"/>
      <c r="S71" s="18"/>
      <c r="T71" s="18"/>
      <c r="U71" s="18"/>
      <c r="V71" s="18"/>
      <c r="W71" s="18"/>
      <c r="X71" s="1"/>
      <c r="Y71" s="14"/>
      <c r="Z71" s="1"/>
      <c r="AA71" s="1"/>
      <c r="AB71" s="1"/>
      <c r="AC71" s="1"/>
      <c r="AD71" s="1"/>
    </row>
    <row r="72" spans="1:30">
      <c r="A72" s="106" t="s">
        <v>138</v>
      </c>
      <c r="B72" s="105"/>
      <c r="C72" s="105"/>
      <c r="D72" s="105"/>
      <c r="E72" s="105"/>
      <c r="F72" s="105"/>
      <c r="G72" s="105"/>
      <c r="H72" s="105"/>
      <c r="I72" s="32"/>
      <c r="J72" s="14"/>
      <c r="K72" s="14"/>
      <c r="L72" s="14"/>
      <c r="M72" s="14"/>
      <c r="N72" s="14" t="s">
        <v>154</v>
      </c>
      <c r="O72" s="18"/>
      <c r="P72" s="18"/>
      <c r="Q72" s="18"/>
      <c r="R72" s="18"/>
      <c r="S72" s="18"/>
      <c r="T72" s="18"/>
      <c r="U72" s="18"/>
      <c r="V72" s="18"/>
      <c r="W72" s="18"/>
      <c r="X72" s="1"/>
      <c r="Y72" s="14"/>
      <c r="Z72" s="1"/>
      <c r="AA72" s="1"/>
      <c r="AB72" s="1"/>
      <c r="AC72" s="1"/>
      <c r="AD72" s="1"/>
    </row>
    <row r="73" spans="1:30" ht="14.25">
      <c r="A73" s="104"/>
      <c r="B73" s="105"/>
      <c r="C73" s="105"/>
      <c r="D73" s="105"/>
      <c r="E73" s="105"/>
      <c r="F73" s="105"/>
      <c r="G73" s="105"/>
      <c r="H73" s="105"/>
      <c r="I73" s="27"/>
      <c r="J73" s="27"/>
      <c r="K73" s="27"/>
      <c r="L73" s="27"/>
      <c r="M73" s="14"/>
      <c r="N73" s="19"/>
      <c r="O73"/>
      <c r="P73"/>
      <c r="Q73"/>
      <c r="R73"/>
      <c r="S73"/>
      <c r="T73"/>
      <c r="U73"/>
      <c r="V73"/>
      <c r="W73"/>
    </row>
    <row r="74" spans="1:30">
      <c r="A74" s="27"/>
      <c r="B74" s="27"/>
      <c r="C74" s="27"/>
      <c r="D74" s="27"/>
      <c r="E74" s="27"/>
      <c r="F74" s="27"/>
      <c r="G74" s="27"/>
      <c r="H74" s="27"/>
      <c r="I74" s="1"/>
      <c r="J74" s="1"/>
      <c r="K74" s="1"/>
      <c r="L74" s="1"/>
      <c r="M74" s="1"/>
      <c r="N74" s="1"/>
      <c r="O74" s="8"/>
      <c r="P74" s="8"/>
      <c r="Q74" s="8"/>
      <c r="R74" s="8"/>
      <c r="S74" s="8"/>
      <c r="T74" s="8"/>
      <c r="U74" s="8"/>
      <c r="V74" s="8"/>
      <c r="W74" s="8"/>
      <c r="X74" s="1"/>
      <c r="Y74" s="1"/>
      <c r="Z74" s="1"/>
      <c r="AA74" s="1"/>
      <c r="AB74" s="1"/>
      <c r="AC74" s="1"/>
      <c r="AD74" s="1"/>
    </row>
    <row r="75" spans="1:30">
      <c r="A75" s="1"/>
      <c r="B75" s="1"/>
      <c r="C75" s="1"/>
      <c r="D75" s="1"/>
      <c r="E75" s="1"/>
      <c r="F75" s="1"/>
      <c r="G75" s="1"/>
      <c r="H75" s="1"/>
      <c r="I75" s="1"/>
      <c r="J75" s="1"/>
      <c r="K75" s="1"/>
      <c r="L75" s="1"/>
      <c r="M75" s="1"/>
      <c r="N75" s="1"/>
      <c r="O75" s="8"/>
      <c r="P75" s="8"/>
      <c r="Q75" s="8"/>
      <c r="R75" s="8"/>
      <c r="S75" s="8"/>
      <c r="T75" s="8"/>
      <c r="U75" s="8"/>
      <c r="V75" s="8"/>
      <c r="W75" s="8"/>
      <c r="X75" s="1"/>
      <c r="Y75" s="1"/>
      <c r="Z75" s="1"/>
      <c r="AA75" s="1"/>
      <c r="AB75" s="1"/>
      <c r="AC75" s="1"/>
      <c r="AD75" s="1"/>
    </row>
    <row r="76" spans="1:30">
      <c r="A76" s="1"/>
      <c r="B76" s="1"/>
      <c r="C76" s="1"/>
      <c r="D76" s="1"/>
      <c r="E76" s="1"/>
      <c r="F76" s="1"/>
      <c r="G76" s="1"/>
      <c r="H76" s="1"/>
      <c r="I76" s="1"/>
      <c r="J76" s="1"/>
      <c r="K76" s="1"/>
      <c r="L76" s="1"/>
      <c r="M76" s="1"/>
      <c r="N76" s="1"/>
      <c r="O76" s="8"/>
      <c r="P76" s="8"/>
      <c r="Q76" s="8"/>
      <c r="R76" s="8"/>
      <c r="S76" s="8"/>
      <c r="T76" s="8"/>
      <c r="U76" s="8"/>
      <c r="V76" s="8"/>
      <c r="W76" s="8"/>
      <c r="X76" s="1"/>
      <c r="Y76" s="1"/>
      <c r="Z76" s="1"/>
      <c r="AA76" s="1"/>
      <c r="AB76" s="1"/>
      <c r="AC76" s="1"/>
      <c r="AD76" s="1"/>
    </row>
    <row r="77" spans="1:30">
      <c r="A77" s="1"/>
      <c r="B77" s="1"/>
      <c r="C77" s="1"/>
      <c r="D77" s="1"/>
      <c r="E77" s="1"/>
      <c r="F77" s="1"/>
      <c r="G77" s="1"/>
      <c r="H77" s="1"/>
      <c r="I77" s="1"/>
      <c r="J77" s="1"/>
      <c r="K77" s="1"/>
      <c r="L77" s="1"/>
      <c r="M77" s="1"/>
      <c r="N77" s="1"/>
      <c r="O77" s="8"/>
      <c r="P77" s="8"/>
      <c r="Q77" s="8"/>
      <c r="R77" s="8"/>
      <c r="S77" s="8"/>
      <c r="T77" s="8"/>
      <c r="U77" s="8"/>
      <c r="V77" s="8"/>
      <c r="W77" s="8"/>
      <c r="X77" s="1"/>
      <c r="Y77" s="1"/>
      <c r="Z77" s="1"/>
      <c r="AA77" s="1"/>
      <c r="AB77" s="1"/>
      <c r="AC77" s="1"/>
      <c r="AD77" s="1"/>
    </row>
    <row r="78" spans="1:30">
      <c r="A78" s="1"/>
      <c r="B78" s="1"/>
      <c r="C78" s="1"/>
      <c r="D78" s="1"/>
      <c r="E78" s="1"/>
      <c r="F78" s="1"/>
      <c r="G78" s="1"/>
      <c r="H78" s="1"/>
      <c r="I78" s="1"/>
      <c r="J78" s="1"/>
      <c r="K78" s="1"/>
      <c r="L78" s="1"/>
      <c r="M78" s="1"/>
      <c r="N78" s="1"/>
      <c r="O78" s="8"/>
      <c r="P78" s="8"/>
      <c r="Q78" s="8"/>
      <c r="R78" s="8"/>
      <c r="S78" s="8"/>
      <c r="T78" s="8"/>
      <c r="U78" s="8"/>
      <c r="V78" s="8"/>
      <c r="W78" s="8"/>
      <c r="X78" s="1"/>
      <c r="Y78" s="1"/>
      <c r="Z78" s="1"/>
      <c r="AA78" s="1"/>
      <c r="AB78" s="1"/>
      <c r="AC78" s="1"/>
      <c r="AD78" s="1"/>
    </row>
    <row r="79" spans="1:30">
      <c r="A79" s="1"/>
      <c r="B79" s="1"/>
      <c r="C79" s="1"/>
      <c r="D79" s="1"/>
      <c r="E79" s="1"/>
      <c r="F79" s="1"/>
      <c r="G79" s="1"/>
      <c r="H79" s="1"/>
      <c r="I79" s="1"/>
      <c r="J79" s="1"/>
      <c r="K79" s="1"/>
      <c r="L79" s="1"/>
      <c r="M79" s="1"/>
      <c r="N79" s="1"/>
      <c r="O79" s="8"/>
      <c r="P79" s="8"/>
      <c r="Q79" s="8"/>
      <c r="R79" s="8"/>
      <c r="S79" s="8"/>
      <c r="T79" s="8"/>
      <c r="U79" s="8"/>
      <c r="V79" s="8"/>
      <c r="W79" s="8"/>
      <c r="X79" s="1"/>
      <c r="Y79" s="1"/>
      <c r="Z79" s="1"/>
      <c r="AA79" s="1"/>
      <c r="AB79" s="1"/>
      <c r="AC79" s="1"/>
      <c r="AD79" s="1"/>
    </row>
    <row r="80" spans="1:30">
      <c r="A80" s="1"/>
      <c r="B80" s="1"/>
      <c r="C80" s="1"/>
      <c r="D80" s="1"/>
      <c r="E80" s="1"/>
      <c r="F80" s="1"/>
      <c r="G80" s="1"/>
      <c r="H80" s="1"/>
      <c r="I80" s="1"/>
      <c r="J80" s="1"/>
      <c r="K80" s="1"/>
      <c r="L80" s="1"/>
      <c r="M80" s="1"/>
      <c r="N80" s="1"/>
      <c r="O80" s="8"/>
      <c r="P80" s="8"/>
      <c r="Q80" s="8"/>
      <c r="R80" s="8"/>
      <c r="S80" s="8"/>
      <c r="T80" s="8"/>
      <c r="U80" s="8"/>
      <c r="V80" s="8"/>
      <c r="W80" s="8"/>
      <c r="X80" s="1"/>
      <c r="Y80" s="1"/>
      <c r="Z80" s="1"/>
      <c r="AA80" s="1"/>
      <c r="AB80" s="1"/>
      <c r="AC80" s="1"/>
      <c r="AD80" s="1"/>
    </row>
    <row r="81" spans="1:30">
      <c r="A81" s="1"/>
      <c r="B81" s="1"/>
      <c r="C81" s="1"/>
      <c r="D81" s="1"/>
      <c r="E81" s="1"/>
      <c r="F81" s="1"/>
      <c r="G81" s="1"/>
      <c r="H81" s="1"/>
      <c r="I81" s="1"/>
      <c r="J81" s="1"/>
      <c r="K81" s="1"/>
      <c r="L81" s="1"/>
      <c r="M81" s="1"/>
      <c r="N81" s="1"/>
      <c r="O81" s="8"/>
      <c r="P81" s="8"/>
      <c r="Q81" s="8"/>
      <c r="R81" s="8"/>
      <c r="S81" s="8"/>
      <c r="T81" s="8"/>
      <c r="U81" s="8"/>
      <c r="V81" s="8"/>
      <c r="W81" s="8"/>
      <c r="X81" s="1"/>
      <c r="Y81" s="1"/>
      <c r="Z81" s="1"/>
      <c r="AA81" s="1"/>
      <c r="AB81" s="1"/>
      <c r="AC81" s="1"/>
      <c r="AD81" s="1"/>
    </row>
    <row r="82" spans="1:30">
      <c r="A82" s="1"/>
      <c r="B82" s="1"/>
      <c r="C82" s="1"/>
      <c r="D82" s="1"/>
      <c r="E82" s="1"/>
      <c r="F82" s="1"/>
      <c r="G82" s="1"/>
      <c r="H82" s="1"/>
      <c r="I82" s="1"/>
      <c r="J82" s="1"/>
      <c r="K82" s="1"/>
      <c r="L82" s="1"/>
      <c r="M82" s="1"/>
      <c r="N82" s="1"/>
      <c r="O82" s="8"/>
      <c r="P82" s="8"/>
      <c r="Q82" s="8"/>
      <c r="R82" s="8"/>
      <c r="S82" s="8"/>
      <c r="T82" s="8"/>
      <c r="U82" s="8"/>
      <c r="V82" s="8"/>
      <c r="W82" s="8"/>
      <c r="X82" s="1"/>
      <c r="Y82" s="1"/>
      <c r="Z82" s="1"/>
      <c r="AA82" s="1"/>
      <c r="AB82" s="1"/>
      <c r="AC82" s="1"/>
      <c r="AD82" s="1"/>
    </row>
    <row r="83" spans="1:30">
      <c r="A83" s="1"/>
      <c r="B83" s="1"/>
      <c r="C83" s="1"/>
      <c r="D83" s="1"/>
      <c r="E83" s="1"/>
      <c r="F83" s="1"/>
      <c r="G83" s="1"/>
      <c r="H83" s="1"/>
      <c r="I83" s="1"/>
      <c r="J83" s="1"/>
      <c r="K83" s="1"/>
      <c r="L83" s="1"/>
      <c r="M83" s="1"/>
      <c r="N83" s="1"/>
      <c r="O83" s="8"/>
      <c r="P83" s="8"/>
      <c r="Q83" s="8"/>
      <c r="R83" s="8"/>
      <c r="S83" s="8"/>
      <c r="T83" s="8"/>
      <c r="U83" s="8"/>
      <c r="V83" s="8"/>
      <c r="W83" s="8"/>
      <c r="X83" s="1"/>
      <c r="Y83" s="1"/>
      <c r="Z83" s="1"/>
      <c r="AA83" s="1"/>
      <c r="AB83" s="1"/>
      <c r="AC83" s="1"/>
      <c r="AD83" s="1"/>
    </row>
    <row r="84" spans="1:30">
      <c r="A84" s="1"/>
      <c r="B84" s="1"/>
      <c r="C84" s="1"/>
      <c r="D84" s="1"/>
      <c r="E84" s="1"/>
      <c r="F84" s="1"/>
      <c r="G84" s="1"/>
      <c r="H84" s="1"/>
      <c r="I84" s="1"/>
      <c r="J84" s="1"/>
      <c r="K84" s="1"/>
      <c r="L84" s="1"/>
      <c r="M84" s="1"/>
      <c r="N84" s="1"/>
      <c r="O84" s="8"/>
      <c r="P84" s="8"/>
      <c r="Q84" s="8"/>
      <c r="R84" s="8"/>
      <c r="S84" s="8"/>
      <c r="T84" s="8"/>
      <c r="U84" s="8"/>
      <c r="V84" s="8"/>
      <c r="W84" s="8"/>
      <c r="X84" s="1"/>
      <c r="Y84" s="1"/>
      <c r="Z84" s="1"/>
      <c r="AA84" s="1"/>
      <c r="AB84" s="1"/>
      <c r="AC84" s="1"/>
      <c r="AD84" s="1"/>
    </row>
    <row r="85" spans="1:30">
      <c r="A85" s="1"/>
      <c r="B85" s="1"/>
      <c r="C85" s="1"/>
      <c r="D85" s="1"/>
      <c r="E85" s="1"/>
      <c r="F85" s="1"/>
      <c r="G85" s="1"/>
      <c r="H85" s="1"/>
      <c r="I85" s="1"/>
      <c r="J85" s="1"/>
      <c r="K85" s="1"/>
      <c r="L85" s="1"/>
      <c r="M85" s="1"/>
      <c r="N85" s="1"/>
      <c r="O85" s="8"/>
      <c r="P85" s="8"/>
      <c r="Q85" s="8"/>
      <c r="R85" s="8"/>
      <c r="S85" s="8"/>
      <c r="T85" s="8"/>
      <c r="U85" s="8"/>
      <c r="V85" s="8"/>
      <c r="W85" s="8"/>
      <c r="X85" s="1"/>
      <c r="Y85" s="1"/>
      <c r="Z85" s="1"/>
      <c r="AA85" s="1"/>
      <c r="AB85" s="1"/>
      <c r="AC85" s="1"/>
      <c r="AD85" s="1"/>
    </row>
    <row r="86" spans="1:30">
      <c r="A86" s="1"/>
      <c r="B86" s="1"/>
      <c r="C86" s="1"/>
      <c r="D86" s="1"/>
      <c r="E86" s="1"/>
      <c r="F86" s="1"/>
      <c r="G86" s="1"/>
      <c r="H86" s="1"/>
    </row>
  </sheetData>
  <mergeCells count="5">
    <mergeCell ref="A73:H73"/>
    <mergeCell ref="A70:H70"/>
    <mergeCell ref="A71:H71"/>
    <mergeCell ref="A72:H72"/>
    <mergeCell ref="I69:N69"/>
  </mergeCells>
  <phoneticPr fontId="6" type="noConversion"/>
  <conditionalFormatting sqref="P8:W26 P9:V70">
    <cfRule type="cellIs" dxfId="1" priority="3" stopIfTrue="1" operator="between">
      <formula>0</formula>
      <formula>0.1</formula>
    </cfRule>
  </conditionalFormatting>
  <conditionalFormatting sqref="X8:Y67">
    <cfRule type="cellIs" dxfId="0" priority="4" stopIfTrue="1" operator="notEqual">
      <formula>100</formula>
    </cfRule>
  </conditionalFormatting>
  <printOptions horizontalCentered="1"/>
  <pageMargins left="0.9" right="0.9" top="1" bottom="0.55000000000000004" header="0.5" footer="0.5"/>
  <pageSetup scale="51" orientation="portrait" verticalDpi="300" r:id="rId1"/>
  <headerFooter alignWithMargins="0">
    <oddFooter>&amp;L&amp;"Arial,Regular"SREB Fact Book&amp;R&amp;"Arial,Regular"&amp;D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5">
    <tabColor indexed="62"/>
  </sheetPr>
  <dimension ref="A1:AC70"/>
  <sheetViews>
    <sheetView showZeros="0" zoomScale="95" zoomScaleNormal="95" workbookViewId="0">
      <pane xSplit="1" ySplit="5" topLeftCell="V6" activePane="bottomRight" state="frozen"/>
      <selection activeCell="B52" sqref="B52"/>
      <selection pane="topRight" activeCell="B52" sqref="B52"/>
      <selection pane="bottomLeft" activeCell="B52" sqref="B52"/>
      <selection pane="bottomRight" activeCell="AD18" sqref="AD18"/>
    </sheetView>
  </sheetViews>
  <sheetFormatPr defaultColWidth="9.7109375" defaultRowHeight="12.75"/>
  <cols>
    <col min="1" max="1" width="23.42578125" style="44" customWidth="1"/>
    <col min="2" max="23" width="12.42578125" style="1" customWidth="1"/>
    <col min="24" max="25" width="12.7109375" style="1" bestFit="1" customWidth="1"/>
    <col min="26" max="29" width="12.7109375" style="1" customWidth="1"/>
    <col min="30" max="45" width="10.7109375" style="1" customWidth="1"/>
    <col min="46" max="16384" width="9.7109375" style="1"/>
  </cols>
  <sheetData>
    <row r="1" spans="1:29">
      <c r="A1" s="7" t="s">
        <v>39</v>
      </c>
      <c r="B1"/>
      <c r="C1" s="9"/>
      <c r="D1" s="9"/>
      <c r="E1" s="9"/>
      <c r="AB1" s="1">
        <v>1000</v>
      </c>
    </row>
    <row r="2" spans="1:29">
      <c r="A2" s="9"/>
      <c r="B2" s="9"/>
      <c r="C2" s="9"/>
      <c r="D2" s="9"/>
      <c r="E2" s="9"/>
    </row>
    <row r="3" spans="1:29">
      <c r="A3" s="1" t="s">
        <v>20</v>
      </c>
      <c r="B3" s="9"/>
      <c r="C3" s="9"/>
      <c r="D3" s="9"/>
      <c r="E3" s="9"/>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24">
        <v>150109</v>
      </c>
      <c r="C6" s="24">
        <v>193928</v>
      </c>
      <c r="D6" s="24">
        <v>202440</v>
      </c>
      <c r="E6" s="24">
        <v>364383.609</v>
      </c>
      <c r="F6" s="49">
        <f>+F7+F25+F40+F54+F65</f>
        <v>340619.00799999997</v>
      </c>
      <c r="G6" s="24">
        <v>400927.46399999998</v>
      </c>
      <c r="H6" s="24">
        <v>431444.21899999998</v>
      </c>
      <c r="I6" s="49">
        <f>+I7+I25+I40+I54+I65</f>
        <v>410849.25200000004</v>
      </c>
      <c r="J6" s="24">
        <v>476340.68699999998</v>
      </c>
      <c r="K6" s="49">
        <f t="shared" ref="K6:U6" si="0">+K7+K25+K40+K54+K65</f>
        <v>516935.46023999993</v>
      </c>
      <c r="L6" s="49">
        <f t="shared" si="0"/>
        <v>596459.40999999992</v>
      </c>
      <c r="M6" s="49">
        <f t="shared" si="0"/>
        <v>686109.7350000001</v>
      </c>
      <c r="N6" s="49">
        <f t="shared" si="0"/>
        <v>679548.6100000001</v>
      </c>
      <c r="O6" s="49">
        <f t="shared" si="0"/>
        <v>651073.56900000002</v>
      </c>
      <c r="P6" s="49">
        <f t="shared" si="0"/>
        <v>595739.97899999993</v>
      </c>
      <c r="Q6" s="49">
        <f t="shared" si="0"/>
        <v>616515.09399999992</v>
      </c>
      <c r="R6" s="49">
        <f t="shared" si="0"/>
        <v>651904.21799999999</v>
      </c>
      <c r="S6" s="49">
        <f t="shared" si="0"/>
        <v>653794.6719999999</v>
      </c>
      <c r="T6" s="49">
        <f t="shared" si="0"/>
        <v>719979.44500000007</v>
      </c>
      <c r="U6" s="49">
        <f t="shared" si="0"/>
        <v>789651.24099999992</v>
      </c>
      <c r="V6" s="49">
        <f t="shared" ref="V6:W6" si="1">+V7+V25+V40+V54+V65</f>
        <v>893239.08199999994</v>
      </c>
      <c r="W6" s="49">
        <f t="shared" si="1"/>
        <v>910234.99699999997</v>
      </c>
      <c r="X6" s="49">
        <f t="shared" ref="X6:Y6" si="2">+X7+X25+X40+X54+X65</f>
        <v>908656.04399999999</v>
      </c>
      <c r="Y6" s="49">
        <f t="shared" si="2"/>
        <v>762528.0689999999</v>
      </c>
      <c r="Z6" s="49">
        <f t="shared" ref="Z6:AA6" si="3">+Z7+Z25+Z40+Z54+Z65</f>
        <v>761614.59600000014</v>
      </c>
      <c r="AA6" s="49">
        <f t="shared" si="3"/>
        <v>732703.62099999993</v>
      </c>
      <c r="AB6" s="49">
        <f t="shared" ref="AB6:AC6" si="4">+AB7+AB25+AB40+AB54+AB65</f>
        <v>831789.103</v>
      </c>
      <c r="AC6" s="49">
        <f t="shared" si="4"/>
        <v>849858.80900000001</v>
      </c>
    </row>
    <row r="7" spans="1:29">
      <c r="A7" s="1" t="s">
        <v>56</v>
      </c>
      <c r="B7" s="48">
        <f>SUM(B8:B24)</f>
        <v>34496</v>
      </c>
      <c r="C7" s="48">
        <f t="shared" ref="C7:U7" si="5">SUM(C8:C24)</f>
        <v>50104</v>
      </c>
      <c r="D7" s="48">
        <f t="shared" si="5"/>
        <v>56261</v>
      </c>
      <c r="E7" s="48">
        <f t="shared" si="5"/>
        <v>98389.286999999997</v>
      </c>
      <c r="F7" s="48">
        <f t="shared" si="5"/>
        <v>95192.52399999999</v>
      </c>
      <c r="G7" s="48">
        <f t="shared" si="5"/>
        <v>108316.08500000001</v>
      </c>
      <c r="H7" s="48">
        <f t="shared" si="5"/>
        <v>121912.17000000001</v>
      </c>
      <c r="I7" s="48">
        <f t="shared" si="5"/>
        <v>111946.04000000001</v>
      </c>
      <c r="J7" s="48">
        <f t="shared" si="5"/>
        <v>118325.96609999999</v>
      </c>
      <c r="K7" s="48">
        <f t="shared" si="5"/>
        <v>137827.10210999998</v>
      </c>
      <c r="L7" s="48">
        <f t="shared" si="5"/>
        <v>180119.78700000004</v>
      </c>
      <c r="M7" s="48">
        <f t="shared" si="5"/>
        <v>203000.38700000002</v>
      </c>
      <c r="N7" s="48">
        <f t="shared" si="5"/>
        <v>176728.655</v>
      </c>
      <c r="O7" s="48">
        <f t="shared" si="5"/>
        <v>168038.22200000001</v>
      </c>
      <c r="P7" s="48">
        <f t="shared" si="5"/>
        <v>154748.51999999999</v>
      </c>
      <c r="Q7" s="48">
        <f t="shared" si="5"/>
        <v>157646.36199999999</v>
      </c>
      <c r="R7" s="48">
        <f t="shared" si="5"/>
        <v>161168.728</v>
      </c>
      <c r="S7" s="48">
        <f t="shared" si="5"/>
        <v>170832.69699999999</v>
      </c>
      <c r="T7" s="48">
        <f t="shared" si="5"/>
        <v>197631.95099999997</v>
      </c>
      <c r="U7" s="48">
        <f t="shared" si="5"/>
        <v>211010.94399999999</v>
      </c>
      <c r="V7" s="48">
        <f t="shared" ref="V7:W7" si="6">SUM(V8:V24)</f>
        <v>240774.68500000003</v>
      </c>
      <c r="W7" s="48">
        <f t="shared" si="6"/>
        <v>230781.83099999998</v>
      </c>
      <c r="X7" s="48">
        <f t="shared" ref="X7:Y7" si="7">SUM(X8:X24)</f>
        <v>225729.87</v>
      </c>
      <c r="Y7" s="48">
        <f t="shared" si="7"/>
        <v>224420.66199999998</v>
      </c>
      <c r="Z7" s="48">
        <f t="shared" ref="Z7:AA7" si="8">SUM(Z8:Z24)</f>
        <v>222873.48199999999</v>
      </c>
      <c r="AA7" s="48">
        <f t="shared" si="8"/>
        <v>213421.64499999996</v>
      </c>
      <c r="AB7" s="48">
        <f t="shared" ref="AB7:AC7" si="9">SUM(AB8:AB24)</f>
        <v>229070.12899999996</v>
      </c>
      <c r="AC7" s="48">
        <f t="shared" si="9"/>
        <v>215197.13399999999</v>
      </c>
    </row>
    <row r="8" spans="1:29">
      <c r="A8" s="7" t="s">
        <v>119</v>
      </c>
    </row>
    <row r="9" spans="1:29">
      <c r="A9" s="1" t="s">
        <v>3</v>
      </c>
      <c r="B9" s="1">
        <v>1033</v>
      </c>
      <c r="C9" s="1">
        <v>1330</v>
      </c>
      <c r="D9" s="1">
        <v>1409</v>
      </c>
      <c r="E9" s="1">
        <v>1688.9590000000001</v>
      </c>
      <c r="F9" s="42">
        <v>1438.6510000000001</v>
      </c>
      <c r="G9" s="1">
        <v>1589.135</v>
      </c>
      <c r="H9" s="1">
        <v>1823.568</v>
      </c>
      <c r="I9" s="1">
        <v>2482.8139999999999</v>
      </c>
      <c r="J9" s="1">
        <v>2873.3809999999999</v>
      </c>
      <c r="K9" s="1">
        <v>3163.3609999999999</v>
      </c>
      <c r="L9" s="1">
        <v>4196.607</v>
      </c>
      <c r="M9" s="1">
        <v>6145.0990000000002</v>
      </c>
      <c r="N9" s="1">
        <v>5800.7049999999999</v>
      </c>
      <c r="O9" s="1">
        <v>5807.0129999999999</v>
      </c>
      <c r="P9" s="1">
        <v>6084.857</v>
      </c>
      <c r="Q9" s="1">
        <v>6532.7910000000002</v>
      </c>
      <c r="R9" s="1">
        <v>4359.3509999999997</v>
      </c>
      <c r="S9" s="1">
        <v>3812.8139999999999</v>
      </c>
      <c r="T9" s="1">
        <v>9522.2890000000007</v>
      </c>
      <c r="U9" s="1">
        <v>13911.208000000001</v>
      </c>
      <c r="V9" s="1">
        <v>14624.278</v>
      </c>
      <c r="W9" s="1">
        <v>11752.214</v>
      </c>
      <c r="X9" s="1">
        <v>11682.181</v>
      </c>
      <c r="Y9" s="1">
        <v>9841.5660000000007</v>
      </c>
      <c r="Z9" s="1">
        <v>6978.3050000000003</v>
      </c>
      <c r="AA9" s="1">
        <v>5139.2139999999999</v>
      </c>
      <c r="AB9" s="1">
        <v>2892.7910000000002</v>
      </c>
      <c r="AC9" s="1">
        <v>2965.9270000000001</v>
      </c>
    </row>
    <row r="10" spans="1:29">
      <c r="A10" s="1" t="s">
        <v>4</v>
      </c>
      <c r="B10" s="1">
        <v>423</v>
      </c>
      <c r="C10" s="1">
        <v>504</v>
      </c>
      <c r="D10" s="1">
        <v>557</v>
      </c>
      <c r="E10" s="1">
        <v>776.64599999999996</v>
      </c>
      <c r="F10" s="42">
        <v>934.76599999999996</v>
      </c>
      <c r="G10" s="1">
        <v>1172.6510000000001</v>
      </c>
      <c r="H10" s="1">
        <v>1719.068</v>
      </c>
      <c r="I10" s="1">
        <v>2562.797</v>
      </c>
      <c r="J10" s="1">
        <v>2493.8809999999999</v>
      </c>
      <c r="K10" s="1">
        <v>2848.5889999999999</v>
      </c>
      <c r="L10" s="1">
        <v>4747.9639999999999</v>
      </c>
      <c r="M10" s="1">
        <v>4720.3090000000002</v>
      </c>
      <c r="N10" s="1">
        <v>3931.2179999999998</v>
      </c>
      <c r="O10" s="1">
        <v>4121.2610000000004</v>
      </c>
      <c r="P10" s="1">
        <v>5193.0559999999996</v>
      </c>
      <c r="Q10" s="1">
        <v>4355.1610000000001</v>
      </c>
      <c r="R10" s="1">
        <v>4741.3459999999995</v>
      </c>
      <c r="S10" s="1">
        <v>5249.2960000000003</v>
      </c>
      <c r="T10" s="1">
        <v>7368.683</v>
      </c>
      <c r="U10" s="1">
        <v>5203.5870000000004</v>
      </c>
      <c r="V10" s="1">
        <v>5824.165</v>
      </c>
      <c r="W10" s="1">
        <v>6907.598</v>
      </c>
      <c r="X10" s="1">
        <v>6626.5240000000003</v>
      </c>
      <c r="Y10" s="1">
        <v>7912.1859999999997</v>
      </c>
      <c r="Z10" s="1">
        <v>8831.7649999999994</v>
      </c>
      <c r="AA10" s="1">
        <v>8772.7450000000008</v>
      </c>
      <c r="AB10" s="1">
        <v>7212.62</v>
      </c>
      <c r="AC10" s="1">
        <v>7499.1670000000004</v>
      </c>
    </row>
    <row r="11" spans="1:29">
      <c r="A11" s="1" t="s">
        <v>52</v>
      </c>
      <c r="D11" s="1">
        <v>0</v>
      </c>
      <c r="F11" s="42">
        <v>0</v>
      </c>
      <c r="I11" s="1">
        <v>175.232</v>
      </c>
      <c r="J11" s="1">
        <v>320.34100000000001</v>
      </c>
      <c r="K11" s="1">
        <v>1052.943</v>
      </c>
      <c r="L11" s="1">
        <v>2318.5250000000001</v>
      </c>
      <c r="M11" s="1">
        <v>3108.127</v>
      </c>
      <c r="N11" s="1">
        <v>3549.22</v>
      </c>
      <c r="O11" s="1">
        <v>3892.21</v>
      </c>
      <c r="P11" s="1">
        <v>4249.6819999999998</v>
      </c>
      <c r="Q11" s="1">
        <v>4514.1589999999997</v>
      </c>
      <c r="R11" s="1">
        <v>4081.049</v>
      </c>
      <c r="S11" s="1">
        <v>4259.3040000000001</v>
      </c>
      <c r="T11" s="1">
        <v>3741.93</v>
      </c>
      <c r="U11" s="1">
        <v>3888.7849999999999</v>
      </c>
      <c r="V11" s="1">
        <v>5055.1930000000002</v>
      </c>
      <c r="W11" s="1">
        <v>4760.5510000000004</v>
      </c>
      <c r="X11" s="1">
        <v>3522.0149999999999</v>
      </c>
      <c r="Y11" s="1">
        <v>4146.6949999999997</v>
      </c>
      <c r="Z11" s="1">
        <v>3462.6370000000002</v>
      </c>
      <c r="AA11" s="1">
        <v>3615.6559999999999</v>
      </c>
      <c r="AB11" s="1">
        <v>3846.2339999999999</v>
      </c>
      <c r="AC11" s="1">
        <v>4246.6869999999999</v>
      </c>
    </row>
    <row r="12" spans="1:29">
      <c r="A12" s="1" t="s">
        <v>5</v>
      </c>
      <c r="B12" s="1">
        <v>2527</v>
      </c>
      <c r="C12" s="1">
        <v>2558</v>
      </c>
      <c r="D12" s="1">
        <v>5295</v>
      </c>
      <c r="E12" s="1">
        <v>7599.1130000000003</v>
      </c>
      <c r="F12" s="42">
        <v>7309.3729999999996</v>
      </c>
      <c r="G12" s="1">
        <v>8216.116</v>
      </c>
      <c r="H12" s="1">
        <v>8895.2880000000005</v>
      </c>
      <c r="I12" s="1">
        <v>10237.683999999999</v>
      </c>
      <c r="J12" s="1">
        <v>10534.199000000001</v>
      </c>
      <c r="K12" s="1">
        <v>13035.11</v>
      </c>
      <c r="L12" s="1">
        <v>31378.936000000002</v>
      </c>
      <c r="M12" s="1">
        <v>34471.453000000001</v>
      </c>
      <c r="N12" s="1">
        <v>30583.34</v>
      </c>
      <c r="O12" s="1">
        <v>24883.532999999999</v>
      </c>
      <c r="P12" s="1">
        <v>23013.845000000001</v>
      </c>
      <c r="Q12" s="1">
        <v>25704.668000000001</v>
      </c>
      <c r="R12" s="1">
        <v>26600.457999999999</v>
      </c>
      <c r="S12" s="1">
        <v>31324.069</v>
      </c>
      <c r="T12" s="1">
        <v>41581.964</v>
      </c>
      <c r="U12" s="1">
        <v>41180.228000000003</v>
      </c>
      <c r="V12" s="1">
        <v>39158.256999999998</v>
      </c>
      <c r="W12" s="1">
        <v>38311.857000000004</v>
      </c>
      <c r="X12" s="1">
        <v>37922.442000000003</v>
      </c>
      <c r="Y12" s="1">
        <v>37779.883999999998</v>
      </c>
      <c r="Z12" s="1">
        <v>43260.065000000002</v>
      </c>
      <c r="AA12" s="1">
        <v>36495.364000000001</v>
      </c>
      <c r="AB12" s="1">
        <v>45900.974000000002</v>
      </c>
      <c r="AC12" s="1">
        <v>33746.648000000001</v>
      </c>
    </row>
    <row r="13" spans="1:29">
      <c r="A13" s="1" t="s">
        <v>6</v>
      </c>
      <c r="B13" s="1">
        <v>502</v>
      </c>
      <c r="C13" s="1">
        <v>632</v>
      </c>
      <c r="D13" s="1">
        <v>659</v>
      </c>
      <c r="E13" s="1">
        <v>1674.664</v>
      </c>
      <c r="F13" s="42">
        <v>1299.1110000000001</v>
      </c>
      <c r="G13" s="1">
        <v>1299.838</v>
      </c>
      <c r="H13" s="1">
        <v>1237.08</v>
      </c>
      <c r="I13" s="1">
        <v>1468.63</v>
      </c>
      <c r="J13" s="1">
        <v>1946.4960000000001</v>
      </c>
      <c r="K13" s="1">
        <v>1739.383</v>
      </c>
      <c r="L13" s="1">
        <v>1615.874</v>
      </c>
      <c r="M13" s="1">
        <v>1909.951</v>
      </c>
      <c r="N13" s="1">
        <v>2713.6880000000001</v>
      </c>
      <c r="O13" s="1">
        <v>3176.0390000000002</v>
      </c>
      <c r="P13" s="1">
        <v>3629.23</v>
      </c>
      <c r="Q13" s="1">
        <v>3955.5970000000002</v>
      </c>
      <c r="R13" s="1">
        <v>3564.183</v>
      </c>
      <c r="S13" s="1">
        <v>3505.652</v>
      </c>
      <c r="T13" s="1">
        <v>2949.31</v>
      </c>
      <c r="U13" s="1">
        <v>4096.4260000000004</v>
      </c>
      <c r="V13" s="1">
        <v>5664.0910000000003</v>
      </c>
      <c r="W13" s="1">
        <v>6672.8119999999999</v>
      </c>
      <c r="X13" s="1">
        <v>5145.1059999999998</v>
      </c>
      <c r="Y13" s="1">
        <v>4578.3689999999997</v>
      </c>
      <c r="Z13" s="1">
        <v>4555.8100000000004</v>
      </c>
      <c r="AA13" s="1">
        <v>4369.8249999999998</v>
      </c>
      <c r="AB13" s="1">
        <v>5470.0159999999996</v>
      </c>
      <c r="AC13" s="1">
        <v>2823.5369999999998</v>
      </c>
    </row>
    <row r="14" spans="1:29">
      <c r="A14" s="1" t="s">
        <v>7</v>
      </c>
      <c r="B14" s="1">
        <v>1908</v>
      </c>
      <c r="C14" s="1">
        <v>527</v>
      </c>
      <c r="D14" s="1">
        <v>310</v>
      </c>
      <c r="E14" s="1">
        <v>6152.3140000000003</v>
      </c>
      <c r="F14" s="42">
        <v>5990.2969999999996</v>
      </c>
      <c r="G14" s="1">
        <v>6234.21</v>
      </c>
      <c r="H14" s="1">
        <v>8283.9089999999997</v>
      </c>
      <c r="I14" s="1">
        <v>4984.3459999999995</v>
      </c>
      <c r="J14" s="1">
        <v>6995.2840999999999</v>
      </c>
      <c r="K14" s="1">
        <v>6729.9309999999996</v>
      </c>
      <c r="L14" s="1">
        <v>6511.2219999999998</v>
      </c>
      <c r="M14" s="1">
        <v>26774.043000000001</v>
      </c>
      <c r="N14" s="1">
        <v>845.14499999999998</v>
      </c>
      <c r="O14" s="1">
        <v>776.07</v>
      </c>
      <c r="P14" s="1">
        <v>461.67099999999999</v>
      </c>
      <c r="Q14" s="1">
        <v>6819.3540000000003</v>
      </c>
      <c r="R14" s="1">
        <v>6340.509</v>
      </c>
      <c r="S14" s="1">
        <v>6223.4809999999998</v>
      </c>
      <c r="T14" s="1">
        <v>7629.5630000000001</v>
      </c>
      <c r="U14" s="1">
        <v>7432.6239999999998</v>
      </c>
      <c r="V14" s="1">
        <v>8121.1819999999998</v>
      </c>
      <c r="W14" s="1">
        <v>9292.1790000000001</v>
      </c>
      <c r="X14" s="1">
        <v>9290.7880000000005</v>
      </c>
      <c r="Y14" s="1">
        <v>7493.37</v>
      </c>
      <c r="Z14" s="1">
        <v>6604.08</v>
      </c>
      <c r="AA14" s="1">
        <v>6728.9040000000005</v>
      </c>
      <c r="AB14" s="1">
        <v>6089.7960000000003</v>
      </c>
      <c r="AC14" s="1">
        <v>5576.8729999999996</v>
      </c>
    </row>
    <row r="15" spans="1:29">
      <c r="A15" s="1" t="s">
        <v>8</v>
      </c>
      <c r="B15" s="1">
        <v>1131</v>
      </c>
      <c r="C15" s="1">
        <v>1091</v>
      </c>
      <c r="D15" s="1">
        <v>1125</v>
      </c>
      <c r="E15" s="1">
        <v>398.291</v>
      </c>
      <c r="F15" s="42">
        <v>872.37400000000002</v>
      </c>
      <c r="G15" s="1">
        <v>541.50300000000004</v>
      </c>
      <c r="H15" s="1">
        <v>430.04199999999997</v>
      </c>
      <c r="I15" s="1">
        <v>369.31900000000002</v>
      </c>
      <c r="J15" s="1">
        <v>1284.231</v>
      </c>
      <c r="K15" s="1">
        <v>531.64090999999644</v>
      </c>
      <c r="L15" s="1">
        <v>1278.598</v>
      </c>
      <c r="M15" s="1">
        <v>1358.5150000000001</v>
      </c>
      <c r="N15" s="1">
        <v>1990.155</v>
      </c>
      <c r="O15" s="1">
        <v>2801.6930000000002</v>
      </c>
      <c r="P15" s="1">
        <v>4511.6779999999999</v>
      </c>
      <c r="Q15" s="1">
        <v>3615.2779999999998</v>
      </c>
      <c r="R15" s="1">
        <v>5333.5810000000001</v>
      </c>
      <c r="S15" s="1">
        <v>6238.96</v>
      </c>
      <c r="T15" s="1">
        <v>4617.26</v>
      </c>
      <c r="U15" s="1">
        <v>3400.18</v>
      </c>
      <c r="V15" s="1">
        <v>2614.8339999999998</v>
      </c>
      <c r="W15" s="1">
        <v>2087.8409999999999</v>
      </c>
      <c r="X15" s="1">
        <v>2187.5410000000002</v>
      </c>
      <c r="Y15" s="1">
        <v>1945.453</v>
      </c>
      <c r="Z15" s="1">
        <v>1667.7819999999999</v>
      </c>
      <c r="AA15" s="1">
        <v>2901.1410000000001</v>
      </c>
      <c r="AB15" s="1">
        <v>2143.5740000000001</v>
      </c>
      <c r="AC15" s="1">
        <v>2756.9050000000002</v>
      </c>
    </row>
    <row r="16" spans="1:29">
      <c r="A16" s="1" t="s">
        <v>9</v>
      </c>
      <c r="B16" s="1">
        <v>2725</v>
      </c>
      <c r="C16" s="1">
        <v>4099</v>
      </c>
      <c r="D16" s="1">
        <v>2406</v>
      </c>
      <c r="E16" s="1">
        <v>796.81200000000001</v>
      </c>
      <c r="F16" s="42">
        <v>706.50300000000004</v>
      </c>
      <c r="G16" s="1">
        <v>742.96500000000003</v>
      </c>
      <c r="H16" s="1">
        <v>902.49900000000002</v>
      </c>
      <c r="I16" s="1">
        <v>1090.9670000000001</v>
      </c>
      <c r="J16" s="1">
        <v>915.89499999999998</v>
      </c>
      <c r="K16" s="1">
        <v>3812.97</v>
      </c>
      <c r="L16" s="1">
        <v>1698.3119999999999</v>
      </c>
      <c r="M16" s="1">
        <v>2186.7730000000001</v>
      </c>
      <c r="N16" s="1">
        <v>2837.48</v>
      </c>
      <c r="O16" s="1">
        <v>3547.0659999999998</v>
      </c>
      <c r="P16" s="1">
        <v>3422.1880000000001</v>
      </c>
      <c r="Q16" s="1">
        <v>2155.4380000000001</v>
      </c>
      <c r="R16" s="1">
        <v>3848.3409999999999</v>
      </c>
      <c r="S16" s="1">
        <v>3648.453</v>
      </c>
      <c r="T16" s="1">
        <v>4169.9229999999998</v>
      </c>
      <c r="U16" s="1">
        <v>4524.1189999999997</v>
      </c>
      <c r="V16" s="1">
        <v>5428.3360000000002</v>
      </c>
      <c r="W16" s="1">
        <v>5559.6549999999997</v>
      </c>
      <c r="X16" s="1">
        <v>5730.2569999999996</v>
      </c>
      <c r="Y16" s="1">
        <v>5304.4290000000001</v>
      </c>
      <c r="Z16" s="1">
        <v>5179.9930000000004</v>
      </c>
      <c r="AA16" s="1">
        <v>5532.9229999999998</v>
      </c>
      <c r="AB16" s="1">
        <v>6547.3109999999997</v>
      </c>
      <c r="AC16" s="1">
        <v>5683.9870000000001</v>
      </c>
    </row>
    <row r="17" spans="1:29">
      <c r="A17" s="1" t="s">
        <v>10</v>
      </c>
      <c r="B17" s="1">
        <v>436</v>
      </c>
      <c r="C17" s="1">
        <v>390</v>
      </c>
      <c r="D17" s="1">
        <v>422</v>
      </c>
      <c r="E17" s="1">
        <v>1050.4559999999999</v>
      </c>
      <c r="F17" s="42">
        <v>1142.3430000000001</v>
      </c>
      <c r="G17" s="1">
        <v>1263.8040000000001</v>
      </c>
      <c r="H17" s="1">
        <v>1651.99</v>
      </c>
      <c r="I17" s="1">
        <v>1742.3689999999999</v>
      </c>
      <c r="J17" s="1">
        <v>1937.873</v>
      </c>
      <c r="K17" s="1">
        <v>2046.0239999999999</v>
      </c>
      <c r="L17" s="1">
        <v>3617.12</v>
      </c>
      <c r="M17" s="1">
        <v>3243.2269999999999</v>
      </c>
      <c r="N17" s="1">
        <v>4543.4250000000002</v>
      </c>
      <c r="O17" s="1">
        <v>1010.111</v>
      </c>
      <c r="P17" s="1">
        <v>1115.2560000000001</v>
      </c>
      <c r="Q17" s="1">
        <v>1288.8879999999999</v>
      </c>
      <c r="R17" s="1">
        <v>1197.1410000000001</v>
      </c>
      <c r="S17" s="1">
        <v>1220.626</v>
      </c>
      <c r="T17" s="1">
        <v>1612.877</v>
      </c>
      <c r="U17" s="1">
        <v>1468.7550000000001</v>
      </c>
      <c r="V17" s="1">
        <v>1007.147</v>
      </c>
      <c r="W17" s="1">
        <v>1215.3579999999999</v>
      </c>
      <c r="X17" s="1">
        <v>1350.345</v>
      </c>
      <c r="Y17" s="1">
        <v>1763.5640000000001</v>
      </c>
      <c r="Z17" s="1">
        <v>1161.1969999999999</v>
      </c>
      <c r="AA17" s="1">
        <v>1060.3309999999999</v>
      </c>
      <c r="AB17" s="1">
        <v>898.05899999999997</v>
      </c>
      <c r="AC17" s="1">
        <v>977.81299999999999</v>
      </c>
    </row>
    <row r="18" spans="1:29">
      <c r="A18" s="1" t="s">
        <v>11</v>
      </c>
      <c r="B18" s="1">
        <v>2188</v>
      </c>
      <c r="C18" s="1">
        <v>2140</v>
      </c>
      <c r="D18" s="1">
        <v>1725</v>
      </c>
      <c r="E18" s="1">
        <v>5286.3190000000004</v>
      </c>
      <c r="F18" s="42">
        <v>3442.5039999999999</v>
      </c>
      <c r="G18" s="1">
        <v>3977.431</v>
      </c>
      <c r="H18" s="1">
        <v>3559.6880000000001</v>
      </c>
      <c r="I18" s="1">
        <v>3096.2220000000002</v>
      </c>
      <c r="J18" s="1">
        <v>3377.799</v>
      </c>
      <c r="K18" s="1">
        <v>3726.0924000000059</v>
      </c>
      <c r="L18" s="1">
        <v>5304.9120000000003</v>
      </c>
      <c r="M18" s="1">
        <v>5429.7860000000001</v>
      </c>
      <c r="N18" s="1">
        <v>11208.258</v>
      </c>
      <c r="O18" s="1">
        <v>6978.9049999999997</v>
      </c>
      <c r="P18" s="1">
        <v>6367.308</v>
      </c>
      <c r="Q18" s="1">
        <v>5679.5789999999997</v>
      </c>
      <c r="R18" s="1">
        <v>5029.05</v>
      </c>
      <c r="S18" s="1">
        <v>4655.2120000000004</v>
      </c>
      <c r="T18" s="1">
        <v>5366.8959999999997</v>
      </c>
      <c r="U18" s="1">
        <v>4691.3419999999996</v>
      </c>
      <c r="V18" s="1">
        <v>6089.3459999999995</v>
      </c>
      <c r="W18" s="1">
        <v>7671.0590000000002</v>
      </c>
      <c r="X18" s="1">
        <v>6587.5029999999997</v>
      </c>
      <c r="Y18" s="1">
        <v>7287.3980000000001</v>
      </c>
      <c r="Z18" s="1">
        <v>7255.02</v>
      </c>
      <c r="AA18" s="1">
        <v>7583.7160000000003</v>
      </c>
      <c r="AB18" s="1">
        <v>6512.5240000000003</v>
      </c>
      <c r="AC18" s="1">
        <v>6922.0820000000003</v>
      </c>
    </row>
    <row r="19" spans="1:29">
      <c r="A19" s="1" t="s">
        <v>12</v>
      </c>
      <c r="B19" s="1">
        <v>1312</v>
      </c>
      <c r="C19" s="1">
        <v>1312</v>
      </c>
      <c r="D19" s="1">
        <v>1328</v>
      </c>
      <c r="E19" s="1">
        <v>891.47699999999998</v>
      </c>
      <c r="F19" s="42">
        <v>1019.135</v>
      </c>
      <c r="G19" s="1">
        <v>1982.847</v>
      </c>
      <c r="H19" s="1">
        <v>2363.607</v>
      </c>
      <c r="I19" s="1">
        <v>2669.473</v>
      </c>
      <c r="J19" s="1">
        <v>2906.9989999999998</v>
      </c>
      <c r="K19" s="1">
        <v>3961.419969999999</v>
      </c>
      <c r="L19" s="1">
        <v>3605.2689999999998</v>
      </c>
      <c r="M19" s="1">
        <v>2986.886</v>
      </c>
      <c r="N19" s="1">
        <v>3034.4679999999998</v>
      </c>
      <c r="O19" s="1">
        <v>1923.444</v>
      </c>
      <c r="P19" s="1">
        <v>1518.867</v>
      </c>
      <c r="Q19" s="1">
        <v>2440.21</v>
      </c>
      <c r="R19" s="1">
        <v>1551.7429999999999</v>
      </c>
      <c r="S19" s="1">
        <v>1632.711</v>
      </c>
      <c r="T19" s="1">
        <v>2177.817</v>
      </c>
      <c r="U19" s="1">
        <v>2954.8270000000002</v>
      </c>
      <c r="V19" s="1">
        <v>4431.9009999999998</v>
      </c>
      <c r="W19" s="1">
        <v>4729.1809999999996</v>
      </c>
      <c r="X19" s="1">
        <v>4131.067</v>
      </c>
      <c r="Y19" s="1">
        <v>5132.0450000000001</v>
      </c>
      <c r="Z19" s="1">
        <v>4201.8649999999998</v>
      </c>
      <c r="AA19" s="1">
        <v>3277.5630000000001</v>
      </c>
      <c r="AB19" s="1">
        <v>4415.7389999999996</v>
      </c>
      <c r="AC19" s="1">
        <v>4604.6109999999999</v>
      </c>
    </row>
    <row r="20" spans="1:29">
      <c r="A20" s="1" t="s">
        <v>13</v>
      </c>
      <c r="B20" s="1">
        <v>410</v>
      </c>
      <c r="C20" s="1">
        <v>467</v>
      </c>
      <c r="D20" s="1">
        <v>762</v>
      </c>
      <c r="E20" s="1">
        <v>1251.7950000000001</v>
      </c>
      <c r="F20" s="42">
        <v>1128.2539999999999</v>
      </c>
      <c r="G20" s="1">
        <v>1138.5419999999999</v>
      </c>
      <c r="H20" s="1">
        <v>1672.1959999999999</v>
      </c>
      <c r="I20" s="1">
        <v>1541.586</v>
      </c>
      <c r="J20" s="1">
        <v>1334.152</v>
      </c>
      <c r="K20" s="1">
        <v>1729.7370000000001</v>
      </c>
      <c r="L20" s="1">
        <v>2100.6819999999998</v>
      </c>
      <c r="M20" s="1">
        <v>2338.1379999999999</v>
      </c>
      <c r="N20" s="1">
        <v>2237.1909999999998</v>
      </c>
      <c r="O20" s="1">
        <v>2982.2869999999998</v>
      </c>
      <c r="P20" s="1">
        <v>2294.335</v>
      </c>
      <c r="Q20" s="1">
        <v>2550.8530000000001</v>
      </c>
      <c r="R20" s="1">
        <v>1747.479</v>
      </c>
      <c r="S20" s="1">
        <v>2283.8919999999998</v>
      </c>
      <c r="T20" s="1">
        <v>2487.5639999999999</v>
      </c>
      <c r="U20" s="1">
        <v>2453.1210000000001</v>
      </c>
      <c r="V20" s="1">
        <v>2265.4029999999998</v>
      </c>
      <c r="W20" s="1">
        <v>2089.518</v>
      </c>
      <c r="X20" s="1">
        <v>1977.625</v>
      </c>
      <c r="Y20" s="1">
        <v>1452.9939999999999</v>
      </c>
      <c r="Z20" s="1">
        <v>1206.23</v>
      </c>
      <c r="AA20" s="1">
        <v>764.34100000000001</v>
      </c>
      <c r="AB20" s="1">
        <v>797.39599999999996</v>
      </c>
      <c r="AC20" s="1">
        <v>687.84400000000005</v>
      </c>
    </row>
    <row r="21" spans="1:29" s="11" customFormat="1">
      <c r="A21" s="1" t="s">
        <v>14</v>
      </c>
      <c r="B21" s="1">
        <v>6880</v>
      </c>
      <c r="C21" s="1">
        <v>17051</v>
      </c>
      <c r="D21" s="1">
        <v>20972</v>
      </c>
      <c r="E21" s="1">
        <v>29374.335999999999</v>
      </c>
      <c r="F21" s="42">
        <v>25986.506000000001</v>
      </c>
      <c r="G21" s="1">
        <v>28402.98</v>
      </c>
      <c r="H21" s="1">
        <v>26862.296999999999</v>
      </c>
      <c r="I21" s="1">
        <v>26122.539000000001</v>
      </c>
      <c r="J21" s="1">
        <v>21815.467000000001</v>
      </c>
      <c r="K21" s="1">
        <v>23542.904999999999</v>
      </c>
      <c r="L21" s="1">
        <v>37873.915000000001</v>
      </c>
      <c r="M21" s="1">
        <v>21992.063999999998</v>
      </c>
      <c r="N21" s="1">
        <v>20123.753000000001</v>
      </c>
      <c r="O21" s="1">
        <v>21473.297999999999</v>
      </c>
      <c r="P21" s="1">
        <v>16265.706</v>
      </c>
      <c r="Q21" s="1">
        <v>15679.513000000001</v>
      </c>
      <c r="R21" s="1">
        <v>15216.154</v>
      </c>
      <c r="S21" s="1">
        <v>13905.790999999999</v>
      </c>
      <c r="T21" s="1">
        <v>14355.625</v>
      </c>
      <c r="U21" s="1">
        <v>16139.462</v>
      </c>
      <c r="V21" s="1">
        <v>22942.19</v>
      </c>
      <c r="W21" s="1">
        <v>15697.331</v>
      </c>
      <c r="X21" s="1">
        <v>16481.513999999999</v>
      </c>
      <c r="Y21" s="1">
        <v>14949.380999999999</v>
      </c>
      <c r="Z21" s="1">
        <v>13398.258</v>
      </c>
      <c r="AA21" s="1">
        <v>12561.347</v>
      </c>
      <c r="AB21" s="1">
        <v>12039.356</v>
      </c>
      <c r="AC21" s="1">
        <v>12991.97</v>
      </c>
    </row>
    <row r="22" spans="1:29">
      <c r="A22" s="1" t="s">
        <v>15</v>
      </c>
      <c r="B22" s="1">
        <v>12437</v>
      </c>
      <c r="C22" s="1">
        <v>17338</v>
      </c>
      <c r="D22" s="1">
        <v>18702</v>
      </c>
      <c r="E22" s="1">
        <v>39803.883999999998</v>
      </c>
      <c r="F22" s="42">
        <v>41926.281000000003</v>
      </c>
      <c r="G22" s="1">
        <v>49603.347000000002</v>
      </c>
      <c r="H22" s="1">
        <v>60285.976000000002</v>
      </c>
      <c r="I22" s="1">
        <v>51115.133000000002</v>
      </c>
      <c r="J22" s="1">
        <v>57807.4</v>
      </c>
      <c r="K22" s="1">
        <v>67863.180999999997</v>
      </c>
      <c r="L22" s="1">
        <v>69850.631999999998</v>
      </c>
      <c r="M22" s="1">
        <v>80946.964000000007</v>
      </c>
      <c r="N22" s="1">
        <v>78409.39</v>
      </c>
      <c r="O22" s="1">
        <v>78067.993000000002</v>
      </c>
      <c r="P22" s="1">
        <v>69270.566999999995</v>
      </c>
      <c r="Q22" s="1">
        <v>64881.870999999999</v>
      </c>
      <c r="R22" s="1">
        <v>70757.585000000006</v>
      </c>
      <c r="S22" s="1">
        <v>75639.933999999994</v>
      </c>
      <c r="T22" s="1">
        <v>81706.873999999996</v>
      </c>
      <c r="U22" s="1">
        <v>91192.83</v>
      </c>
      <c r="V22" s="1">
        <v>107427.79300000001</v>
      </c>
      <c r="W22" s="1">
        <v>102406.815</v>
      </c>
      <c r="X22" s="1">
        <v>97407.801999999996</v>
      </c>
      <c r="Y22" s="1">
        <v>100675.28200000001</v>
      </c>
      <c r="Z22" s="1">
        <v>104162.863</v>
      </c>
      <c r="AA22" s="1">
        <v>100462.39999999999</v>
      </c>
      <c r="AB22" s="1">
        <v>102645.84</v>
      </c>
      <c r="AC22" s="1">
        <v>100703.318</v>
      </c>
    </row>
    <row r="23" spans="1:29">
      <c r="A23" s="1" t="s">
        <v>16</v>
      </c>
      <c r="B23" s="1">
        <v>369</v>
      </c>
      <c r="C23" s="1">
        <v>380</v>
      </c>
      <c r="D23" s="1">
        <v>357</v>
      </c>
      <c r="E23" s="1">
        <v>1456.221</v>
      </c>
      <c r="F23" s="42">
        <v>1554.8320000000001</v>
      </c>
      <c r="G23" s="1">
        <v>1760.7159999999999</v>
      </c>
      <c r="H23" s="1">
        <v>1898.8589999999999</v>
      </c>
      <c r="I23" s="1">
        <v>1993.644</v>
      </c>
      <c r="J23" s="1">
        <v>1438.991</v>
      </c>
      <c r="K23" s="1">
        <v>1701.9269999999999</v>
      </c>
      <c r="L23" s="1">
        <v>2843.8389999999999</v>
      </c>
      <c r="M23" s="1">
        <v>3639.3</v>
      </c>
      <c r="N23" s="1">
        <v>4473.2269999999999</v>
      </c>
      <c r="O23" s="1">
        <v>3542.8910000000001</v>
      </c>
      <c r="P23" s="1">
        <v>4100.3959999999997</v>
      </c>
      <c r="Q23" s="1">
        <v>4220.2160000000003</v>
      </c>
      <c r="R23" s="1">
        <v>3846.4319999999998</v>
      </c>
      <c r="S23" s="1">
        <v>4684.2479999999996</v>
      </c>
      <c r="T23" s="1">
        <v>5800.9009999999998</v>
      </c>
      <c r="U23" s="1">
        <v>6135.3919999999998</v>
      </c>
      <c r="V23" s="1">
        <v>6490.88</v>
      </c>
      <c r="W23" s="1">
        <v>7647.1909999999998</v>
      </c>
      <c r="X23" s="1">
        <v>10805.638999999999</v>
      </c>
      <c r="Y23" s="1">
        <v>9880.7129999999997</v>
      </c>
      <c r="Z23" s="1">
        <v>7683.8119999999999</v>
      </c>
      <c r="AA23" s="1">
        <v>10499.746999999999</v>
      </c>
      <c r="AB23" s="1">
        <v>18776.936000000002</v>
      </c>
      <c r="AC23" s="1">
        <v>20170.148000000001</v>
      </c>
    </row>
    <row r="24" spans="1:29">
      <c r="A24" s="24" t="s">
        <v>17</v>
      </c>
      <c r="B24" s="24">
        <v>215</v>
      </c>
      <c r="C24" s="24">
        <v>285</v>
      </c>
      <c r="D24" s="24">
        <v>232</v>
      </c>
      <c r="E24" s="24">
        <v>188</v>
      </c>
      <c r="F24" s="45">
        <v>441.59399999999999</v>
      </c>
      <c r="G24" s="24">
        <v>390</v>
      </c>
      <c r="H24" s="24">
        <v>326.10300000000001</v>
      </c>
      <c r="I24" s="24">
        <v>293.28500000000003</v>
      </c>
      <c r="J24" s="24">
        <v>343.577</v>
      </c>
      <c r="K24" s="24">
        <v>341.88783000000564</v>
      </c>
      <c r="L24" s="24">
        <v>1177.3800000000001</v>
      </c>
      <c r="M24" s="24">
        <v>1749.752</v>
      </c>
      <c r="N24" s="24">
        <v>447.99200000000002</v>
      </c>
      <c r="O24" s="24">
        <v>3054.4079999999999</v>
      </c>
      <c r="P24" s="24">
        <v>3249.8780000000002</v>
      </c>
      <c r="Q24" s="24">
        <v>3252.7860000000001</v>
      </c>
      <c r="R24" s="24">
        <v>2954.326</v>
      </c>
      <c r="S24" s="24">
        <v>2548.2539999999999</v>
      </c>
      <c r="T24" s="24">
        <v>2542.4749999999999</v>
      </c>
      <c r="U24" s="24">
        <v>2338.058</v>
      </c>
      <c r="V24" s="24">
        <v>3629.6889999999999</v>
      </c>
      <c r="W24" s="24">
        <v>3980.6709999999998</v>
      </c>
      <c r="X24" s="24">
        <v>4881.5209999999997</v>
      </c>
      <c r="Y24" s="24">
        <v>4277.3329999999996</v>
      </c>
      <c r="Z24" s="24">
        <v>3263.8</v>
      </c>
      <c r="AA24" s="24">
        <v>3656.4279999999999</v>
      </c>
      <c r="AB24" s="24">
        <v>2880.9630000000002</v>
      </c>
      <c r="AC24" s="24">
        <v>2839.6170000000002</v>
      </c>
    </row>
    <row r="25" spans="1:29">
      <c r="A25" s="7" t="s">
        <v>120</v>
      </c>
      <c r="B25" s="48">
        <f>SUM(B27:B39)</f>
        <v>0</v>
      </c>
      <c r="C25" s="48">
        <f t="shared" ref="C25:AC25" si="10">SUM(C27:C39)</f>
        <v>0</v>
      </c>
      <c r="D25" s="48">
        <f t="shared" si="10"/>
        <v>0</v>
      </c>
      <c r="E25" s="48">
        <f t="shared" si="10"/>
        <v>0</v>
      </c>
      <c r="F25" s="48">
        <f t="shared" si="10"/>
        <v>80433.036999999997</v>
      </c>
      <c r="G25" s="48">
        <f t="shared" si="10"/>
        <v>0</v>
      </c>
      <c r="H25" s="48">
        <f t="shared" si="10"/>
        <v>0</v>
      </c>
      <c r="I25" s="48">
        <f t="shared" si="10"/>
        <v>95595.422999999981</v>
      </c>
      <c r="J25" s="48">
        <f t="shared" si="10"/>
        <v>0</v>
      </c>
      <c r="K25" s="48">
        <f t="shared" si="10"/>
        <v>131658.56070999999</v>
      </c>
      <c r="L25" s="48">
        <f t="shared" si="10"/>
        <v>145030.71499999997</v>
      </c>
      <c r="M25" s="48">
        <f t="shared" si="10"/>
        <v>165019.484</v>
      </c>
      <c r="N25" s="48">
        <f t="shared" si="10"/>
        <v>175518.29399999999</v>
      </c>
      <c r="O25" s="48">
        <f t="shared" si="10"/>
        <v>176394.30499999999</v>
      </c>
      <c r="P25" s="48">
        <f t="shared" si="10"/>
        <v>162603.51700000002</v>
      </c>
      <c r="Q25" s="48">
        <f t="shared" si="10"/>
        <v>181201.85699999999</v>
      </c>
      <c r="R25" s="48">
        <f t="shared" si="10"/>
        <v>193125.49099999998</v>
      </c>
      <c r="S25" s="48">
        <f t="shared" si="10"/>
        <v>194388.16200000001</v>
      </c>
      <c r="T25" s="48">
        <f t="shared" si="10"/>
        <v>210719.80500000002</v>
      </c>
      <c r="U25" s="48">
        <f t="shared" si="10"/>
        <v>222162.74699999997</v>
      </c>
      <c r="V25" s="48">
        <f t="shared" si="10"/>
        <v>262003.894</v>
      </c>
      <c r="W25" s="48">
        <f t="shared" si="10"/>
        <v>287991.79800000001</v>
      </c>
      <c r="X25" s="48">
        <f t="shared" si="10"/>
        <v>299512.67199999996</v>
      </c>
      <c r="Y25" s="48">
        <f t="shared" si="10"/>
        <v>186659.62699999998</v>
      </c>
      <c r="Z25" s="48">
        <f t="shared" si="10"/>
        <v>193889.04400000008</v>
      </c>
      <c r="AA25" s="48">
        <f t="shared" si="10"/>
        <v>194214.144</v>
      </c>
      <c r="AB25" s="48">
        <f t="shared" si="10"/>
        <v>251514.51700000002</v>
      </c>
      <c r="AC25" s="48">
        <f t="shared" si="10"/>
        <v>273914.49400000006</v>
      </c>
    </row>
    <row r="26" spans="1:29">
      <c r="A26" s="7" t="s">
        <v>119</v>
      </c>
      <c r="X26" s="1">
        <v>0</v>
      </c>
      <c r="AB26" s="1">
        <v>0</v>
      </c>
      <c r="AC26" s="1">
        <v>0</v>
      </c>
    </row>
    <row r="27" spans="1:29">
      <c r="A27" s="1" t="s">
        <v>85</v>
      </c>
      <c r="F27" s="42">
        <v>60.533000000000001</v>
      </c>
      <c r="I27" s="1">
        <v>99.935000000000002</v>
      </c>
      <c r="K27" s="1">
        <v>99.484999999999999</v>
      </c>
      <c r="L27" s="1">
        <v>456.02699999999999</v>
      </c>
      <c r="M27" s="1">
        <v>255.22200000000001</v>
      </c>
      <c r="N27" s="1">
        <v>461.25200000000001</v>
      </c>
      <c r="O27" s="1">
        <v>302.39299999999997</v>
      </c>
      <c r="P27" s="1">
        <v>400.45100000000002</v>
      </c>
      <c r="Q27" s="1">
        <v>319.47899999999998</v>
      </c>
      <c r="R27" s="1">
        <v>327.26799999999997</v>
      </c>
      <c r="S27" s="1">
        <v>410.33499999999998</v>
      </c>
      <c r="T27" s="1">
        <v>347.601</v>
      </c>
      <c r="U27" s="1">
        <v>489.03199999999998</v>
      </c>
      <c r="V27" s="1">
        <v>406.85500000000002</v>
      </c>
      <c r="W27" s="1">
        <v>290.32499999999999</v>
      </c>
      <c r="X27" s="1">
        <v>319.26799999999997</v>
      </c>
      <c r="Y27" s="1">
        <v>433.60599999999999</v>
      </c>
      <c r="AB27" s="1">
        <v>0</v>
      </c>
      <c r="AC27" s="1">
        <v>0</v>
      </c>
    </row>
    <row r="28" spans="1:29">
      <c r="A28" s="1" t="s">
        <v>86</v>
      </c>
      <c r="F28" s="42">
        <v>3208.973</v>
      </c>
      <c r="I28" s="1">
        <v>4390.7039999999997</v>
      </c>
      <c r="K28" s="1">
        <v>9752.9286599999959</v>
      </c>
      <c r="L28" s="1">
        <v>8543.43</v>
      </c>
      <c r="M28" s="1">
        <v>10908.332</v>
      </c>
      <c r="N28" s="1">
        <v>12366.891</v>
      </c>
      <c r="O28" s="1">
        <v>11483.224</v>
      </c>
      <c r="P28" s="1">
        <v>10963.419</v>
      </c>
      <c r="Q28" s="1">
        <v>12366.618</v>
      </c>
      <c r="R28" s="1">
        <v>15842.578</v>
      </c>
      <c r="S28" s="1">
        <v>12186.953</v>
      </c>
      <c r="T28" s="1">
        <v>13191.253000000001</v>
      </c>
      <c r="U28" s="1">
        <v>15086.248</v>
      </c>
      <c r="V28" s="1">
        <v>17299.632000000001</v>
      </c>
      <c r="W28" s="1">
        <v>16515.240000000002</v>
      </c>
      <c r="X28" s="1">
        <v>16089.281000000001</v>
      </c>
      <c r="Y28" s="1">
        <v>3149.9340000000002</v>
      </c>
      <c r="Z28" s="1">
        <v>2412.0039999999999</v>
      </c>
      <c r="AA28" s="1">
        <v>2377.38</v>
      </c>
      <c r="AB28" s="1">
        <v>18201.2</v>
      </c>
      <c r="AC28" s="1">
        <v>20481.833999999999</v>
      </c>
    </row>
    <row r="29" spans="1:29">
      <c r="A29" s="1" t="s">
        <v>87</v>
      </c>
      <c r="F29" s="42">
        <v>41174.606</v>
      </c>
      <c r="I29" s="1">
        <v>42365.673999999999</v>
      </c>
      <c r="K29" s="1">
        <v>64833.056120000008</v>
      </c>
      <c r="L29" s="1">
        <v>59353.243999999999</v>
      </c>
      <c r="M29" s="1">
        <v>65265.398999999998</v>
      </c>
      <c r="N29" s="1">
        <v>69617.5</v>
      </c>
      <c r="O29" s="1">
        <v>73840.14</v>
      </c>
      <c r="P29" s="1">
        <v>65287.91</v>
      </c>
      <c r="Q29" s="1">
        <v>77520.567999999999</v>
      </c>
      <c r="R29" s="1">
        <v>88225.406000000003</v>
      </c>
      <c r="S29" s="1">
        <v>93007.27</v>
      </c>
      <c r="T29" s="1">
        <v>99493.095000000001</v>
      </c>
      <c r="U29" s="1">
        <v>98422.767000000007</v>
      </c>
      <c r="V29" s="1">
        <v>109698.514</v>
      </c>
      <c r="W29" s="1">
        <v>142434.58799999999</v>
      </c>
      <c r="X29" s="1">
        <v>169827.54199999999</v>
      </c>
      <c r="Y29" s="1">
        <v>91641.489000000001</v>
      </c>
      <c r="Z29" s="1">
        <v>94609.702000000005</v>
      </c>
      <c r="AA29" s="1">
        <v>101035.556</v>
      </c>
      <c r="AB29" s="1">
        <v>129335.88800000001</v>
      </c>
      <c r="AC29" s="1">
        <v>141277.959</v>
      </c>
    </row>
    <row r="30" spans="1:29">
      <c r="A30" s="1" t="s">
        <v>88</v>
      </c>
      <c r="F30" s="42">
        <v>2554.6320000000001</v>
      </c>
      <c r="I30" s="1">
        <v>4353.1750000000002</v>
      </c>
      <c r="K30" s="1">
        <v>4609.95</v>
      </c>
      <c r="L30" s="1">
        <v>5800.9719999999998</v>
      </c>
      <c r="M30" s="1">
        <v>6686.6660000000002</v>
      </c>
      <c r="N30" s="1">
        <v>8358.8510000000006</v>
      </c>
      <c r="O30" s="1">
        <v>4441.0129999999999</v>
      </c>
      <c r="P30" s="1">
        <v>5238.0959999999995</v>
      </c>
      <c r="Q30" s="1">
        <v>5328.1970000000001</v>
      </c>
      <c r="R30" s="1">
        <v>4841.7830000000004</v>
      </c>
      <c r="S30" s="1">
        <v>4166.8270000000002</v>
      </c>
      <c r="T30" s="1">
        <v>3637.6010000000001</v>
      </c>
      <c r="U30" s="1">
        <v>7180.1139999999996</v>
      </c>
      <c r="V30" s="1">
        <v>6220.6890000000003</v>
      </c>
      <c r="W30" s="1">
        <v>6252.9690000000001</v>
      </c>
      <c r="X30" s="1">
        <v>4773.857</v>
      </c>
      <c r="Y30" s="1">
        <v>1568.4839999999999</v>
      </c>
      <c r="Z30" s="1">
        <v>1726.876</v>
      </c>
      <c r="AA30" s="1">
        <v>1579.777</v>
      </c>
      <c r="AB30" s="1">
        <v>5155.8440000000001</v>
      </c>
      <c r="AC30" s="1">
        <v>5294.0789999999997</v>
      </c>
    </row>
    <row r="31" spans="1:29">
      <c r="A31" s="1" t="s">
        <v>91</v>
      </c>
      <c r="F31" s="42">
        <v>8379.6540000000005</v>
      </c>
      <c r="I31" s="1">
        <v>11163.646000000001</v>
      </c>
      <c r="K31" s="1">
        <v>9818.6869999999999</v>
      </c>
      <c r="L31" s="1">
        <v>14692.216</v>
      </c>
      <c r="M31" s="1">
        <v>15245.718000000001</v>
      </c>
      <c r="N31" s="1">
        <v>15429.996999999999</v>
      </c>
      <c r="O31" s="1">
        <v>17226.626</v>
      </c>
      <c r="P31" s="1">
        <v>14303.985000000001</v>
      </c>
      <c r="Q31" s="1">
        <v>15689.258</v>
      </c>
      <c r="R31" s="1">
        <v>16496.66</v>
      </c>
      <c r="S31" s="1">
        <v>15914.335999999999</v>
      </c>
      <c r="T31" s="1">
        <v>17546.830999999998</v>
      </c>
      <c r="U31" s="1">
        <v>20635.145</v>
      </c>
      <c r="V31" s="1">
        <v>22219.803</v>
      </c>
      <c r="W31" s="1">
        <v>20823.501</v>
      </c>
      <c r="X31" s="1">
        <v>19759.444</v>
      </c>
      <c r="Y31" s="1">
        <v>9694.0509999999995</v>
      </c>
      <c r="Z31" s="1">
        <v>13640.422</v>
      </c>
      <c r="AA31" s="1">
        <v>10732.297</v>
      </c>
      <c r="AB31" s="1">
        <v>13710.462</v>
      </c>
      <c r="AC31" s="1">
        <v>15680.822</v>
      </c>
    </row>
    <row r="32" spans="1:29">
      <c r="A32" s="1" t="s">
        <v>92</v>
      </c>
      <c r="F32" s="42">
        <v>3129.9009999999998</v>
      </c>
      <c r="I32" s="1">
        <v>3746.03</v>
      </c>
      <c r="K32" s="1">
        <v>3644.904</v>
      </c>
      <c r="L32" s="1">
        <v>11406.721</v>
      </c>
      <c r="M32" s="1">
        <v>12602.263000000001</v>
      </c>
      <c r="N32" s="1">
        <v>14017.145</v>
      </c>
      <c r="O32" s="1">
        <v>17873.975999999999</v>
      </c>
      <c r="P32" s="1">
        <v>16324.081</v>
      </c>
      <c r="Q32" s="1">
        <v>17151.217000000001</v>
      </c>
      <c r="R32" s="1">
        <v>17595.164000000001</v>
      </c>
      <c r="S32" s="1">
        <v>17251.087</v>
      </c>
      <c r="T32" s="1">
        <v>17782.342000000001</v>
      </c>
      <c r="U32" s="1">
        <v>19269.231</v>
      </c>
      <c r="V32" s="1">
        <v>21379.875</v>
      </c>
      <c r="W32" s="1">
        <v>21553.144</v>
      </c>
      <c r="X32" s="1">
        <v>22545.621999999999</v>
      </c>
      <c r="Y32" s="1">
        <v>20714.937999999998</v>
      </c>
      <c r="Z32" s="1">
        <v>21977.08</v>
      </c>
      <c r="AA32" s="1">
        <v>22459.348999999998</v>
      </c>
      <c r="AB32" s="1">
        <v>21514.275000000001</v>
      </c>
      <c r="AC32" s="1">
        <v>21229.891</v>
      </c>
    </row>
    <row r="33" spans="1:29">
      <c r="A33" s="1" t="s">
        <v>100</v>
      </c>
      <c r="F33" s="42">
        <v>494.80399999999997</v>
      </c>
      <c r="I33" s="1">
        <v>676.71699999999998</v>
      </c>
      <c r="K33" s="1">
        <v>1494.1119200000019</v>
      </c>
      <c r="L33" s="1">
        <v>1047.721</v>
      </c>
      <c r="M33" s="1">
        <v>1007.134</v>
      </c>
      <c r="N33" s="1">
        <v>896.93799999999999</v>
      </c>
      <c r="O33" s="1">
        <v>1016.404</v>
      </c>
      <c r="P33" s="1">
        <v>1629.0630000000001</v>
      </c>
      <c r="Q33" s="1">
        <v>1199.203</v>
      </c>
      <c r="R33" s="1">
        <v>1664.2670000000001</v>
      </c>
      <c r="S33" s="1">
        <v>1828.1949999999999</v>
      </c>
      <c r="T33" s="1">
        <v>3360.424</v>
      </c>
      <c r="U33" s="1">
        <v>3360.9270000000001</v>
      </c>
      <c r="V33" s="1">
        <v>3001.4209999999998</v>
      </c>
      <c r="W33" s="1">
        <v>3384.808</v>
      </c>
      <c r="X33" s="1">
        <v>2296.0320000000002</v>
      </c>
      <c r="Y33" s="1">
        <v>1703.4849999999999</v>
      </c>
      <c r="Z33" s="1">
        <v>1609.2550000000001</v>
      </c>
      <c r="AA33" s="1">
        <v>1765.3420000000001</v>
      </c>
      <c r="AB33" s="1">
        <v>2248.5230000000001</v>
      </c>
      <c r="AC33" s="1">
        <v>2472.7620000000002</v>
      </c>
    </row>
    <row r="34" spans="1:29">
      <c r="A34" s="1" t="s">
        <v>102</v>
      </c>
      <c r="F34" s="42">
        <v>202.17699999999999</v>
      </c>
      <c r="I34" s="1">
        <v>1588.9</v>
      </c>
      <c r="K34" s="1">
        <v>294</v>
      </c>
      <c r="L34" s="1">
        <v>1242</v>
      </c>
      <c r="M34" s="1">
        <v>1898</v>
      </c>
      <c r="N34" s="1">
        <v>1490</v>
      </c>
      <c r="O34" s="1">
        <v>1105</v>
      </c>
      <c r="P34" s="1">
        <v>0</v>
      </c>
      <c r="Q34" s="1">
        <v>0</v>
      </c>
      <c r="R34" s="1">
        <v>0</v>
      </c>
      <c r="S34" s="1">
        <v>0</v>
      </c>
      <c r="T34" s="1">
        <v>0</v>
      </c>
      <c r="U34" s="1">
        <v>307.33199999999999</v>
      </c>
      <c r="V34" s="1">
        <v>261.63099999999997</v>
      </c>
      <c r="W34" s="1">
        <v>360.46899999999999</v>
      </c>
      <c r="X34" s="1">
        <v>474.63099999999997</v>
      </c>
      <c r="Y34" s="1">
        <v>617.86199999999997</v>
      </c>
      <c r="Z34" s="1">
        <v>515.67100000000005</v>
      </c>
      <c r="AA34" s="1">
        <v>567.14800000000002</v>
      </c>
      <c r="AB34" s="1">
        <v>759.49400000000003</v>
      </c>
      <c r="AC34" s="1">
        <v>1003.494</v>
      </c>
    </row>
    <row r="35" spans="1:29">
      <c r="A35" s="1" t="s">
        <v>105</v>
      </c>
      <c r="F35" s="42">
        <v>9569.5730000000003</v>
      </c>
      <c r="I35" s="1">
        <v>7156.2569999999996</v>
      </c>
      <c r="K35" s="1">
        <v>14885.175510000021</v>
      </c>
      <c r="L35" s="1">
        <v>19645.973000000002</v>
      </c>
      <c r="M35" s="1">
        <v>22524.19</v>
      </c>
      <c r="N35" s="1">
        <v>24707.054</v>
      </c>
      <c r="O35" s="1">
        <v>22042.307000000001</v>
      </c>
      <c r="P35" s="1">
        <v>22607.635999999999</v>
      </c>
      <c r="Q35" s="1">
        <v>23421.508000000002</v>
      </c>
      <c r="R35" s="1">
        <v>23085.295999999998</v>
      </c>
      <c r="S35" s="1">
        <v>24218.02</v>
      </c>
      <c r="T35" s="1">
        <v>26399.920999999998</v>
      </c>
      <c r="U35" s="1">
        <v>29866.194</v>
      </c>
      <c r="V35" s="1">
        <v>32108.524000000001</v>
      </c>
      <c r="W35" s="1">
        <v>28346.862000000001</v>
      </c>
      <c r="X35" s="1">
        <v>27103.757000000001</v>
      </c>
      <c r="Y35" s="1">
        <v>17041.41</v>
      </c>
      <c r="Z35" s="1">
        <v>15355.912</v>
      </c>
      <c r="AA35" s="1">
        <v>15056.758</v>
      </c>
      <c r="AB35" s="1">
        <v>24671.031999999999</v>
      </c>
      <c r="AC35" s="1">
        <v>27335.297999999999</v>
      </c>
    </row>
    <row r="36" spans="1:29">
      <c r="A36" s="1" t="s">
        <v>109</v>
      </c>
      <c r="F36" s="42">
        <v>8033.41</v>
      </c>
      <c r="I36" s="1">
        <v>15224.074000000001</v>
      </c>
      <c r="K36" s="1">
        <v>16059.759439999998</v>
      </c>
      <c r="L36" s="1">
        <v>16835.985000000001</v>
      </c>
      <c r="M36" s="1">
        <v>22111.853999999999</v>
      </c>
      <c r="N36" s="1">
        <v>21665.074000000001</v>
      </c>
      <c r="O36" s="1">
        <v>22857.018</v>
      </c>
      <c r="P36" s="1">
        <v>21212.285</v>
      </c>
      <c r="Q36" s="1">
        <v>23431.546999999999</v>
      </c>
      <c r="R36" s="1">
        <v>19292.361000000001</v>
      </c>
      <c r="S36" s="1">
        <v>19728.71</v>
      </c>
      <c r="T36" s="1">
        <v>21798.986000000001</v>
      </c>
      <c r="U36" s="1">
        <v>21528.235000000001</v>
      </c>
      <c r="V36" s="1">
        <v>41411.913</v>
      </c>
      <c r="W36" s="1">
        <v>40366.616000000002</v>
      </c>
      <c r="X36" s="1">
        <v>30986.531999999999</v>
      </c>
      <c r="Y36" s="1">
        <v>28403.39</v>
      </c>
      <c r="Z36" s="1">
        <v>29602.523000000001</v>
      </c>
      <c r="AA36" s="1">
        <v>26426.477999999999</v>
      </c>
      <c r="AB36" s="1">
        <v>30426.873</v>
      </c>
      <c r="AC36" s="1">
        <v>33888.847000000002</v>
      </c>
    </row>
    <row r="37" spans="1:29">
      <c r="A37" s="1" t="s">
        <v>113</v>
      </c>
      <c r="F37" s="42">
        <v>1021.93</v>
      </c>
      <c r="I37" s="1">
        <v>2163.2460000000001</v>
      </c>
      <c r="K37" s="1">
        <v>4158.3519999999999</v>
      </c>
      <c r="L37" s="1">
        <v>3995.1309999999999</v>
      </c>
      <c r="M37" s="1">
        <v>4208.7719999999999</v>
      </c>
      <c r="N37" s="1">
        <v>2817.2559999999999</v>
      </c>
      <c r="O37" s="1">
        <v>2614.1709999999998</v>
      </c>
      <c r="P37" s="1">
        <v>2842.0810000000001</v>
      </c>
      <c r="Q37" s="1">
        <v>2998.0630000000001</v>
      </c>
      <c r="R37" s="1">
        <v>3638.011</v>
      </c>
      <c r="S37" s="1">
        <v>3811.2930000000001</v>
      </c>
      <c r="T37" s="1">
        <v>5280.9639999999999</v>
      </c>
      <c r="U37" s="1">
        <v>3738.018</v>
      </c>
      <c r="V37" s="1">
        <v>5256.2640000000001</v>
      </c>
      <c r="W37" s="1">
        <v>5323.9849999999997</v>
      </c>
      <c r="X37" s="1">
        <v>3097.5720000000001</v>
      </c>
      <c r="Y37" s="1">
        <v>9372.26</v>
      </c>
      <c r="Z37" s="1">
        <v>9845.0210000000006</v>
      </c>
      <c r="AA37" s="1">
        <v>9262.6010000000006</v>
      </c>
      <c r="AB37" s="1">
        <v>2901.567</v>
      </c>
      <c r="AC37" s="1">
        <v>2434.5650000000001</v>
      </c>
    </row>
    <row r="38" spans="1:29">
      <c r="A38" s="1" t="s">
        <v>115</v>
      </c>
      <c r="F38" s="42">
        <v>562.76400000000001</v>
      </c>
      <c r="I38" s="1">
        <v>167.86600000000001</v>
      </c>
      <c r="K38" s="1">
        <v>278.28606000000241</v>
      </c>
      <c r="L38" s="1">
        <v>214.46799999999999</v>
      </c>
      <c r="M38" s="1">
        <v>72.453000000000003</v>
      </c>
      <c r="N38" s="1">
        <v>71.619</v>
      </c>
      <c r="O38" s="1">
        <v>63.74</v>
      </c>
      <c r="P38" s="1">
        <v>77.162999999999997</v>
      </c>
      <c r="Q38" s="1">
        <v>82.322000000000003</v>
      </c>
      <c r="R38" s="1">
        <v>101.675</v>
      </c>
      <c r="S38" s="1">
        <v>102.056</v>
      </c>
      <c r="T38" s="1">
        <v>76.447999999999993</v>
      </c>
      <c r="U38" s="1">
        <v>20.036000000000001</v>
      </c>
      <c r="V38" s="1">
        <v>0</v>
      </c>
      <c r="W38" s="1">
        <v>0</v>
      </c>
      <c r="X38" s="1">
        <v>0</v>
      </c>
      <c r="Y38" s="1">
        <v>0</v>
      </c>
      <c r="Z38" s="1">
        <v>0</v>
      </c>
      <c r="AA38" s="1">
        <v>0</v>
      </c>
      <c r="AB38" s="1">
        <v>0</v>
      </c>
      <c r="AC38" s="1">
        <v>0</v>
      </c>
    </row>
    <row r="39" spans="1:29">
      <c r="A39" s="24" t="s">
        <v>117</v>
      </c>
      <c r="B39" s="24"/>
      <c r="C39" s="24"/>
      <c r="D39" s="24"/>
      <c r="E39" s="24"/>
      <c r="F39" s="45">
        <v>2040.08</v>
      </c>
      <c r="G39" s="24"/>
      <c r="H39" s="24"/>
      <c r="I39" s="24">
        <v>2499.1990000000001</v>
      </c>
      <c r="J39" s="24"/>
      <c r="K39" s="24">
        <v>1729.865</v>
      </c>
      <c r="L39" s="24">
        <v>1796.827</v>
      </c>
      <c r="M39" s="24">
        <v>2233.4810000000002</v>
      </c>
      <c r="N39" s="24">
        <v>3618.7170000000001</v>
      </c>
      <c r="O39" s="24">
        <v>1528.2929999999999</v>
      </c>
      <c r="P39" s="24">
        <v>1717.347</v>
      </c>
      <c r="Q39" s="24">
        <v>1693.877</v>
      </c>
      <c r="R39" s="24">
        <v>2015.0219999999999</v>
      </c>
      <c r="S39" s="24">
        <v>1763.08</v>
      </c>
      <c r="T39" s="24">
        <v>1804.3389999999999</v>
      </c>
      <c r="U39" s="24">
        <v>2259.4679999999998</v>
      </c>
      <c r="V39" s="24">
        <v>2738.7730000000001</v>
      </c>
      <c r="W39" s="24">
        <v>2339.2910000000002</v>
      </c>
      <c r="X39" s="24">
        <v>2239.134</v>
      </c>
      <c r="Y39" s="24">
        <v>2318.7179999999998</v>
      </c>
      <c r="Z39" s="24">
        <v>2594.578</v>
      </c>
      <c r="AA39" s="24">
        <v>2951.4580000000001</v>
      </c>
      <c r="AB39" s="24">
        <v>2589.3589999999999</v>
      </c>
      <c r="AC39" s="24">
        <v>2814.9430000000002</v>
      </c>
    </row>
    <row r="40" spans="1:29">
      <c r="A40" s="7" t="s">
        <v>121</v>
      </c>
      <c r="B40" s="48">
        <f>SUM(B42:B53)</f>
        <v>0</v>
      </c>
      <c r="C40" s="48">
        <f t="shared" ref="C40:AC40" si="11">SUM(C42:C53)</f>
        <v>0</v>
      </c>
      <c r="D40" s="48">
        <f t="shared" si="11"/>
        <v>0</v>
      </c>
      <c r="E40" s="48">
        <f t="shared" si="11"/>
        <v>0</v>
      </c>
      <c r="F40" s="48">
        <f t="shared" si="11"/>
        <v>121619.57100000001</v>
      </c>
      <c r="G40" s="48">
        <f t="shared" si="11"/>
        <v>0</v>
      </c>
      <c r="H40" s="48">
        <f t="shared" si="11"/>
        <v>0</v>
      </c>
      <c r="I40" s="48">
        <f t="shared" si="11"/>
        <v>155206.33900000001</v>
      </c>
      <c r="J40" s="48">
        <f t="shared" si="11"/>
        <v>0</v>
      </c>
      <c r="K40" s="48">
        <f t="shared" si="11"/>
        <v>202673.16846999998</v>
      </c>
      <c r="L40" s="48">
        <f t="shared" si="11"/>
        <v>223647.70800000001</v>
      </c>
      <c r="M40" s="48">
        <f t="shared" si="11"/>
        <v>250026.44800000003</v>
      </c>
      <c r="N40" s="48">
        <f t="shared" si="11"/>
        <v>258027.19700000004</v>
      </c>
      <c r="O40" s="48">
        <f t="shared" si="11"/>
        <v>255382.26699999999</v>
      </c>
      <c r="P40" s="48">
        <f t="shared" si="11"/>
        <v>224875.345</v>
      </c>
      <c r="Q40" s="48">
        <f t="shared" si="11"/>
        <v>223102.633</v>
      </c>
      <c r="R40" s="48">
        <f t="shared" si="11"/>
        <v>244407.37100000001</v>
      </c>
      <c r="S40" s="48">
        <f t="shared" si="11"/>
        <v>235799.804</v>
      </c>
      <c r="T40" s="48">
        <f t="shared" si="11"/>
        <v>251843.68100000001</v>
      </c>
      <c r="U40" s="48">
        <f t="shared" si="11"/>
        <v>282786.54399999994</v>
      </c>
      <c r="V40" s="48">
        <f t="shared" si="11"/>
        <v>309849.533</v>
      </c>
      <c r="W40" s="48">
        <f t="shared" si="11"/>
        <v>308746.54300000001</v>
      </c>
      <c r="X40" s="48">
        <f t="shared" si="11"/>
        <v>303860.18700000003</v>
      </c>
      <c r="Y40" s="48">
        <f t="shared" si="11"/>
        <v>258899.81099999999</v>
      </c>
      <c r="Z40" s="48">
        <f t="shared" si="11"/>
        <v>251664.67800000001</v>
      </c>
      <c r="AA40" s="48">
        <f t="shared" si="11"/>
        <v>232659.14599999998</v>
      </c>
      <c r="AB40" s="48">
        <f t="shared" si="11"/>
        <v>278899.95199999999</v>
      </c>
      <c r="AC40" s="48">
        <f t="shared" si="11"/>
        <v>281241.67199999996</v>
      </c>
    </row>
    <row r="41" spans="1:29">
      <c r="A41" s="7" t="s">
        <v>119</v>
      </c>
      <c r="X41" s="1">
        <v>0</v>
      </c>
      <c r="AB41" s="1">
        <v>0</v>
      </c>
      <c r="AC41" s="1">
        <v>0</v>
      </c>
    </row>
    <row r="42" spans="1:29">
      <c r="A42" s="1" t="s">
        <v>93</v>
      </c>
      <c r="F42" s="42">
        <v>41617.044000000002</v>
      </c>
      <c r="I42" s="1">
        <v>56890.107000000004</v>
      </c>
      <c r="K42" s="1">
        <v>58243.556949999991</v>
      </c>
      <c r="L42" s="1">
        <v>82563.534</v>
      </c>
      <c r="M42" s="1">
        <v>99239.675000000003</v>
      </c>
      <c r="N42" s="1">
        <v>103683.298</v>
      </c>
      <c r="O42" s="1">
        <v>96857.376000000004</v>
      </c>
      <c r="P42" s="1">
        <v>91625.531000000003</v>
      </c>
      <c r="Q42" s="1">
        <v>91134.91</v>
      </c>
      <c r="R42" s="1">
        <v>90382.357999999993</v>
      </c>
      <c r="S42" s="1">
        <v>90901.717000000004</v>
      </c>
      <c r="T42" s="1">
        <v>92904.633000000002</v>
      </c>
      <c r="U42" s="1">
        <v>93941.433000000005</v>
      </c>
      <c r="V42" s="1">
        <v>109715.359</v>
      </c>
      <c r="W42" s="1">
        <v>111853.48699999999</v>
      </c>
      <c r="X42" s="1">
        <v>112861.762</v>
      </c>
      <c r="Y42" s="1">
        <v>65434.500999999997</v>
      </c>
      <c r="Z42" s="1">
        <v>66321.914000000004</v>
      </c>
      <c r="AA42" s="1">
        <v>67605.455000000002</v>
      </c>
      <c r="AB42" s="1">
        <v>104636.026</v>
      </c>
      <c r="AC42" s="1">
        <v>101246.08900000001</v>
      </c>
    </row>
    <row r="43" spans="1:29">
      <c r="A43" s="1" t="s">
        <v>58</v>
      </c>
      <c r="F43" s="42">
        <v>19777.100999999999</v>
      </c>
      <c r="I43" s="1">
        <v>18656.896000000001</v>
      </c>
      <c r="K43" s="1">
        <v>37413.828999999998</v>
      </c>
      <c r="L43" s="1">
        <v>26648.714</v>
      </c>
      <c r="M43" s="1">
        <v>24820.894</v>
      </c>
      <c r="N43" s="1">
        <v>26709.225999999999</v>
      </c>
      <c r="O43" s="1">
        <v>30185.499</v>
      </c>
      <c r="P43" s="1">
        <v>2530.192</v>
      </c>
      <c r="Q43" s="1">
        <v>2851.5259999999998</v>
      </c>
      <c r="R43" s="1">
        <v>2948.7510000000002</v>
      </c>
      <c r="S43" s="1">
        <v>2632.5059999999999</v>
      </c>
      <c r="T43" s="1">
        <v>1470.8910000000001</v>
      </c>
      <c r="U43" s="1">
        <v>3646.6260000000002</v>
      </c>
      <c r="V43" s="1">
        <v>5244.8639999999996</v>
      </c>
      <c r="W43" s="1">
        <v>5828.2330000000002</v>
      </c>
      <c r="X43" s="1">
        <v>3207.2710000000002</v>
      </c>
      <c r="Y43" s="1">
        <v>20029.217000000001</v>
      </c>
      <c r="Z43" s="1">
        <v>16677.278999999999</v>
      </c>
      <c r="AA43" s="1">
        <v>12602.388999999999</v>
      </c>
      <c r="AB43" s="1">
        <v>1060.2149999999999</v>
      </c>
      <c r="AC43" s="1">
        <v>1076.6400000000001</v>
      </c>
    </row>
    <row r="44" spans="1:29">
      <c r="A44" s="1" t="s">
        <v>94</v>
      </c>
      <c r="F44" s="42">
        <v>15110.588</v>
      </c>
      <c r="I44" s="1">
        <v>15132.572</v>
      </c>
      <c r="K44" s="1">
        <v>14291.415999999999</v>
      </c>
      <c r="L44" s="1">
        <v>18562.995999999999</v>
      </c>
      <c r="M44" s="1">
        <v>16991.351999999999</v>
      </c>
      <c r="N44" s="1">
        <v>22302.394</v>
      </c>
      <c r="O44" s="1">
        <v>17901.460999999999</v>
      </c>
      <c r="P44" s="1">
        <v>21402.284</v>
      </c>
      <c r="Q44" s="1">
        <v>22018.726999999999</v>
      </c>
      <c r="R44" s="1">
        <v>37098.432000000001</v>
      </c>
      <c r="S44" s="1">
        <v>27868.191999999999</v>
      </c>
      <c r="T44" s="1">
        <v>33386.241000000002</v>
      </c>
      <c r="U44" s="1">
        <v>34060.578999999998</v>
      </c>
      <c r="V44" s="1">
        <v>33330.523999999998</v>
      </c>
      <c r="W44" s="1">
        <v>32104.197</v>
      </c>
      <c r="X44" s="1">
        <v>31728.894</v>
      </c>
      <c r="Y44" s="1">
        <v>23420.43</v>
      </c>
      <c r="Z44" s="1">
        <v>21346.258000000002</v>
      </c>
      <c r="AA44" s="1">
        <v>17039.955999999998</v>
      </c>
      <c r="AB44" s="1">
        <v>22929.512999999999</v>
      </c>
      <c r="AC44" s="1">
        <v>21914.288</v>
      </c>
    </row>
    <row r="45" spans="1:29">
      <c r="A45" s="1" t="s">
        <v>95</v>
      </c>
      <c r="F45" s="42">
        <v>3743.21</v>
      </c>
      <c r="I45" s="1">
        <v>4721.759</v>
      </c>
      <c r="K45" s="1">
        <v>3858.7314399999977</v>
      </c>
      <c r="L45" s="1">
        <v>13652.298000000001</v>
      </c>
      <c r="M45" s="1">
        <v>9473.9320000000007</v>
      </c>
      <c r="N45" s="1">
        <v>14213.713</v>
      </c>
      <c r="O45" s="1">
        <v>18066.501</v>
      </c>
      <c r="P45" s="1">
        <v>4864.4719999999998</v>
      </c>
      <c r="Q45" s="1">
        <v>5232.7290000000003</v>
      </c>
      <c r="R45" s="1">
        <v>5747.4589999999998</v>
      </c>
      <c r="S45" s="1">
        <v>4535.3530000000001</v>
      </c>
      <c r="T45" s="1">
        <v>5433.9859999999999</v>
      </c>
      <c r="U45" s="1">
        <v>5403.6859999999997</v>
      </c>
      <c r="V45" s="1">
        <v>6308.3670000000002</v>
      </c>
      <c r="W45" s="1">
        <v>6632.415</v>
      </c>
      <c r="X45" s="1">
        <v>6766.5540000000001</v>
      </c>
      <c r="Y45" s="1">
        <v>6250.2049999999999</v>
      </c>
      <c r="Z45" s="1">
        <v>5729.665</v>
      </c>
      <c r="AA45" s="1">
        <v>5674.6530000000002</v>
      </c>
      <c r="AB45" s="1">
        <v>6316.0829999999996</v>
      </c>
      <c r="AC45" s="1">
        <v>6403.0450000000001</v>
      </c>
    </row>
    <row r="46" spans="1:29">
      <c r="A46" s="1" t="s">
        <v>98</v>
      </c>
      <c r="F46" s="42">
        <v>10090.757</v>
      </c>
      <c r="I46" s="1">
        <v>15386.79</v>
      </c>
      <c r="K46" s="1">
        <v>20177.28769999999</v>
      </c>
      <c r="L46" s="1">
        <v>18006.113000000001</v>
      </c>
      <c r="M46" s="1">
        <v>18555.941999999999</v>
      </c>
      <c r="N46" s="1">
        <v>19179.263999999999</v>
      </c>
      <c r="O46" s="1">
        <v>18135.202000000001</v>
      </c>
      <c r="P46" s="1">
        <v>23802.429</v>
      </c>
      <c r="Q46" s="1">
        <v>25445.71</v>
      </c>
      <c r="R46" s="1">
        <v>27145.773000000001</v>
      </c>
      <c r="S46" s="1">
        <v>29879.792000000001</v>
      </c>
      <c r="T46" s="1">
        <v>33214.716</v>
      </c>
      <c r="U46" s="1">
        <v>38810.642</v>
      </c>
      <c r="V46" s="1">
        <v>47185.489000000001</v>
      </c>
      <c r="W46" s="1">
        <v>49867.57</v>
      </c>
      <c r="X46" s="1">
        <v>41627.974999999999</v>
      </c>
      <c r="Y46" s="1">
        <v>43839.762000000002</v>
      </c>
      <c r="Z46" s="1">
        <v>41546.843000000001</v>
      </c>
      <c r="AA46" s="1">
        <v>40745.120999999999</v>
      </c>
      <c r="AB46" s="1">
        <v>40939.875999999997</v>
      </c>
      <c r="AC46" s="1">
        <v>43063.383999999998</v>
      </c>
    </row>
    <row r="47" spans="1:29">
      <c r="A47" s="1" t="s">
        <v>99</v>
      </c>
      <c r="F47" s="42">
        <v>8235.9879999999994</v>
      </c>
      <c r="I47" s="1">
        <v>9387.7459999999992</v>
      </c>
      <c r="K47" s="1">
        <v>27266.884379999996</v>
      </c>
      <c r="L47" s="1">
        <v>7351.7470000000003</v>
      </c>
      <c r="M47" s="1">
        <v>9158.0830000000005</v>
      </c>
      <c r="N47" s="1">
        <v>7058.6239999999998</v>
      </c>
      <c r="O47" s="1">
        <v>6017.5780000000004</v>
      </c>
      <c r="P47" s="1">
        <v>6683.2449999999999</v>
      </c>
      <c r="Q47" s="1">
        <v>5855.6769999999997</v>
      </c>
      <c r="R47" s="1">
        <v>7372.5320000000002</v>
      </c>
      <c r="S47" s="1">
        <v>6932.5559999999996</v>
      </c>
      <c r="T47" s="1">
        <v>8347.0550000000003</v>
      </c>
      <c r="U47" s="1">
        <v>9397.9410000000007</v>
      </c>
      <c r="V47" s="1">
        <v>10653.137000000001</v>
      </c>
      <c r="W47" s="1">
        <v>11813</v>
      </c>
      <c r="X47" s="1">
        <v>9434.9689999999991</v>
      </c>
      <c r="Y47" s="1">
        <v>4172.5249999999996</v>
      </c>
      <c r="Z47" s="1">
        <v>4506.576</v>
      </c>
      <c r="AA47" s="1">
        <v>3643.0540000000001</v>
      </c>
      <c r="AB47" s="1">
        <v>6756.47</v>
      </c>
      <c r="AC47" s="1">
        <v>7284.1689999999999</v>
      </c>
    </row>
    <row r="48" spans="1:29">
      <c r="A48" s="1" t="s">
        <v>59</v>
      </c>
      <c r="F48" s="42">
        <v>1284.796</v>
      </c>
      <c r="I48" s="1">
        <v>3509.364</v>
      </c>
      <c r="K48" s="1">
        <v>3533.165</v>
      </c>
      <c r="L48" s="1">
        <v>2248.6379999999999</v>
      </c>
      <c r="M48" s="1">
        <v>2435.39</v>
      </c>
      <c r="N48" s="1">
        <v>1116.9880000000001</v>
      </c>
      <c r="O48" s="1">
        <v>1281.058</v>
      </c>
      <c r="P48" s="1">
        <v>1022.652</v>
      </c>
      <c r="Q48" s="1">
        <v>1114.403</v>
      </c>
      <c r="R48" s="1">
        <v>1486.953</v>
      </c>
      <c r="S48" s="1">
        <v>1602.3309999999999</v>
      </c>
      <c r="T48" s="1">
        <v>1812.1</v>
      </c>
      <c r="U48" s="1">
        <v>1685.395</v>
      </c>
      <c r="V48" s="1">
        <v>1910.569</v>
      </c>
      <c r="W48" s="1">
        <v>2287.308</v>
      </c>
      <c r="X48" s="1">
        <v>7363.73</v>
      </c>
      <c r="Y48" s="1">
        <v>12589.835999999999</v>
      </c>
      <c r="Z48" s="1">
        <v>14546.817999999999</v>
      </c>
      <c r="AA48" s="1">
        <v>12627.266</v>
      </c>
      <c r="AB48" s="1">
        <v>13076.029</v>
      </c>
      <c r="AC48" s="1">
        <v>10886.848</v>
      </c>
    </row>
    <row r="49" spans="1:29">
      <c r="A49" s="1" t="s">
        <v>101</v>
      </c>
      <c r="F49" s="42">
        <v>201.017</v>
      </c>
      <c r="I49" s="1">
        <v>0</v>
      </c>
      <c r="K49" s="1">
        <v>0</v>
      </c>
      <c r="L49" s="1">
        <v>0</v>
      </c>
      <c r="M49" s="1">
        <v>0</v>
      </c>
      <c r="N49" s="1">
        <v>0</v>
      </c>
      <c r="O49" s="1">
        <v>0</v>
      </c>
      <c r="P49" s="1">
        <v>330.77300000000002</v>
      </c>
      <c r="Q49" s="1">
        <v>0</v>
      </c>
      <c r="R49" s="1">
        <v>0</v>
      </c>
      <c r="S49" s="1">
        <v>0</v>
      </c>
      <c r="T49" s="1">
        <v>16</v>
      </c>
      <c r="U49" s="1">
        <v>0</v>
      </c>
      <c r="V49" s="1">
        <v>0</v>
      </c>
      <c r="W49" s="1">
        <v>0</v>
      </c>
      <c r="X49" s="1">
        <v>0</v>
      </c>
      <c r="Y49" s="1">
        <v>0</v>
      </c>
      <c r="Z49" s="1">
        <v>0</v>
      </c>
      <c r="AA49" s="1">
        <v>26.245000000000001</v>
      </c>
      <c r="AB49" s="1">
        <v>48.012999999999998</v>
      </c>
      <c r="AC49" s="1">
        <v>71.12</v>
      </c>
    </row>
    <row r="50" spans="1:29">
      <c r="A50" s="1" t="s">
        <v>107</v>
      </c>
      <c r="F50" s="42">
        <v>369.31299999999999</v>
      </c>
      <c r="I50" s="1">
        <v>501.01600000000002</v>
      </c>
      <c r="K50" s="1">
        <v>388.142</v>
      </c>
      <c r="L50" s="1">
        <v>823.37300000000005</v>
      </c>
      <c r="M50" s="1">
        <v>231.12200000000001</v>
      </c>
      <c r="N50" s="1">
        <v>46.92</v>
      </c>
      <c r="O50" s="1">
        <v>106.83499999999999</v>
      </c>
      <c r="P50" s="1">
        <v>20.204000000000001</v>
      </c>
      <c r="Q50" s="1">
        <v>96.918000000000006</v>
      </c>
      <c r="R50" s="1">
        <v>96.313999999999993</v>
      </c>
      <c r="S50" s="1">
        <v>119.19</v>
      </c>
      <c r="T50" s="1">
        <v>0</v>
      </c>
      <c r="U50" s="1">
        <v>0</v>
      </c>
      <c r="V50" s="1">
        <v>18.491</v>
      </c>
      <c r="W50" s="1">
        <v>0</v>
      </c>
      <c r="X50" s="1">
        <v>610.92100000000005</v>
      </c>
      <c r="Y50" s="1">
        <v>595.58900000000006</v>
      </c>
      <c r="Z50" s="1">
        <v>2257.7530000000002</v>
      </c>
      <c r="AA50" s="1">
        <v>2595.3980000000001</v>
      </c>
      <c r="AB50" s="1">
        <v>2395.0659999999998</v>
      </c>
      <c r="AC50" s="1">
        <v>2430.3560000000002</v>
      </c>
    </row>
    <row r="51" spans="1:29">
      <c r="A51" s="1" t="s">
        <v>108</v>
      </c>
      <c r="F51" s="42">
        <v>19946.499</v>
      </c>
      <c r="I51" s="1">
        <v>29174.625</v>
      </c>
      <c r="K51" s="1">
        <v>35095.660000000003</v>
      </c>
      <c r="L51" s="1">
        <v>50680.741999999998</v>
      </c>
      <c r="M51" s="1">
        <v>65735.199999999997</v>
      </c>
      <c r="N51" s="1">
        <v>60766.15</v>
      </c>
      <c r="O51" s="1">
        <v>64074.974000000002</v>
      </c>
      <c r="P51" s="1">
        <v>69525.680999999997</v>
      </c>
      <c r="Q51" s="1">
        <v>66496.608999999997</v>
      </c>
      <c r="R51" s="1">
        <v>68979.171000000002</v>
      </c>
      <c r="S51" s="1">
        <v>68376.994999999995</v>
      </c>
      <c r="T51" s="1">
        <v>71979.372000000003</v>
      </c>
      <c r="U51" s="1">
        <v>86755.626000000004</v>
      </c>
      <c r="V51" s="1">
        <v>91057.232000000004</v>
      </c>
      <c r="W51" s="1">
        <v>83999.918999999994</v>
      </c>
      <c r="X51" s="1">
        <v>85742.093999999997</v>
      </c>
      <c r="Y51" s="1">
        <v>72259.37</v>
      </c>
      <c r="Z51" s="1">
        <v>68184.649000000005</v>
      </c>
      <c r="AA51" s="1">
        <v>60068.392999999996</v>
      </c>
      <c r="AB51" s="1">
        <v>70423.258000000002</v>
      </c>
      <c r="AC51" s="1">
        <v>76268.717999999993</v>
      </c>
    </row>
    <row r="52" spans="1:29">
      <c r="A52" s="1" t="s">
        <v>112</v>
      </c>
      <c r="F52" s="42">
        <v>0</v>
      </c>
      <c r="I52" s="1">
        <v>0</v>
      </c>
      <c r="K52" s="1">
        <v>337.27300000000002</v>
      </c>
      <c r="L52" s="1">
        <v>874.07</v>
      </c>
      <c r="M52" s="1">
        <v>595.76499999999999</v>
      </c>
      <c r="N52" s="1">
        <v>218.15100000000001</v>
      </c>
      <c r="O52" s="1">
        <v>0</v>
      </c>
      <c r="P52" s="1">
        <v>5.2309999999999999</v>
      </c>
      <c r="Q52" s="1">
        <v>0</v>
      </c>
      <c r="R52" s="1">
        <v>0</v>
      </c>
      <c r="S52" s="1">
        <v>0</v>
      </c>
      <c r="T52" s="1">
        <v>0</v>
      </c>
      <c r="U52" s="1">
        <v>5694.3370000000004</v>
      </c>
      <c r="V52" s="1">
        <v>0</v>
      </c>
      <c r="W52" s="1">
        <v>0</v>
      </c>
      <c r="X52" s="1">
        <v>0</v>
      </c>
      <c r="Y52" s="1">
        <v>6336.0929999999998</v>
      </c>
      <c r="Z52" s="1">
        <v>6454.7830000000004</v>
      </c>
      <c r="AA52" s="1">
        <v>6231.2039999999997</v>
      </c>
      <c r="AB52" s="1">
        <v>6214.9470000000001</v>
      </c>
      <c r="AC52" s="1">
        <v>6687.29</v>
      </c>
    </row>
    <row r="53" spans="1:29">
      <c r="A53" s="24" t="s">
        <v>116</v>
      </c>
      <c r="B53" s="24"/>
      <c r="C53" s="24"/>
      <c r="D53" s="24"/>
      <c r="E53" s="24"/>
      <c r="F53" s="45">
        <v>1243.258</v>
      </c>
      <c r="G53" s="24"/>
      <c r="H53" s="24"/>
      <c r="I53" s="24">
        <v>1845.4639999999999</v>
      </c>
      <c r="J53" s="24"/>
      <c r="K53" s="24">
        <v>2067.223</v>
      </c>
      <c r="L53" s="24">
        <v>2235.4830000000002</v>
      </c>
      <c r="M53" s="24">
        <v>2789.0929999999998</v>
      </c>
      <c r="N53" s="24">
        <v>2732.4690000000001</v>
      </c>
      <c r="O53" s="24">
        <v>2755.7829999999999</v>
      </c>
      <c r="P53" s="24">
        <v>3062.6509999999998</v>
      </c>
      <c r="Q53" s="24">
        <v>2855.424</v>
      </c>
      <c r="R53" s="24">
        <v>3149.6280000000002</v>
      </c>
      <c r="S53" s="24">
        <v>2951.172</v>
      </c>
      <c r="T53" s="24">
        <v>3278.6869999999999</v>
      </c>
      <c r="U53" s="24">
        <v>3390.279</v>
      </c>
      <c r="V53" s="24">
        <v>4425.5010000000002</v>
      </c>
      <c r="W53" s="24">
        <v>4360.4139999999998</v>
      </c>
      <c r="X53" s="24">
        <v>4516.0169999999998</v>
      </c>
      <c r="Y53" s="24">
        <v>3972.2829999999999</v>
      </c>
      <c r="Z53" s="24">
        <v>4092.14</v>
      </c>
      <c r="AA53" s="24">
        <v>3800.0120000000002</v>
      </c>
      <c r="AB53" s="24">
        <v>4104.4560000000001</v>
      </c>
      <c r="AC53" s="24">
        <v>3909.7249999999999</v>
      </c>
    </row>
    <row r="54" spans="1:29">
      <c r="A54" s="7" t="s">
        <v>122</v>
      </c>
      <c r="B54" s="48">
        <f>SUM(B56:B64)</f>
        <v>0</v>
      </c>
      <c r="C54" s="48">
        <f t="shared" ref="C54:AC54" si="12">SUM(C56:C64)</f>
        <v>0</v>
      </c>
      <c r="D54" s="48">
        <f t="shared" si="12"/>
        <v>0</v>
      </c>
      <c r="E54" s="48">
        <f t="shared" si="12"/>
        <v>0</v>
      </c>
      <c r="F54" s="48">
        <f>SUM(F56:F64)</f>
        <v>43373.875999999997</v>
      </c>
      <c r="G54" s="48">
        <f t="shared" si="12"/>
        <v>0</v>
      </c>
      <c r="H54" s="48">
        <f t="shared" si="12"/>
        <v>0</v>
      </c>
      <c r="I54" s="48">
        <f t="shared" si="12"/>
        <v>48101.45</v>
      </c>
      <c r="J54" s="48">
        <f t="shared" si="12"/>
        <v>0</v>
      </c>
      <c r="K54" s="48">
        <f t="shared" si="12"/>
        <v>44776.628949999998</v>
      </c>
      <c r="L54" s="48">
        <f t="shared" si="12"/>
        <v>47661.200000000004</v>
      </c>
      <c r="M54" s="48">
        <f t="shared" si="12"/>
        <v>68063.415999999997</v>
      </c>
      <c r="N54" s="48">
        <f t="shared" si="12"/>
        <v>69274.463999999993</v>
      </c>
      <c r="O54" s="48">
        <f t="shared" si="12"/>
        <v>51258.775000000001</v>
      </c>
      <c r="P54" s="48">
        <f t="shared" si="12"/>
        <v>53512.597000000002</v>
      </c>
      <c r="Q54" s="48">
        <f t="shared" si="12"/>
        <v>54564.242000000006</v>
      </c>
      <c r="R54" s="48">
        <f t="shared" si="12"/>
        <v>53202.628000000004</v>
      </c>
      <c r="S54" s="48">
        <f t="shared" si="12"/>
        <v>52774.008999999998</v>
      </c>
      <c r="T54" s="48">
        <f t="shared" si="12"/>
        <v>59784.007999999994</v>
      </c>
      <c r="U54" s="48">
        <f t="shared" si="12"/>
        <v>73691.006000000008</v>
      </c>
      <c r="V54" s="48">
        <f t="shared" si="12"/>
        <v>80610.969999999987</v>
      </c>
      <c r="W54" s="48">
        <f t="shared" si="12"/>
        <v>82714.824999999997</v>
      </c>
      <c r="X54" s="48">
        <f t="shared" si="12"/>
        <v>79553.315000000002</v>
      </c>
      <c r="Y54" s="48">
        <f t="shared" si="12"/>
        <v>92547.968999999983</v>
      </c>
      <c r="Z54" s="48">
        <f t="shared" si="12"/>
        <v>93187.392000000007</v>
      </c>
      <c r="AA54" s="48">
        <f t="shared" si="12"/>
        <v>92408.686000000002</v>
      </c>
      <c r="AB54" s="48">
        <f t="shared" si="12"/>
        <v>72304.50499999999</v>
      </c>
      <c r="AC54" s="48">
        <f t="shared" si="12"/>
        <v>79505.509000000005</v>
      </c>
    </row>
    <row r="55" spans="1:29">
      <c r="A55" s="7" t="s">
        <v>119</v>
      </c>
      <c r="X55" s="1">
        <v>0</v>
      </c>
      <c r="AB55" s="1">
        <v>0</v>
      </c>
      <c r="AC55" s="1">
        <v>0</v>
      </c>
    </row>
    <row r="56" spans="1:29">
      <c r="A56" s="1" t="s">
        <v>89</v>
      </c>
      <c r="F56" s="42">
        <v>1523.3489999999999</v>
      </c>
      <c r="I56" s="1">
        <v>1280.5530000000001</v>
      </c>
      <c r="K56" s="1">
        <v>1243.8261999999993</v>
      </c>
      <c r="L56" s="1">
        <v>2226.6260000000002</v>
      </c>
      <c r="M56" s="1">
        <v>1739.242</v>
      </c>
      <c r="N56" s="1">
        <v>1534.3320000000001</v>
      </c>
      <c r="O56" s="1">
        <v>1088.7249999999999</v>
      </c>
      <c r="P56" s="1">
        <v>756.75900000000001</v>
      </c>
      <c r="Q56" s="1">
        <v>865.78399999999999</v>
      </c>
      <c r="R56" s="1">
        <v>1001.465</v>
      </c>
      <c r="S56" s="1">
        <v>760.52200000000005</v>
      </c>
      <c r="T56" s="1">
        <v>360.76100000000002</v>
      </c>
      <c r="U56" s="1">
        <v>348.6</v>
      </c>
      <c r="V56" s="1">
        <v>490.77699999999999</v>
      </c>
      <c r="W56" s="1">
        <v>771.95399999999995</v>
      </c>
      <c r="X56" s="1">
        <v>1063.6859999999999</v>
      </c>
      <c r="Y56" s="1">
        <v>1047.028</v>
      </c>
      <c r="Z56" s="1">
        <v>1049.3430000000001</v>
      </c>
      <c r="AA56" s="1">
        <v>1560.277</v>
      </c>
      <c r="AB56" s="1">
        <v>983.55499999999995</v>
      </c>
      <c r="AC56" s="1">
        <v>1200.82</v>
      </c>
    </row>
    <row r="57" spans="1:29">
      <c r="A57" s="1" t="s">
        <v>96</v>
      </c>
      <c r="F57" s="42">
        <v>1153.48</v>
      </c>
      <c r="I57" s="1">
        <v>587.09699999999998</v>
      </c>
      <c r="K57" s="1">
        <v>440.34800000000001</v>
      </c>
      <c r="L57" s="1">
        <v>244.584</v>
      </c>
      <c r="M57" s="1">
        <v>246.53899999999999</v>
      </c>
      <c r="N57" s="1">
        <v>457.16</v>
      </c>
      <c r="O57" s="1">
        <v>476.50799999999998</v>
      </c>
      <c r="P57" s="1">
        <v>431.86399999999998</v>
      </c>
      <c r="Q57" s="1">
        <v>538.76900000000001</v>
      </c>
      <c r="R57" s="1">
        <v>244.89599999999999</v>
      </c>
      <c r="S57" s="1">
        <v>241.60599999999999</v>
      </c>
      <c r="T57" s="1">
        <v>470.95699999999999</v>
      </c>
      <c r="U57" s="1">
        <v>659.95299999999997</v>
      </c>
      <c r="V57" s="1">
        <v>447.87</v>
      </c>
      <c r="W57" s="1">
        <v>463.83800000000002</v>
      </c>
      <c r="X57" s="1">
        <v>580.846</v>
      </c>
      <c r="Y57" s="1">
        <v>559.46500000000003</v>
      </c>
      <c r="Z57" s="1">
        <v>1022.136</v>
      </c>
      <c r="AA57" s="1">
        <v>1201.78</v>
      </c>
      <c r="AB57" s="1">
        <v>751.52099999999996</v>
      </c>
      <c r="AC57" s="1">
        <v>1091.2260000000001</v>
      </c>
    </row>
    <row r="58" spans="1:29" s="11" customFormat="1">
      <c r="A58" s="1" t="s">
        <v>97</v>
      </c>
      <c r="B58" s="1"/>
      <c r="C58" s="1"/>
      <c r="D58" s="1"/>
      <c r="E58" s="1"/>
      <c r="F58" s="42">
        <v>2784.8789999999999</v>
      </c>
      <c r="G58" s="1"/>
      <c r="H58" s="1"/>
      <c r="I58" s="1">
        <v>3082.2420000000002</v>
      </c>
      <c r="J58" s="1"/>
      <c r="K58" s="1">
        <v>4991.6080000000002</v>
      </c>
      <c r="L58" s="1">
        <v>6585.4340000000002</v>
      </c>
      <c r="M58" s="1">
        <v>6964.9740000000002</v>
      </c>
      <c r="N58" s="1">
        <v>6861.116</v>
      </c>
      <c r="O58" s="1">
        <v>5483.9229999999998</v>
      </c>
      <c r="P58" s="1">
        <v>5592.5690000000004</v>
      </c>
      <c r="Q58" s="1">
        <v>7142.8639999999996</v>
      </c>
      <c r="R58" s="1">
        <v>8064.1710000000003</v>
      </c>
      <c r="S58" s="1">
        <v>8159.7120000000004</v>
      </c>
      <c r="T58" s="1">
        <v>8007.4059999999999</v>
      </c>
      <c r="U58" s="1">
        <v>7956.1080000000002</v>
      </c>
      <c r="V58" s="1">
        <v>9248.3040000000001</v>
      </c>
      <c r="W58" s="1">
        <v>8854.393</v>
      </c>
      <c r="X58" s="1">
        <v>8270.6779999999999</v>
      </c>
      <c r="Y58" s="1">
        <v>10772.208000000001</v>
      </c>
      <c r="Z58" s="1">
        <v>10674.692999999999</v>
      </c>
      <c r="AA58" s="1">
        <v>11263.675999999999</v>
      </c>
      <c r="AB58" s="1">
        <v>12032.754999999999</v>
      </c>
      <c r="AC58" s="1">
        <v>12133.705</v>
      </c>
    </row>
    <row r="59" spans="1:29">
      <c r="A59" s="1" t="s">
        <v>103</v>
      </c>
      <c r="F59" s="42">
        <v>11</v>
      </c>
      <c r="I59" s="1">
        <v>323.096</v>
      </c>
      <c r="K59" s="1">
        <v>136.80275</v>
      </c>
      <c r="L59" s="1">
        <v>50.555</v>
      </c>
      <c r="M59" s="1">
        <v>58.16</v>
      </c>
      <c r="N59" s="1">
        <v>63.933999999999997</v>
      </c>
      <c r="O59" s="1">
        <v>80.692999999999998</v>
      </c>
      <c r="P59" s="1">
        <v>60.311</v>
      </c>
      <c r="Q59" s="1">
        <v>37.33</v>
      </c>
      <c r="R59" s="1">
        <v>50.529000000000003</v>
      </c>
      <c r="S59" s="1">
        <v>34.805999999999997</v>
      </c>
      <c r="T59" s="1">
        <v>41.484000000000002</v>
      </c>
      <c r="U59" s="1">
        <v>23.268999999999998</v>
      </c>
      <c r="V59" s="1">
        <v>124.217</v>
      </c>
      <c r="W59" s="1">
        <v>213.97800000000001</v>
      </c>
      <c r="X59" s="1">
        <v>160.58500000000001</v>
      </c>
      <c r="Y59" s="1">
        <v>120.384</v>
      </c>
      <c r="Z59" s="1">
        <v>120.386</v>
      </c>
      <c r="AA59" s="1">
        <v>180.511</v>
      </c>
      <c r="AB59" s="1">
        <v>143.03200000000001</v>
      </c>
      <c r="AC59" s="1">
        <v>92.853999999999999</v>
      </c>
    </row>
    <row r="60" spans="1:29">
      <c r="A60" s="1" t="s">
        <v>104</v>
      </c>
      <c r="F60" s="42">
        <v>16667.510999999999</v>
      </c>
      <c r="I60" s="1">
        <v>19230.317999999999</v>
      </c>
      <c r="K60" s="1">
        <v>20878.339</v>
      </c>
      <c r="L60" s="1">
        <v>22402.169000000002</v>
      </c>
      <c r="M60" s="1">
        <v>22756.165000000001</v>
      </c>
      <c r="N60" s="1">
        <v>23389.297999999999</v>
      </c>
      <c r="O60" s="1">
        <v>26921.482</v>
      </c>
      <c r="P60" s="1">
        <v>26005.805</v>
      </c>
      <c r="Q60" s="1">
        <v>26695.406999999999</v>
      </c>
      <c r="R60" s="1">
        <v>26649.891</v>
      </c>
      <c r="S60" s="1">
        <v>26206.221000000001</v>
      </c>
      <c r="T60" s="1">
        <v>29450.565999999999</v>
      </c>
      <c r="U60" s="1">
        <v>28532.007000000001</v>
      </c>
      <c r="V60" s="1">
        <v>35131.856</v>
      </c>
      <c r="W60" s="1">
        <v>36173.076000000001</v>
      </c>
      <c r="X60" s="1">
        <v>34288.097999999998</v>
      </c>
      <c r="Y60" s="1">
        <v>32239.883999999998</v>
      </c>
      <c r="Z60" s="1">
        <v>32764.576000000001</v>
      </c>
      <c r="AA60" s="1">
        <v>34051.502</v>
      </c>
      <c r="AB60" s="1">
        <v>33433.014999999999</v>
      </c>
      <c r="AC60" s="1">
        <v>34195.194000000003</v>
      </c>
    </row>
    <row r="61" spans="1:29">
      <c r="A61" s="1" t="s">
        <v>106</v>
      </c>
      <c r="F61" s="42">
        <v>19091.597000000002</v>
      </c>
      <c r="I61" s="1">
        <v>21944.517</v>
      </c>
      <c r="K61" s="1">
        <v>15501.438</v>
      </c>
      <c r="L61" s="1">
        <v>14439.815000000001</v>
      </c>
      <c r="M61" s="1">
        <v>34475.016000000003</v>
      </c>
      <c r="N61" s="1">
        <v>34026.307999999997</v>
      </c>
      <c r="O61" s="1">
        <v>15419.305</v>
      </c>
      <c r="P61" s="1">
        <v>18681.816999999999</v>
      </c>
      <c r="Q61" s="1">
        <v>16981.596000000001</v>
      </c>
      <c r="R61" s="1">
        <v>14401.088</v>
      </c>
      <c r="S61" s="1">
        <v>15173.415000000001</v>
      </c>
      <c r="T61" s="1">
        <v>17512.056</v>
      </c>
      <c r="U61" s="1">
        <v>26396.44</v>
      </c>
      <c r="V61" s="1">
        <v>30159.401000000002</v>
      </c>
      <c r="W61" s="1">
        <v>29582.921999999999</v>
      </c>
      <c r="X61" s="1">
        <v>29246.386999999999</v>
      </c>
      <c r="Y61" s="1">
        <v>31874.629000000001</v>
      </c>
      <c r="Z61" s="1">
        <v>33002.824999999997</v>
      </c>
      <c r="AA61" s="1">
        <v>31501.552</v>
      </c>
      <c r="AB61" s="1">
        <v>19494.192999999999</v>
      </c>
      <c r="AC61" s="1">
        <v>25306.406999999999</v>
      </c>
    </row>
    <row r="62" spans="1:29">
      <c r="A62" s="1" t="s">
        <v>110</v>
      </c>
      <c r="F62" s="42">
        <v>1033.8510000000001</v>
      </c>
      <c r="I62" s="1">
        <v>754.81500000000005</v>
      </c>
      <c r="K62" s="1">
        <v>581.40300000000002</v>
      </c>
      <c r="L62" s="1">
        <v>748.46600000000001</v>
      </c>
      <c r="M62" s="1">
        <v>943.84699999999998</v>
      </c>
      <c r="N62" s="1">
        <v>1821.5429999999999</v>
      </c>
      <c r="O62" s="1">
        <v>572.99599999999998</v>
      </c>
      <c r="P62" s="1">
        <v>720.04200000000003</v>
      </c>
      <c r="Q62" s="1">
        <v>859.29600000000005</v>
      </c>
      <c r="R62" s="1">
        <v>1093.4459999999999</v>
      </c>
      <c r="S62" s="1">
        <v>731.35599999999999</v>
      </c>
      <c r="T62" s="1">
        <v>2478.8609999999999</v>
      </c>
      <c r="U62" s="1">
        <v>2804.7530000000002</v>
      </c>
      <c r="V62" s="1">
        <v>3146.09</v>
      </c>
      <c r="W62" s="1">
        <v>4021.88</v>
      </c>
      <c r="X62" s="1">
        <v>3367.9969999999998</v>
      </c>
      <c r="Y62" s="1">
        <v>6145.4870000000001</v>
      </c>
      <c r="Z62" s="1">
        <v>3890.2420000000002</v>
      </c>
      <c r="AA62" s="1">
        <v>3056.0390000000002</v>
      </c>
      <c r="AB62" s="1">
        <v>3155.489</v>
      </c>
      <c r="AC62" s="1">
        <v>3221.2269999999999</v>
      </c>
    </row>
    <row r="63" spans="1:29">
      <c r="A63" s="1" t="s">
        <v>111</v>
      </c>
      <c r="F63" s="42">
        <v>785.03700000000003</v>
      </c>
      <c r="I63" s="1">
        <v>788.42600000000004</v>
      </c>
      <c r="K63" s="1">
        <v>704.60400000000004</v>
      </c>
      <c r="L63" s="1">
        <v>838.56600000000003</v>
      </c>
      <c r="M63" s="1">
        <v>724.38900000000001</v>
      </c>
      <c r="N63" s="1">
        <v>836.19299999999998</v>
      </c>
      <c r="O63" s="1">
        <v>939.64099999999996</v>
      </c>
      <c r="P63" s="1">
        <v>855.51599999999996</v>
      </c>
      <c r="Q63" s="1">
        <v>1026.989</v>
      </c>
      <c r="R63" s="1">
        <v>1198.085</v>
      </c>
      <c r="S63" s="1">
        <v>1019.0940000000001</v>
      </c>
      <c r="T63" s="1">
        <v>1069.8389999999999</v>
      </c>
      <c r="U63" s="1">
        <v>1288.663</v>
      </c>
      <c r="V63" s="1">
        <v>1382.877</v>
      </c>
      <c r="W63" s="1">
        <v>1529.0429999999999</v>
      </c>
      <c r="X63" s="1">
        <v>1498.5150000000001</v>
      </c>
      <c r="Y63" s="1">
        <v>1429.2760000000001</v>
      </c>
      <c r="Z63" s="1">
        <v>1422.335</v>
      </c>
      <c r="AA63" s="1">
        <v>1187.4390000000001</v>
      </c>
      <c r="AB63" s="1">
        <v>1371.6020000000001</v>
      </c>
      <c r="AC63" s="1">
        <v>1232.5170000000001</v>
      </c>
    </row>
    <row r="64" spans="1:29">
      <c r="A64" s="24" t="s">
        <v>114</v>
      </c>
      <c r="B64" s="24"/>
      <c r="C64" s="24"/>
      <c r="D64" s="24"/>
      <c r="E64" s="24"/>
      <c r="F64" s="45">
        <v>323.17200000000003</v>
      </c>
      <c r="G64" s="24"/>
      <c r="H64" s="24"/>
      <c r="I64" s="24">
        <v>110.386</v>
      </c>
      <c r="J64" s="24"/>
      <c r="K64" s="24">
        <v>298.26</v>
      </c>
      <c r="L64" s="24">
        <v>124.985</v>
      </c>
      <c r="M64" s="24">
        <v>155.084</v>
      </c>
      <c r="N64" s="24">
        <v>284.58</v>
      </c>
      <c r="O64" s="24">
        <v>275.50200000000001</v>
      </c>
      <c r="P64" s="24">
        <v>407.91399999999999</v>
      </c>
      <c r="Q64" s="24">
        <v>416.20699999999999</v>
      </c>
      <c r="R64" s="24">
        <v>499.05700000000002</v>
      </c>
      <c r="S64" s="24">
        <v>447.27699999999999</v>
      </c>
      <c r="T64" s="24">
        <v>392.07799999999997</v>
      </c>
      <c r="U64" s="24">
        <v>5681.2129999999997</v>
      </c>
      <c r="V64" s="24">
        <v>479.57799999999997</v>
      </c>
      <c r="W64" s="24">
        <v>1103.741</v>
      </c>
      <c r="X64" s="24">
        <v>1076.5229999999999</v>
      </c>
      <c r="Y64" s="24">
        <v>8359.6080000000002</v>
      </c>
      <c r="Z64" s="24">
        <v>9240.8559999999998</v>
      </c>
      <c r="AA64" s="24">
        <v>8405.91</v>
      </c>
      <c r="AB64" s="24">
        <v>939.34299999999996</v>
      </c>
      <c r="AC64" s="24">
        <v>1031.559</v>
      </c>
    </row>
    <row r="65" spans="1:29">
      <c r="A65" s="46" t="s">
        <v>90</v>
      </c>
      <c r="B65" s="46"/>
      <c r="C65" s="46"/>
      <c r="D65" s="46"/>
      <c r="E65" s="46"/>
      <c r="F65" s="47">
        <v>0</v>
      </c>
      <c r="G65" s="46"/>
      <c r="H65" s="46"/>
      <c r="I65" s="46">
        <v>0</v>
      </c>
      <c r="J65" s="46"/>
      <c r="K65" s="46">
        <v>0</v>
      </c>
      <c r="L65" s="46">
        <v>0</v>
      </c>
      <c r="M65" s="46">
        <v>0</v>
      </c>
      <c r="N65" s="46">
        <v>0</v>
      </c>
      <c r="O65" s="46">
        <v>0</v>
      </c>
      <c r="P65" s="46">
        <v>0</v>
      </c>
      <c r="Q65" s="46">
        <v>0</v>
      </c>
      <c r="R65" s="46">
        <v>0</v>
      </c>
      <c r="S65" s="46">
        <v>0</v>
      </c>
      <c r="T65" s="46">
        <v>0</v>
      </c>
      <c r="U65" s="46"/>
      <c r="V65" s="46">
        <v>0</v>
      </c>
      <c r="W65" s="46">
        <v>0</v>
      </c>
      <c r="X65" s="24"/>
      <c r="Y65" s="24"/>
      <c r="Z65" s="24"/>
      <c r="AA65" s="24"/>
      <c r="AB65" s="24"/>
      <c r="AC65" s="24"/>
    </row>
    <row r="66" spans="1:29">
      <c r="F66" s="15"/>
    </row>
    <row r="67" spans="1:29">
      <c r="I67" s="20" t="s">
        <v>78</v>
      </c>
      <c r="J67" s="20" t="s">
        <v>76</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abColor indexed="58"/>
  </sheetPr>
  <dimension ref="A1:AC69"/>
  <sheetViews>
    <sheetView showZeros="0" zoomScale="80" zoomScaleNormal="80" workbookViewId="0">
      <pane xSplit="1" ySplit="5" topLeftCell="P6" activePane="bottomRight" state="frozen"/>
      <selection activeCell="B52" sqref="B52"/>
      <selection pane="topRight" activeCell="B52" sqref="B52"/>
      <selection pane="bottomLeft" activeCell="B52" sqref="B52"/>
      <selection pane="bottomRight" activeCell="V26" sqref="V26"/>
    </sheetView>
  </sheetViews>
  <sheetFormatPr defaultColWidth="9.7109375" defaultRowHeight="12.75"/>
  <cols>
    <col min="1" max="1" width="23.42578125" style="44" customWidth="1"/>
    <col min="2" max="22" width="12.42578125" style="1" customWidth="1"/>
    <col min="23" max="25" width="11.5703125" style="1" bestFit="1" customWidth="1"/>
    <col min="26" max="27" width="11.5703125" style="1" customWidth="1"/>
    <col min="28" max="16384" width="9.7109375" style="1"/>
  </cols>
  <sheetData>
    <row r="1" spans="1:29">
      <c r="A1" s="7" t="s">
        <v>39</v>
      </c>
      <c r="B1"/>
      <c r="C1"/>
      <c r="D1"/>
      <c r="E1"/>
      <c r="F1"/>
      <c r="G1"/>
      <c r="H1"/>
      <c r="I1"/>
      <c r="J1"/>
      <c r="K1"/>
      <c r="L1"/>
      <c r="M1"/>
      <c r="N1"/>
      <c r="O1"/>
      <c r="P1"/>
      <c r="Q1"/>
      <c r="R1"/>
      <c r="S1"/>
      <c r="T1"/>
      <c r="U1"/>
      <c r="V1"/>
    </row>
    <row r="2" spans="1:29">
      <c r="A2" s="7" t="s">
        <v>62</v>
      </c>
      <c r="C2" s="9"/>
      <c r="D2" s="9"/>
      <c r="E2" s="9"/>
      <c r="F2" s="9"/>
    </row>
    <row r="3" spans="1:29">
      <c r="A3" s="1" t="s">
        <v>61</v>
      </c>
    </row>
    <row r="4" spans="1:29" s="33" customFormat="1">
      <c r="A4" s="34" t="s">
        <v>60</v>
      </c>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c r="W5" s="8" t="s">
        <v>1</v>
      </c>
      <c r="X5" s="8" t="s">
        <v>1</v>
      </c>
      <c r="Y5" s="8" t="s">
        <v>1</v>
      </c>
      <c r="Z5" s="8" t="s">
        <v>1</v>
      </c>
      <c r="AA5" s="8" t="s">
        <v>1</v>
      </c>
      <c r="AB5" s="8" t="s">
        <v>1</v>
      </c>
      <c r="AC5" s="8" t="s">
        <v>1</v>
      </c>
    </row>
    <row r="6" spans="1:29">
      <c r="A6" s="24" t="s">
        <v>118</v>
      </c>
      <c r="B6" s="52">
        <f>+'ACADEMIC SUPP 4yr'!B6+'STU SERVICES 4yr'!B6+'INST SUPPORT 4yr'!B6</f>
        <v>8162348</v>
      </c>
      <c r="C6" s="52">
        <f>+'ACADEMIC SUPP 4yr'!C6+'STU SERVICES 4yr'!C6+'INST SUPPORT 4yr'!C6</f>
        <v>9090106</v>
      </c>
      <c r="D6" s="52">
        <f>+'ACADEMIC SUPP 4yr'!D6+'STU SERVICES 4yr'!D6+'INST SUPPORT 4yr'!D6</f>
        <v>9943230</v>
      </c>
      <c r="E6" s="52">
        <f>+'ACADEMIC SUPP 4yr'!E6+'STU SERVICES 4yr'!E6+'INST SUPPORT 4yr'!E6</f>
        <v>13822248.978</v>
      </c>
      <c r="F6" s="52">
        <f>+'ACADEMIC SUPP 4yr'!F6+'STU SERVICES 4yr'!F6+'INST SUPPORT 4yr'!F6</f>
        <v>13917456.579</v>
      </c>
      <c r="G6" s="52">
        <f>+'ACADEMIC SUPP 4yr'!G6+'STU SERVICES 4yr'!G6+'INST SUPPORT 4yr'!G6</f>
        <v>15632464.721000001</v>
      </c>
      <c r="H6" s="52">
        <f>+'ACADEMIC SUPP 4yr'!H6+'STU SERVICES 4yr'!H6+'INST SUPPORT 4yr'!H6</f>
        <v>16064880.603</v>
      </c>
      <c r="I6" s="52">
        <f>+'ACADEMIC SUPP 4yr'!I6+'STU SERVICES 4yr'!I6+'INST SUPPORT 4yr'!I6</f>
        <v>16293172.188999999</v>
      </c>
      <c r="J6" s="52">
        <f>+'ACADEMIC SUPP 4yr'!J6+'STU SERVICES 4yr'!J6+'INST SUPPORT 4yr'!J6</f>
        <v>18059148.75</v>
      </c>
      <c r="K6" s="52">
        <f>+'ACADEMIC SUPP 4yr'!K6+'STU SERVICES 4yr'!K6+'INST SUPPORT 4yr'!K6</f>
        <v>19214034.839639999</v>
      </c>
      <c r="L6" s="52">
        <f>+'ACADEMIC SUPP 4yr'!L6+'STU SERVICES 4yr'!L6+'INST SUPPORT 4yr'!L6</f>
        <v>22531727.085000001</v>
      </c>
      <c r="M6" s="52">
        <f>+'ACADEMIC SUPP 4yr'!M6+'STU SERVICES 4yr'!M6+'INST SUPPORT 4yr'!M6</f>
        <v>24077379.785000004</v>
      </c>
      <c r="N6" s="52">
        <f>+'ACADEMIC SUPP 4yr'!N6+'STU SERVICES 4yr'!N6+'INST SUPPORT 4yr'!N6</f>
        <v>23947245.572999999</v>
      </c>
      <c r="O6" s="52">
        <f>+'ACADEMIC SUPP 4yr'!O6+'STU SERVICES 4yr'!O6+'INST SUPPORT 4yr'!O6</f>
        <v>24614874.047000002</v>
      </c>
      <c r="P6" s="52">
        <f>+'ACADEMIC SUPP 4yr'!P6+'STU SERVICES 4yr'!P6+'INST SUPPORT 4yr'!P6</f>
        <v>25712318.671</v>
      </c>
      <c r="Q6" s="52">
        <f>+'ACADEMIC SUPP 4yr'!Q6+'STU SERVICES 4yr'!Q6+'INST SUPPORT 4yr'!Q6</f>
        <v>27707041.592999998</v>
      </c>
      <c r="R6" s="52">
        <f>+'ACADEMIC SUPP 4yr'!R6+'STU SERVICES 4yr'!R6+'INST SUPPORT 4yr'!R6</f>
        <v>28866888.938000001</v>
      </c>
      <c r="S6" s="52">
        <f>+'ACADEMIC SUPP 4yr'!S6+'STU SERVICES 4yr'!S6+'INST SUPPORT 4yr'!S6</f>
        <v>31074429.906999998</v>
      </c>
      <c r="T6" s="52">
        <f>+'ACADEMIC SUPP 4yr'!T6+'STU SERVICES 4yr'!T6+'INST SUPPORT 4yr'!T6</f>
        <v>35519046.8895</v>
      </c>
      <c r="U6" s="52">
        <f>+'ACADEMIC SUPP 4yr'!U6+'STU SERVICES 4yr'!U6+'INST SUPPORT 4yr'!U6</f>
        <v>34763769.917000003</v>
      </c>
      <c r="V6" s="52">
        <f>+'ACADEMIC SUPP 4yr'!V6+'STU SERVICES 4yr'!V6+'INST SUPPORT 4yr'!V6</f>
        <v>41730934.218000002</v>
      </c>
      <c r="W6" s="52">
        <f>+'ACADEMIC SUPP 4yr'!W6+'STU SERVICES 4yr'!W6+'INST SUPPORT 4yr'!W6</f>
        <v>43518532.544</v>
      </c>
      <c r="X6" s="52">
        <f>+'ACADEMIC SUPP 4yr'!X6+'STU SERVICES 4yr'!X6+'INST SUPPORT 4yr'!X6</f>
        <v>45416801.177000001</v>
      </c>
      <c r="Y6" s="52">
        <f>+'ACADEMIC SUPP 4yr'!Y6+'STU SERVICES 4yr'!Y6+'INST SUPPORT 4yr'!Y6</f>
        <v>46506907.855999999</v>
      </c>
      <c r="Z6" s="52">
        <f>+'ACADEMIC SUPP 4yr'!Z6+'STU SERVICES 4yr'!Z6+'INST SUPPORT 4yr'!Z6</f>
        <v>49597558.03199999</v>
      </c>
      <c r="AA6" s="52">
        <f>+'ACADEMIC SUPP 4yr'!AA6+'STU SERVICES 4yr'!AA6+'INST SUPPORT 4yr'!AA6</f>
        <v>51628999.917999998</v>
      </c>
      <c r="AB6" s="52">
        <f>+'ACADEMIC SUPP 4yr'!AB6+'STU SERVICES 4yr'!AB6+'INST SUPPORT 4yr'!AB6</f>
        <v>55400110.101999998</v>
      </c>
      <c r="AC6" s="52">
        <f>+'ACADEMIC SUPP 4yr'!AC6+'STU SERVICES 4yr'!AC6+'INST SUPPORT 4yr'!AC6</f>
        <v>57745217.518000007</v>
      </c>
    </row>
    <row r="7" spans="1:29">
      <c r="A7" s="1" t="s">
        <v>56</v>
      </c>
      <c r="B7" s="48">
        <f>+'ACADEMIC SUPP 4yr'!B7+'STU SERVICES 4yr'!B7+'INST SUPPORT 4yr'!B7</f>
        <v>2414001</v>
      </c>
      <c r="C7" s="48">
        <f>+'ACADEMIC SUPP 4yr'!C7+'STU SERVICES 4yr'!C7+'INST SUPPORT 4yr'!C7</f>
        <v>2702023</v>
      </c>
      <c r="D7" s="48">
        <f>+'ACADEMIC SUPP 4yr'!D7+'STU SERVICES 4yr'!D7+'INST SUPPORT 4yr'!D7</f>
        <v>2937600</v>
      </c>
      <c r="E7" s="48">
        <f>+'ACADEMIC SUPP 4yr'!E7+'STU SERVICES 4yr'!E7+'INST SUPPORT 4yr'!E7</f>
        <v>4284654.2950000009</v>
      </c>
      <c r="F7" s="48">
        <f>+'ACADEMIC SUPP 4yr'!F7+'STU SERVICES 4yr'!F7+'INST SUPPORT 4yr'!F7</f>
        <v>4313900.0069999993</v>
      </c>
      <c r="G7" s="48">
        <f>+'ACADEMIC SUPP 4yr'!G7+'STU SERVICES 4yr'!G7+'INST SUPPORT 4yr'!G7</f>
        <v>4581483.7659999998</v>
      </c>
      <c r="H7" s="48">
        <f>+'ACADEMIC SUPP 4yr'!H7+'STU SERVICES 4yr'!H7+'INST SUPPORT 4yr'!H7</f>
        <v>4935165.733</v>
      </c>
      <c r="I7" s="48">
        <f>+'ACADEMIC SUPP 4yr'!I7+'STU SERVICES 4yr'!I7+'INST SUPPORT 4yr'!I7</f>
        <v>5228401.7709999997</v>
      </c>
      <c r="J7" s="48">
        <f>+'ACADEMIC SUPP 4yr'!J7+'STU SERVICES 4yr'!J7+'INST SUPPORT 4yr'!J7</f>
        <v>5712710.3729999997</v>
      </c>
      <c r="K7" s="48">
        <f>+'ACADEMIC SUPP 4yr'!K7+'STU SERVICES 4yr'!K7+'INST SUPPORT 4yr'!K7</f>
        <v>6117053.11417</v>
      </c>
      <c r="L7" s="48">
        <f>+'ACADEMIC SUPP 4yr'!L7+'STU SERVICES 4yr'!L7+'INST SUPPORT 4yr'!L7</f>
        <v>7569974.8640000019</v>
      </c>
      <c r="M7" s="48">
        <f>+'ACADEMIC SUPP 4yr'!M7+'STU SERVICES 4yr'!M7+'INST SUPPORT 4yr'!M7</f>
        <v>8167831.4499999993</v>
      </c>
      <c r="N7" s="48">
        <f>+'ACADEMIC SUPP 4yr'!N7+'STU SERVICES 4yr'!N7+'INST SUPPORT 4yr'!N7</f>
        <v>8337910.5</v>
      </c>
      <c r="O7" s="48">
        <f>+'ACADEMIC SUPP 4yr'!O7+'STU SERVICES 4yr'!O7+'INST SUPPORT 4yr'!O7</f>
        <v>8971039.8780000005</v>
      </c>
      <c r="P7" s="48">
        <f>+'ACADEMIC SUPP 4yr'!P7+'STU SERVICES 4yr'!P7+'INST SUPPORT 4yr'!P7</f>
        <v>9362443.0130000003</v>
      </c>
      <c r="Q7" s="48">
        <f>+'ACADEMIC SUPP 4yr'!Q7+'STU SERVICES 4yr'!Q7+'INST SUPPORT 4yr'!Q7</f>
        <v>10134793.869000001</v>
      </c>
      <c r="R7" s="48">
        <f>+'ACADEMIC SUPP 4yr'!R7+'STU SERVICES 4yr'!R7+'INST SUPPORT 4yr'!R7</f>
        <v>10639129.309</v>
      </c>
      <c r="S7" s="48">
        <f>+'ACADEMIC SUPP 4yr'!S7+'STU SERVICES 4yr'!S7+'INST SUPPORT 4yr'!S7</f>
        <v>11382072.734999999</v>
      </c>
      <c r="T7" s="48">
        <f>+'ACADEMIC SUPP 4yr'!T7+'STU SERVICES 4yr'!T7+'INST SUPPORT 4yr'!T7</f>
        <v>12977896.295</v>
      </c>
      <c r="U7" s="48">
        <f>+'ACADEMIC SUPP 4yr'!U7+'STU SERVICES 4yr'!U7+'INST SUPPORT 4yr'!U7</f>
        <v>12191818.654000001</v>
      </c>
      <c r="V7" s="48">
        <f>+'ACADEMIC SUPP 4yr'!V7+'STU SERVICES 4yr'!V7+'INST SUPPORT 4yr'!V7</f>
        <v>15395031.940000001</v>
      </c>
      <c r="W7" s="48">
        <f>+'ACADEMIC SUPP 4yr'!W7+'STU SERVICES 4yr'!W7+'INST SUPPORT 4yr'!W7</f>
        <v>15906893.419</v>
      </c>
      <c r="X7" s="48">
        <f>+'ACADEMIC SUPP 4yr'!X7+'STU SERVICES 4yr'!X7+'INST SUPPORT 4yr'!X7</f>
        <v>16224520.933999997</v>
      </c>
      <c r="Y7" s="48">
        <f>+'ACADEMIC SUPP 4yr'!Y7+'STU SERVICES 4yr'!Y7+'INST SUPPORT 4yr'!Y7</f>
        <v>16146764.405000001</v>
      </c>
      <c r="Z7" s="48">
        <f>+'ACADEMIC SUPP 4yr'!Z7+'STU SERVICES 4yr'!Z7+'INST SUPPORT 4yr'!Z7</f>
        <v>17219796.663000003</v>
      </c>
      <c r="AA7" s="48">
        <f>+'ACADEMIC SUPP 4yr'!AA7+'STU SERVICES 4yr'!AA7+'INST SUPPORT 4yr'!AA7</f>
        <v>18034368.041999999</v>
      </c>
      <c r="AB7" s="48">
        <f>+'ACADEMIC SUPP 4yr'!AB7+'STU SERVICES 4yr'!AB7+'INST SUPPORT 4yr'!AB7</f>
        <v>19453981.797000002</v>
      </c>
      <c r="AC7" s="48">
        <f>+'ACADEMIC SUPP 4yr'!AC7+'STU SERVICES 4yr'!AC7+'INST SUPPORT 4yr'!AC7</f>
        <v>20532308.981999997</v>
      </c>
    </row>
    <row r="8" spans="1:29">
      <c r="A8" s="7" t="s">
        <v>119</v>
      </c>
      <c r="B8" s="48">
        <f>+'ACADEMIC SUPP 4yr'!B8+'STU SERVICES 4yr'!B8+'INST SUPPORT 4yr'!B8</f>
        <v>0</v>
      </c>
      <c r="C8" s="48">
        <f>+'ACADEMIC SUPP 4yr'!C8+'STU SERVICES 4yr'!C8+'INST SUPPORT 4yr'!C8</f>
        <v>0</v>
      </c>
      <c r="D8" s="48">
        <f>+'ACADEMIC SUPP 4yr'!D8+'STU SERVICES 4yr'!D8+'INST SUPPORT 4yr'!D8</f>
        <v>0</v>
      </c>
      <c r="E8" s="48">
        <f>+'ACADEMIC SUPP 4yr'!E8+'STU SERVICES 4yr'!E8+'INST SUPPORT 4yr'!E8</f>
        <v>0</v>
      </c>
      <c r="F8" s="48">
        <f>+'ACADEMIC SUPP 4yr'!F8+'STU SERVICES 4yr'!F8+'INST SUPPORT 4yr'!F8</f>
        <v>0</v>
      </c>
      <c r="G8" s="48">
        <f>+'ACADEMIC SUPP 4yr'!G8+'STU SERVICES 4yr'!G8+'INST SUPPORT 4yr'!G8</f>
        <v>0</v>
      </c>
      <c r="H8" s="48">
        <f>+'ACADEMIC SUPP 4yr'!H8+'STU SERVICES 4yr'!H8+'INST SUPPORT 4yr'!H8</f>
        <v>0</v>
      </c>
      <c r="I8" s="48">
        <f>+'ACADEMIC SUPP 4yr'!I8+'STU SERVICES 4yr'!I8+'INST SUPPORT 4yr'!I8</f>
        <v>0</v>
      </c>
      <c r="J8" s="48">
        <f>+'ACADEMIC SUPP 4yr'!J8+'STU SERVICES 4yr'!J8+'INST SUPPORT 4yr'!J8</f>
        <v>0</v>
      </c>
      <c r="K8" s="48">
        <f>+'ACADEMIC SUPP 4yr'!K8+'STU SERVICES 4yr'!K8+'INST SUPPORT 4yr'!K8</f>
        <v>0</v>
      </c>
      <c r="L8" s="48">
        <f>+'ACADEMIC SUPP 4yr'!L8+'STU SERVICES 4yr'!L8+'INST SUPPORT 4yr'!L8</f>
        <v>0</v>
      </c>
      <c r="M8" s="48">
        <f>+'ACADEMIC SUPP 4yr'!M8+'STU SERVICES 4yr'!M8+'INST SUPPORT 4yr'!M8</f>
        <v>0</v>
      </c>
      <c r="N8" s="48">
        <f>+'ACADEMIC SUPP 4yr'!N8+'STU SERVICES 4yr'!N8+'INST SUPPORT 4yr'!N8</f>
        <v>0</v>
      </c>
      <c r="O8" s="48">
        <f>+'ACADEMIC SUPP 4yr'!O8+'STU SERVICES 4yr'!O8+'INST SUPPORT 4yr'!O8</f>
        <v>0</v>
      </c>
      <c r="P8" s="48">
        <f>+'ACADEMIC SUPP 4yr'!P8+'STU SERVICES 4yr'!P8+'INST SUPPORT 4yr'!P8</f>
        <v>0</v>
      </c>
      <c r="Q8" s="48">
        <f>+'ACADEMIC SUPP 4yr'!Q8+'STU SERVICES 4yr'!Q8+'INST SUPPORT 4yr'!Q8</f>
        <v>0</v>
      </c>
      <c r="R8" s="48">
        <f>+'ACADEMIC SUPP 4yr'!R8+'STU SERVICES 4yr'!R8+'INST SUPPORT 4yr'!R8</f>
        <v>0</v>
      </c>
      <c r="S8" s="48">
        <f>+'ACADEMIC SUPP 4yr'!S8+'STU SERVICES 4yr'!S8+'INST SUPPORT 4yr'!S8</f>
        <v>0</v>
      </c>
      <c r="T8" s="48">
        <f>+'ACADEMIC SUPP 4yr'!T8+'STU SERVICES 4yr'!T8+'INST SUPPORT 4yr'!T8</f>
        <v>0</v>
      </c>
      <c r="U8" s="48">
        <f>+'ACADEMIC SUPP 4yr'!U8+'STU SERVICES 4yr'!U8+'INST SUPPORT 4yr'!U8</f>
        <v>0</v>
      </c>
      <c r="V8" s="48">
        <f>+'ACADEMIC SUPP 4yr'!V8+'STU SERVICES 4yr'!V8+'INST SUPPORT 4yr'!V8</f>
        <v>0</v>
      </c>
      <c r="W8" s="48">
        <f>+'ACADEMIC SUPP 4yr'!W8+'STU SERVICES 4yr'!W8+'INST SUPPORT 4yr'!W8</f>
        <v>0</v>
      </c>
      <c r="X8" s="48">
        <f>+'ACADEMIC SUPP 4yr'!X8+'STU SERVICES 4yr'!X8+'INST SUPPORT 4yr'!X8</f>
        <v>0</v>
      </c>
      <c r="Y8" s="48">
        <f>+'ACADEMIC SUPP 4yr'!Y8+'STU SERVICES 4yr'!Y8+'INST SUPPORT 4yr'!Y8</f>
        <v>0</v>
      </c>
      <c r="Z8" s="48"/>
      <c r="AA8" s="48"/>
      <c r="AB8" s="48"/>
      <c r="AC8" s="48"/>
    </row>
    <row r="9" spans="1:29">
      <c r="A9" s="1" t="s">
        <v>3</v>
      </c>
      <c r="B9" s="48">
        <f>+'ACADEMIC SUPP 4yr'!B9+'STU SERVICES 4yr'!B9+'INST SUPPORT 4yr'!B9</f>
        <v>151266</v>
      </c>
      <c r="C9" s="48">
        <f>+'ACADEMIC SUPP 4yr'!C9+'STU SERVICES 4yr'!C9+'INST SUPPORT 4yr'!C9</f>
        <v>169876</v>
      </c>
      <c r="D9" s="48">
        <f>+'ACADEMIC SUPP 4yr'!D9+'STU SERVICES 4yr'!D9+'INST SUPPORT 4yr'!D9</f>
        <v>187174</v>
      </c>
      <c r="E9" s="48">
        <f>+'ACADEMIC SUPP 4yr'!E9+'STU SERVICES 4yr'!E9+'INST SUPPORT 4yr'!E9</f>
        <v>271866.92</v>
      </c>
      <c r="F9" s="48">
        <f>+'ACADEMIC SUPP 4yr'!F9+'STU SERVICES 4yr'!F9+'INST SUPPORT 4yr'!F9</f>
        <v>272654.5</v>
      </c>
      <c r="G9" s="48">
        <f>+'ACADEMIC SUPP 4yr'!G9+'STU SERVICES 4yr'!G9+'INST SUPPORT 4yr'!G9</f>
        <v>290906.78999999998</v>
      </c>
      <c r="H9" s="48">
        <f>+'ACADEMIC SUPP 4yr'!H9+'STU SERVICES 4yr'!H9+'INST SUPPORT 4yr'!H9</f>
        <v>327211.44199999998</v>
      </c>
      <c r="I9" s="48">
        <f>+'ACADEMIC SUPP 4yr'!I9+'STU SERVICES 4yr'!I9+'INST SUPPORT 4yr'!I9</f>
        <v>344874.56799999997</v>
      </c>
      <c r="J9" s="48">
        <f>+'ACADEMIC SUPP 4yr'!J9+'STU SERVICES 4yr'!J9+'INST SUPPORT 4yr'!J9</f>
        <v>360355.21299999999</v>
      </c>
      <c r="K9" s="48">
        <f>+'ACADEMIC SUPP 4yr'!K9+'STU SERVICES 4yr'!K9+'INST SUPPORT 4yr'!K9</f>
        <v>365060.842</v>
      </c>
      <c r="L9" s="48">
        <f>+'ACADEMIC SUPP 4yr'!L9+'STU SERVICES 4yr'!L9+'INST SUPPORT 4yr'!L9</f>
        <v>435407.22699999996</v>
      </c>
      <c r="M9" s="48">
        <f>+'ACADEMIC SUPP 4yr'!M9+'STU SERVICES 4yr'!M9+'INST SUPPORT 4yr'!M9</f>
        <v>448577.049</v>
      </c>
      <c r="N9" s="48">
        <f>+'ACADEMIC SUPP 4yr'!N9+'STU SERVICES 4yr'!N9+'INST SUPPORT 4yr'!N9</f>
        <v>483578.05100000004</v>
      </c>
      <c r="O9" s="48">
        <f>+'ACADEMIC SUPP 4yr'!O9+'STU SERVICES 4yr'!O9+'INST SUPPORT 4yr'!O9</f>
        <v>530930.13199999998</v>
      </c>
      <c r="P9" s="48">
        <f>+'ACADEMIC SUPP 4yr'!P9+'STU SERVICES 4yr'!P9+'INST SUPPORT 4yr'!P9</f>
        <v>563040.30700000003</v>
      </c>
      <c r="Q9" s="48">
        <f>+'ACADEMIC SUPP 4yr'!Q9+'STU SERVICES 4yr'!Q9+'INST SUPPORT 4yr'!Q9</f>
        <v>617957.86800000002</v>
      </c>
      <c r="R9" s="48">
        <f>+'ACADEMIC SUPP 4yr'!R9+'STU SERVICES 4yr'!R9+'INST SUPPORT 4yr'!R9</f>
        <v>695589.36199999996</v>
      </c>
      <c r="S9" s="48">
        <f>+'ACADEMIC SUPP 4yr'!S9+'STU SERVICES 4yr'!S9+'INST SUPPORT 4yr'!S9</f>
        <v>807820.08899999992</v>
      </c>
      <c r="T9" s="48">
        <f>+'ACADEMIC SUPP 4yr'!T9+'STU SERVICES 4yr'!T9+'INST SUPPORT 4yr'!T9</f>
        <v>1158822.0359999998</v>
      </c>
      <c r="U9" s="48">
        <f>+'ACADEMIC SUPP 4yr'!U9+'STU SERVICES 4yr'!U9+'INST SUPPORT 4yr'!U9</f>
        <v>1254627.169</v>
      </c>
      <c r="V9" s="48">
        <f>+'ACADEMIC SUPP 4yr'!V9+'STU SERVICES 4yr'!V9+'INST SUPPORT 4yr'!V9</f>
        <v>1377885.1629999999</v>
      </c>
      <c r="W9" s="48">
        <f>+'ACADEMIC SUPP 4yr'!W9+'STU SERVICES 4yr'!W9+'INST SUPPORT 4yr'!W9</f>
        <v>1097720.6969999999</v>
      </c>
      <c r="X9" s="48">
        <f>+'ACADEMIC SUPP 4yr'!X9+'STU SERVICES 4yr'!X9+'INST SUPPORT 4yr'!X9</f>
        <v>1129310.159</v>
      </c>
      <c r="Y9" s="48">
        <f>+'ACADEMIC SUPP 4yr'!Y9+'STU SERVICES 4yr'!Y9+'INST SUPPORT 4yr'!Y9</f>
        <v>1198375.098</v>
      </c>
      <c r="Z9" s="48">
        <f>+'ACADEMIC SUPP 4yr'!Z9+'STU SERVICES 4yr'!Z9+'INST SUPPORT 4yr'!Z9</f>
        <v>1266752.06</v>
      </c>
      <c r="AA9" s="48">
        <f>+'ACADEMIC SUPP 4yr'!AA9+'STU SERVICES 4yr'!AA9+'INST SUPPORT 4yr'!AA9</f>
        <v>1315850.7590000001</v>
      </c>
      <c r="AB9" s="48">
        <f>+'ACADEMIC SUPP 4yr'!AB9+'STU SERVICES 4yr'!AB9+'INST SUPPORT 4yr'!AB9</f>
        <v>1322580.7420000001</v>
      </c>
      <c r="AC9" s="48">
        <f>+'ACADEMIC SUPP 4yr'!AC9+'STU SERVICES 4yr'!AC9+'INST SUPPORT 4yr'!AC9</f>
        <v>1448392.8360000001</v>
      </c>
    </row>
    <row r="10" spans="1:29">
      <c r="A10" s="1" t="s">
        <v>4</v>
      </c>
      <c r="B10" s="48">
        <f>+'ACADEMIC SUPP 4yr'!B10+'STU SERVICES 4yr'!B10+'INST SUPPORT 4yr'!B10</f>
        <v>70275</v>
      </c>
      <c r="C10" s="48">
        <f>+'ACADEMIC SUPP 4yr'!C10+'STU SERVICES 4yr'!C10+'INST SUPPORT 4yr'!C10</f>
        <v>74259</v>
      </c>
      <c r="D10" s="48">
        <f>+'ACADEMIC SUPP 4yr'!D10+'STU SERVICES 4yr'!D10+'INST SUPPORT 4yr'!D10</f>
        <v>80569</v>
      </c>
      <c r="E10" s="48">
        <f>+'ACADEMIC SUPP 4yr'!E10+'STU SERVICES 4yr'!E10+'INST SUPPORT 4yr'!E10</f>
        <v>117590.69200000001</v>
      </c>
      <c r="F10" s="48">
        <f>+'ACADEMIC SUPP 4yr'!F10+'STU SERVICES 4yr'!F10+'INST SUPPORT 4yr'!F10</f>
        <v>124296.787</v>
      </c>
      <c r="G10" s="48">
        <f>+'ACADEMIC SUPP 4yr'!G10+'STU SERVICES 4yr'!G10+'INST SUPPORT 4yr'!G10</f>
        <v>132916.78399999999</v>
      </c>
      <c r="H10" s="48">
        <f>+'ACADEMIC SUPP 4yr'!H10+'STU SERVICES 4yr'!H10+'INST SUPPORT 4yr'!H10</f>
        <v>142732.99599999998</v>
      </c>
      <c r="I10" s="48">
        <f>+'ACADEMIC SUPP 4yr'!I10+'STU SERVICES 4yr'!I10+'INST SUPPORT 4yr'!I10</f>
        <v>143404.35800000001</v>
      </c>
      <c r="J10" s="48">
        <f>+'ACADEMIC SUPP 4yr'!J10+'STU SERVICES 4yr'!J10+'INST SUPPORT 4yr'!J10</f>
        <v>155120.81099999999</v>
      </c>
      <c r="K10" s="48">
        <f>+'ACADEMIC SUPP 4yr'!K10+'STU SERVICES 4yr'!K10+'INST SUPPORT 4yr'!K10</f>
        <v>176959.84700000001</v>
      </c>
      <c r="L10" s="48">
        <f>+'ACADEMIC SUPP 4yr'!L10+'STU SERVICES 4yr'!L10+'INST SUPPORT 4yr'!L10</f>
        <v>207684.52799999999</v>
      </c>
      <c r="M10" s="48">
        <f>+'ACADEMIC SUPP 4yr'!M10+'STU SERVICES 4yr'!M10+'INST SUPPORT 4yr'!M10</f>
        <v>230001.935</v>
      </c>
      <c r="N10" s="48">
        <f>+'ACADEMIC SUPP 4yr'!N10+'STU SERVICES 4yr'!N10+'INST SUPPORT 4yr'!N10</f>
        <v>240826.86499999999</v>
      </c>
      <c r="O10" s="48">
        <f>+'ACADEMIC SUPP 4yr'!O10+'STU SERVICES 4yr'!O10+'INST SUPPORT 4yr'!O10</f>
        <v>253571.72899999999</v>
      </c>
      <c r="P10" s="48">
        <f>+'ACADEMIC SUPP 4yr'!P10+'STU SERVICES 4yr'!P10+'INST SUPPORT 4yr'!P10</f>
        <v>273204.70900000003</v>
      </c>
      <c r="Q10" s="48">
        <f>+'ACADEMIC SUPP 4yr'!Q10+'STU SERVICES 4yr'!Q10+'INST SUPPORT 4yr'!Q10</f>
        <v>286236.7</v>
      </c>
      <c r="R10" s="48">
        <f>+'ACADEMIC SUPP 4yr'!R10+'STU SERVICES 4yr'!R10+'INST SUPPORT 4yr'!R10</f>
        <v>308664.89899999998</v>
      </c>
      <c r="S10" s="48">
        <f>+'ACADEMIC SUPP 4yr'!S10+'STU SERVICES 4yr'!S10+'INST SUPPORT 4yr'!S10</f>
        <v>311300.44099999999</v>
      </c>
      <c r="T10" s="48">
        <f>+'ACADEMIC SUPP 4yr'!T10+'STU SERVICES 4yr'!T10+'INST SUPPORT 4yr'!T10</f>
        <v>376496.48100000003</v>
      </c>
      <c r="U10" s="48">
        <f>+'ACADEMIC SUPP 4yr'!U10+'STU SERVICES 4yr'!U10+'INST SUPPORT 4yr'!U10</f>
        <v>280204.69700000004</v>
      </c>
      <c r="V10" s="48">
        <f>+'ACADEMIC SUPP 4yr'!V10+'STU SERVICES 4yr'!V10+'INST SUPPORT 4yr'!V10</f>
        <v>488966.41800000006</v>
      </c>
      <c r="W10" s="48">
        <f>+'ACADEMIC SUPP 4yr'!W10+'STU SERVICES 4yr'!W10+'INST SUPPORT 4yr'!W10</f>
        <v>510975.20300000004</v>
      </c>
      <c r="X10" s="48">
        <f>+'ACADEMIC SUPP 4yr'!X10+'STU SERVICES 4yr'!X10+'INST SUPPORT 4yr'!X10</f>
        <v>535107.49</v>
      </c>
      <c r="Y10" s="48">
        <f>+'ACADEMIC SUPP 4yr'!Y10+'STU SERVICES 4yr'!Y10+'INST SUPPORT 4yr'!Y10</f>
        <v>538979.70299999998</v>
      </c>
      <c r="Z10" s="48">
        <f>+'ACADEMIC SUPP 4yr'!Z10+'STU SERVICES 4yr'!Z10+'INST SUPPORT 4yr'!Z10</f>
        <v>552937.91100000008</v>
      </c>
      <c r="AA10" s="48">
        <f>+'ACADEMIC SUPP 4yr'!AA10+'STU SERVICES 4yr'!AA10+'INST SUPPORT 4yr'!AA10</f>
        <v>592126.62300000002</v>
      </c>
      <c r="AB10" s="48">
        <f>+'ACADEMIC SUPP 4yr'!AB10+'STU SERVICES 4yr'!AB10+'INST SUPPORT 4yr'!AB10</f>
        <v>588457.62100000004</v>
      </c>
      <c r="AC10" s="48">
        <f>+'ACADEMIC SUPP 4yr'!AC10+'STU SERVICES 4yr'!AC10+'INST SUPPORT 4yr'!AC10</f>
        <v>628729.49600000004</v>
      </c>
    </row>
    <row r="11" spans="1:29">
      <c r="A11" s="1" t="s">
        <v>52</v>
      </c>
      <c r="B11" s="48">
        <f>+'ACADEMIC SUPP 4yr'!B11+'STU SERVICES 4yr'!B11+'INST SUPPORT 4yr'!B11</f>
        <v>0</v>
      </c>
      <c r="C11" s="48">
        <f>+'ACADEMIC SUPP 4yr'!C11+'STU SERVICES 4yr'!C11+'INST SUPPORT 4yr'!C11</f>
        <v>0</v>
      </c>
      <c r="D11" s="48">
        <f>+'ACADEMIC SUPP 4yr'!D11+'STU SERVICES 4yr'!D11+'INST SUPPORT 4yr'!D11</f>
        <v>37598</v>
      </c>
      <c r="E11" s="48">
        <f>+'ACADEMIC SUPP 4yr'!E11+'STU SERVICES 4yr'!E11+'INST SUPPORT 4yr'!E11</f>
        <v>64512.721000000005</v>
      </c>
      <c r="F11" s="48">
        <f>+'ACADEMIC SUPP 4yr'!F11+'STU SERVICES 4yr'!F11+'INST SUPPORT 4yr'!F11</f>
        <v>66371.641999999993</v>
      </c>
      <c r="G11" s="48">
        <f>+'ACADEMIC SUPP 4yr'!G11+'STU SERVICES 4yr'!G11+'INST SUPPORT 4yr'!G11</f>
        <v>0</v>
      </c>
      <c r="H11" s="48">
        <f>+'ACADEMIC SUPP 4yr'!H11+'STU SERVICES 4yr'!H11+'INST SUPPORT 4yr'!H11</f>
        <v>0</v>
      </c>
      <c r="I11" s="48">
        <f>+'ACADEMIC SUPP 4yr'!I11+'STU SERVICES 4yr'!I11+'INST SUPPORT 4yr'!I11</f>
        <v>75701.828999999998</v>
      </c>
      <c r="J11" s="48">
        <f>+'ACADEMIC SUPP 4yr'!J11+'STU SERVICES 4yr'!J11+'INST SUPPORT 4yr'!J11</f>
        <v>76145.31</v>
      </c>
      <c r="K11" s="48">
        <f>+'ACADEMIC SUPP 4yr'!K11+'STU SERVICES 4yr'!K11+'INST SUPPORT 4yr'!K11</f>
        <v>80935.581000000006</v>
      </c>
      <c r="L11" s="48">
        <f>+'ACADEMIC SUPP 4yr'!L11+'STU SERVICES 4yr'!L11+'INST SUPPORT 4yr'!L11</f>
        <v>101977.94099999999</v>
      </c>
      <c r="M11" s="48">
        <f>+'ACADEMIC SUPP 4yr'!M11+'STU SERVICES 4yr'!M11+'INST SUPPORT 4yr'!M11</f>
        <v>112251.061</v>
      </c>
      <c r="N11" s="48">
        <f>+'ACADEMIC SUPP 4yr'!N11+'STU SERVICES 4yr'!N11+'INST SUPPORT 4yr'!N11</f>
        <v>114559.37899999999</v>
      </c>
      <c r="O11" s="48">
        <f>+'ACADEMIC SUPP 4yr'!O11+'STU SERVICES 4yr'!O11+'INST SUPPORT 4yr'!O11</f>
        <v>121908.864</v>
      </c>
      <c r="P11" s="48">
        <f>+'ACADEMIC SUPP 4yr'!P11+'STU SERVICES 4yr'!P11+'INST SUPPORT 4yr'!P11</f>
        <v>130021.113</v>
      </c>
      <c r="Q11" s="48">
        <f>+'ACADEMIC SUPP 4yr'!Q11+'STU SERVICES 4yr'!Q11+'INST SUPPORT 4yr'!Q11</f>
        <v>143987.72499999998</v>
      </c>
      <c r="R11" s="48">
        <f>+'ACADEMIC SUPP 4yr'!R11+'STU SERVICES 4yr'!R11+'INST SUPPORT 4yr'!R11</f>
        <v>146979.92500000002</v>
      </c>
      <c r="S11" s="48">
        <f>+'ACADEMIC SUPP 4yr'!S11+'STU SERVICES 4yr'!S11+'INST SUPPORT 4yr'!S11</f>
        <v>142036.198</v>
      </c>
      <c r="T11" s="48">
        <f>+'ACADEMIC SUPP 4yr'!T11+'STU SERVICES 4yr'!T11+'INST SUPPORT 4yr'!T11</f>
        <v>174657.967</v>
      </c>
      <c r="U11" s="48">
        <f>+'ACADEMIC SUPP 4yr'!U11+'STU SERVICES 4yr'!U11+'INST SUPPORT 4yr'!U11</f>
        <v>180232.20799999998</v>
      </c>
      <c r="V11" s="48">
        <f>+'ACADEMIC SUPP 4yr'!V11+'STU SERVICES 4yr'!V11+'INST SUPPORT 4yr'!V11</f>
        <v>189801.171</v>
      </c>
      <c r="W11" s="48">
        <f>+'ACADEMIC SUPP 4yr'!W11+'STU SERVICES 4yr'!W11+'INST SUPPORT 4yr'!W11</f>
        <v>199562.40000000002</v>
      </c>
      <c r="X11" s="48">
        <f>+'ACADEMIC SUPP 4yr'!X11+'STU SERVICES 4yr'!X11+'INST SUPPORT 4yr'!X11</f>
        <v>210857.84</v>
      </c>
      <c r="Y11" s="48">
        <f>+'ACADEMIC SUPP 4yr'!Y11+'STU SERVICES 4yr'!Y11+'INST SUPPORT 4yr'!Y11</f>
        <v>43136.087</v>
      </c>
      <c r="Z11" s="48">
        <f>+'ACADEMIC SUPP 4yr'!Z11+'STU SERVICES 4yr'!Z11+'INST SUPPORT 4yr'!Z11</f>
        <v>236282.33199999999</v>
      </c>
      <c r="AA11" s="48">
        <f>+'ACADEMIC SUPP 4yr'!AA11+'STU SERVICES 4yr'!AA11+'INST SUPPORT 4yr'!AA11</f>
        <v>246749.78700000001</v>
      </c>
      <c r="AB11" s="48">
        <f>+'ACADEMIC SUPP 4yr'!AB11+'STU SERVICES 4yr'!AB11+'INST SUPPORT 4yr'!AB11</f>
        <v>264000.46400000004</v>
      </c>
      <c r="AC11" s="48">
        <f>+'ACADEMIC SUPP 4yr'!AC11+'STU SERVICES 4yr'!AC11+'INST SUPPORT 4yr'!AC11</f>
        <v>41626.101999999999</v>
      </c>
    </row>
    <row r="12" spans="1:29">
      <c r="A12" s="1" t="s">
        <v>5</v>
      </c>
      <c r="B12" s="48">
        <f>+'ACADEMIC SUPP 4yr'!B12+'STU SERVICES 4yr'!B12+'INST SUPPORT 4yr'!B12</f>
        <v>219283</v>
      </c>
      <c r="C12" s="48">
        <f>+'ACADEMIC SUPP 4yr'!C12+'STU SERVICES 4yr'!C12+'INST SUPPORT 4yr'!C12</f>
        <v>250353</v>
      </c>
      <c r="D12" s="48">
        <f>+'ACADEMIC SUPP 4yr'!D12+'STU SERVICES 4yr'!D12+'INST SUPPORT 4yr'!D12</f>
        <v>272570</v>
      </c>
      <c r="E12" s="48">
        <f>+'ACADEMIC SUPP 4yr'!E12+'STU SERVICES 4yr'!E12+'INST SUPPORT 4yr'!E12</f>
        <v>437377.66599999997</v>
      </c>
      <c r="F12" s="48">
        <f>+'ACADEMIC SUPP 4yr'!F12+'STU SERVICES 4yr'!F12+'INST SUPPORT 4yr'!F12</f>
        <v>436939.01599999995</v>
      </c>
      <c r="G12" s="48">
        <f>+'ACADEMIC SUPP 4yr'!G12+'STU SERVICES 4yr'!G12+'INST SUPPORT 4yr'!G12</f>
        <v>475232.28700000001</v>
      </c>
      <c r="H12" s="48">
        <f>+'ACADEMIC SUPP 4yr'!H12+'STU SERVICES 4yr'!H12+'INST SUPPORT 4yr'!H12</f>
        <v>516663.77</v>
      </c>
      <c r="I12" s="48">
        <f>+'ACADEMIC SUPP 4yr'!I12+'STU SERVICES 4yr'!I12+'INST SUPPORT 4yr'!I12</f>
        <v>503024.038</v>
      </c>
      <c r="J12" s="48">
        <f>+'ACADEMIC SUPP 4yr'!J12+'STU SERVICES 4yr'!J12+'INST SUPPORT 4yr'!J12</f>
        <v>580588.29700000002</v>
      </c>
      <c r="K12" s="48">
        <f>+'ACADEMIC SUPP 4yr'!K12+'STU SERVICES 4yr'!K12+'INST SUPPORT 4yr'!K12</f>
        <v>620617.52399999998</v>
      </c>
      <c r="L12" s="48">
        <f>+'ACADEMIC SUPP 4yr'!L12+'STU SERVICES 4yr'!L12+'INST SUPPORT 4yr'!L12</f>
        <v>810367.41500000004</v>
      </c>
      <c r="M12" s="48">
        <f>+'ACADEMIC SUPP 4yr'!M12+'STU SERVICES 4yr'!M12+'INST SUPPORT 4yr'!M12</f>
        <v>863528.09100000001</v>
      </c>
      <c r="N12" s="48">
        <f>+'ACADEMIC SUPP 4yr'!N12+'STU SERVICES 4yr'!N12+'INST SUPPORT 4yr'!N12</f>
        <v>834571.36599999992</v>
      </c>
      <c r="O12" s="48">
        <f>+'ACADEMIC SUPP 4yr'!O12+'STU SERVICES 4yr'!O12+'INST SUPPORT 4yr'!O12</f>
        <v>1054185.409</v>
      </c>
      <c r="P12" s="48">
        <f>+'ACADEMIC SUPP 4yr'!P12+'STU SERVICES 4yr'!P12+'INST SUPPORT 4yr'!P12</f>
        <v>1106998.176</v>
      </c>
      <c r="Q12" s="48">
        <f>+'ACADEMIC SUPP 4yr'!Q12+'STU SERVICES 4yr'!Q12+'INST SUPPORT 4yr'!Q12</f>
        <v>1234435.1310000001</v>
      </c>
      <c r="R12" s="48">
        <f>+'ACADEMIC SUPP 4yr'!R12+'STU SERVICES 4yr'!R12+'INST SUPPORT 4yr'!R12</f>
        <v>1269568.1340000001</v>
      </c>
      <c r="S12" s="48">
        <f>+'ACADEMIC SUPP 4yr'!S12+'STU SERVICES 4yr'!S12+'INST SUPPORT 4yr'!S12</f>
        <v>1270953.7920000001</v>
      </c>
      <c r="T12" s="48">
        <f>+'ACADEMIC SUPP 4yr'!T12+'STU SERVICES 4yr'!T12+'INST SUPPORT 4yr'!T12</f>
        <v>1340728.827</v>
      </c>
      <c r="U12" s="48">
        <f>+'ACADEMIC SUPP 4yr'!U12+'STU SERVICES 4yr'!U12+'INST SUPPORT 4yr'!U12</f>
        <v>1288127.7309999999</v>
      </c>
      <c r="V12" s="48">
        <f>+'ACADEMIC SUPP 4yr'!V12+'STU SERVICES 4yr'!V12+'INST SUPPORT 4yr'!V12</f>
        <v>1437862.1780000001</v>
      </c>
      <c r="W12" s="48">
        <f>+'ACADEMIC SUPP 4yr'!W12+'STU SERVICES 4yr'!W12+'INST SUPPORT 4yr'!W12</f>
        <v>1569890.6349999998</v>
      </c>
      <c r="X12" s="48">
        <f>+'ACADEMIC SUPP 4yr'!X12+'STU SERVICES 4yr'!X12+'INST SUPPORT 4yr'!X12</f>
        <v>1543648.5079999999</v>
      </c>
      <c r="Y12" s="48">
        <f>+'ACADEMIC SUPP 4yr'!Y12+'STU SERVICES 4yr'!Y12+'INST SUPPORT 4yr'!Y12</f>
        <v>1623851.5929999999</v>
      </c>
      <c r="Z12" s="48">
        <f>+'ACADEMIC SUPP 4yr'!Z12+'STU SERVICES 4yr'!Z12+'INST SUPPORT 4yr'!Z12</f>
        <v>1800929.0870000001</v>
      </c>
      <c r="AA12" s="48">
        <f>+'ACADEMIC SUPP 4yr'!AA12+'STU SERVICES 4yr'!AA12+'INST SUPPORT 4yr'!AA12</f>
        <v>1875373.9780000001</v>
      </c>
      <c r="AB12" s="48">
        <f>+'ACADEMIC SUPP 4yr'!AB12+'STU SERVICES 4yr'!AB12+'INST SUPPORT 4yr'!AB12</f>
        <v>1933321.0319999999</v>
      </c>
      <c r="AC12" s="48">
        <f>+'ACADEMIC SUPP 4yr'!AC12+'STU SERVICES 4yr'!AC12+'INST SUPPORT 4yr'!AC12</f>
        <v>2069035.9879999999</v>
      </c>
    </row>
    <row r="13" spans="1:29">
      <c r="A13" s="1" t="s">
        <v>6</v>
      </c>
      <c r="B13" s="48">
        <f>+'ACADEMIC SUPP 4yr'!B13+'STU SERVICES 4yr'!B13+'INST SUPPORT 4yr'!B13</f>
        <v>196673</v>
      </c>
      <c r="C13" s="48">
        <f>+'ACADEMIC SUPP 4yr'!C13+'STU SERVICES 4yr'!C13+'INST SUPPORT 4yr'!C13</f>
        <v>217191</v>
      </c>
      <c r="D13" s="48">
        <f>+'ACADEMIC SUPP 4yr'!D13+'STU SERVICES 4yr'!D13+'INST SUPPORT 4yr'!D13</f>
        <v>206524</v>
      </c>
      <c r="E13" s="48">
        <f>+'ACADEMIC SUPP 4yr'!E13+'STU SERVICES 4yr'!E13+'INST SUPPORT 4yr'!E13</f>
        <v>301701.57699999999</v>
      </c>
      <c r="F13" s="48">
        <f>+'ACADEMIC SUPP 4yr'!F13+'STU SERVICES 4yr'!F13+'INST SUPPORT 4yr'!F13</f>
        <v>301504.86499999999</v>
      </c>
      <c r="G13" s="48">
        <f>+'ACADEMIC SUPP 4yr'!G13+'STU SERVICES 4yr'!G13+'INST SUPPORT 4yr'!G13</f>
        <v>339850.89899999998</v>
      </c>
      <c r="H13" s="48">
        <f>+'ACADEMIC SUPP 4yr'!H13+'STU SERVICES 4yr'!H13+'INST SUPPORT 4yr'!H13</f>
        <v>371894.61300000001</v>
      </c>
      <c r="I13" s="48">
        <f>+'ACADEMIC SUPP 4yr'!I13+'STU SERVICES 4yr'!I13+'INST SUPPORT 4yr'!I13</f>
        <v>416203.95999999996</v>
      </c>
      <c r="J13" s="48">
        <f>+'ACADEMIC SUPP 4yr'!J13+'STU SERVICES 4yr'!J13+'INST SUPPORT 4yr'!J13</f>
        <v>454314.478</v>
      </c>
      <c r="K13" s="48">
        <f>+'ACADEMIC SUPP 4yr'!K13+'STU SERVICES 4yr'!K13+'INST SUPPORT 4yr'!K13</f>
        <v>502271.60900000005</v>
      </c>
      <c r="L13" s="48">
        <f>+'ACADEMIC SUPP 4yr'!L13+'STU SERVICES 4yr'!L13+'INST SUPPORT 4yr'!L13</f>
        <v>624679.38100000005</v>
      </c>
      <c r="M13" s="48">
        <f>+'ACADEMIC SUPP 4yr'!M13+'STU SERVICES 4yr'!M13+'INST SUPPORT 4yr'!M13</f>
        <v>650760.43599999999</v>
      </c>
      <c r="N13" s="48">
        <f>+'ACADEMIC SUPP 4yr'!N13+'STU SERVICES 4yr'!N13+'INST SUPPORT 4yr'!N13</f>
        <v>653660.04700000002</v>
      </c>
      <c r="O13" s="48">
        <f>+'ACADEMIC SUPP 4yr'!O13+'STU SERVICES 4yr'!O13+'INST SUPPORT 4yr'!O13</f>
        <v>733831.55599999998</v>
      </c>
      <c r="P13" s="48">
        <f>+'ACADEMIC SUPP 4yr'!P13+'STU SERVICES 4yr'!P13+'INST SUPPORT 4yr'!P13</f>
        <v>721475.09100000001</v>
      </c>
      <c r="Q13" s="48">
        <f>+'ACADEMIC SUPP 4yr'!Q13+'STU SERVICES 4yr'!Q13+'INST SUPPORT 4yr'!Q13</f>
        <v>720529.18800000008</v>
      </c>
      <c r="R13" s="48">
        <f>+'ACADEMIC SUPP 4yr'!R13+'STU SERVICES 4yr'!R13+'INST SUPPORT 4yr'!R13</f>
        <v>803863.88699999999</v>
      </c>
      <c r="S13" s="48">
        <f>+'ACADEMIC SUPP 4yr'!S13+'STU SERVICES 4yr'!S13+'INST SUPPORT 4yr'!S13</f>
        <v>875699.08600000001</v>
      </c>
      <c r="T13" s="48">
        <f>+'ACADEMIC SUPP 4yr'!T13+'STU SERVICES 4yr'!T13+'INST SUPPORT 4yr'!T13</f>
        <v>949848.29200000013</v>
      </c>
      <c r="U13" s="48">
        <f>+'ACADEMIC SUPP 4yr'!U13+'STU SERVICES 4yr'!U13+'INST SUPPORT 4yr'!U13</f>
        <v>856142.47399999993</v>
      </c>
      <c r="V13" s="48">
        <f>+'ACADEMIC SUPP 4yr'!V13+'STU SERVICES 4yr'!V13+'INST SUPPORT 4yr'!V13</f>
        <v>1064920.423</v>
      </c>
      <c r="W13" s="48">
        <f>+'ACADEMIC SUPP 4yr'!W13+'STU SERVICES 4yr'!W13+'INST SUPPORT 4yr'!W13</f>
        <v>1165821.6810000001</v>
      </c>
      <c r="X13" s="48">
        <f>+'ACADEMIC SUPP 4yr'!X13+'STU SERVICES 4yr'!X13+'INST SUPPORT 4yr'!X13</f>
        <v>1243992.6100000001</v>
      </c>
      <c r="Y13" s="48">
        <f>+'ACADEMIC SUPP 4yr'!Y13+'STU SERVICES 4yr'!Y13+'INST SUPPORT 4yr'!Y13</f>
        <v>1336533.5060000001</v>
      </c>
      <c r="Z13" s="48">
        <f>+'ACADEMIC SUPP 4yr'!Z13+'STU SERVICES 4yr'!Z13+'INST SUPPORT 4yr'!Z13</f>
        <v>1394928.0150000001</v>
      </c>
      <c r="AA13" s="48">
        <f>+'ACADEMIC SUPP 4yr'!AA13+'STU SERVICES 4yr'!AA13+'INST SUPPORT 4yr'!AA13</f>
        <v>1482107.8019999999</v>
      </c>
      <c r="AB13" s="48">
        <f>+'ACADEMIC SUPP 4yr'!AB13+'STU SERVICES 4yr'!AB13+'INST SUPPORT 4yr'!AB13</f>
        <v>1544598.2710000002</v>
      </c>
      <c r="AC13" s="48">
        <f>+'ACADEMIC SUPP 4yr'!AC13+'STU SERVICES 4yr'!AC13+'INST SUPPORT 4yr'!AC13</f>
        <v>1671596.7140000002</v>
      </c>
    </row>
    <row r="14" spans="1:29">
      <c r="A14" s="1" t="s">
        <v>7</v>
      </c>
      <c r="B14" s="48">
        <f>+'ACADEMIC SUPP 4yr'!B14+'STU SERVICES 4yr'!B14+'INST SUPPORT 4yr'!B14</f>
        <v>156969</v>
      </c>
      <c r="C14" s="48">
        <f>+'ACADEMIC SUPP 4yr'!C14+'STU SERVICES 4yr'!C14+'INST SUPPORT 4yr'!C14</f>
        <v>164210</v>
      </c>
      <c r="D14" s="48">
        <f>+'ACADEMIC SUPP 4yr'!D14+'STU SERVICES 4yr'!D14+'INST SUPPORT 4yr'!D14</f>
        <v>177103</v>
      </c>
      <c r="E14" s="48">
        <f>+'ACADEMIC SUPP 4yr'!E14+'STU SERVICES 4yr'!E14+'INST SUPPORT 4yr'!E14</f>
        <v>247364.84</v>
      </c>
      <c r="F14" s="48">
        <f>+'ACADEMIC SUPP 4yr'!F14+'STU SERVICES 4yr'!F14+'INST SUPPORT 4yr'!F14</f>
        <v>253753.997</v>
      </c>
      <c r="G14" s="48">
        <f>+'ACADEMIC SUPP 4yr'!G14+'STU SERVICES 4yr'!G14+'INST SUPPORT 4yr'!G14</f>
        <v>248464.02100000001</v>
      </c>
      <c r="H14" s="48">
        <f>+'ACADEMIC SUPP 4yr'!H14+'STU SERVICES 4yr'!H14+'INST SUPPORT 4yr'!H14</f>
        <v>258720.66200000001</v>
      </c>
      <c r="I14" s="48">
        <f>+'ACADEMIC SUPP 4yr'!I14+'STU SERVICES 4yr'!I14+'INST SUPPORT 4yr'!I14</f>
        <v>279530.18400000001</v>
      </c>
      <c r="J14" s="48">
        <f>+'ACADEMIC SUPP 4yr'!J14+'STU SERVICES 4yr'!J14+'INST SUPPORT 4yr'!J14</f>
        <v>306477.00599999999</v>
      </c>
      <c r="K14" s="48">
        <f>+'ACADEMIC SUPP 4yr'!K14+'STU SERVICES 4yr'!K14+'INST SUPPORT 4yr'!K14</f>
        <v>321940.55</v>
      </c>
      <c r="L14" s="48">
        <f>+'ACADEMIC SUPP 4yr'!L14+'STU SERVICES 4yr'!L14+'INST SUPPORT 4yr'!L14</f>
        <v>392310.90500000003</v>
      </c>
      <c r="M14" s="48">
        <f>+'ACADEMIC SUPP 4yr'!M14+'STU SERVICES 4yr'!M14+'INST SUPPORT 4yr'!M14</f>
        <v>412999.51399999997</v>
      </c>
      <c r="N14" s="48">
        <f>+'ACADEMIC SUPP 4yr'!N14+'STU SERVICES 4yr'!N14+'INST SUPPORT 4yr'!N14</f>
        <v>387926.87199999997</v>
      </c>
      <c r="O14" s="48">
        <f>+'ACADEMIC SUPP 4yr'!O14+'STU SERVICES 4yr'!O14+'INST SUPPORT 4yr'!O14</f>
        <v>409040.87599999999</v>
      </c>
      <c r="P14" s="48">
        <f>+'ACADEMIC SUPP 4yr'!P14+'STU SERVICES 4yr'!P14+'INST SUPPORT 4yr'!P14</f>
        <v>423010.20199999999</v>
      </c>
      <c r="Q14" s="48">
        <f>+'ACADEMIC SUPP 4yr'!Q14+'STU SERVICES 4yr'!Q14+'INST SUPPORT 4yr'!Q14</f>
        <v>441965.092</v>
      </c>
      <c r="R14" s="48">
        <f>+'ACADEMIC SUPP 4yr'!R14+'STU SERVICES 4yr'!R14+'INST SUPPORT 4yr'!R14</f>
        <v>488253.75100000005</v>
      </c>
      <c r="S14" s="48">
        <f>+'ACADEMIC SUPP 4yr'!S14+'STU SERVICES 4yr'!S14+'INST SUPPORT 4yr'!S14</f>
        <v>531424.66399999999</v>
      </c>
      <c r="T14" s="48">
        <f>+'ACADEMIC SUPP 4yr'!T14+'STU SERVICES 4yr'!T14+'INST SUPPORT 4yr'!T14</f>
        <v>593743.11600000004</v>
      </c>
      <c r="U14" s="48">
        <f>+'ACADEMIC SUPP 4yr'!U14+'STU SERVICES 4yr'!U14+'INST SUPPORT 4yr'!U14</f>
        <v>635283.54799999995</v>
      </c>
      <c r="V14" s="48">
        <f>+'ACADEMIC SUPP 4yr'!V14+'STU SERVICES 4yr'!V14+'INST SUPPORT 4yr'!V14</f>
        <v>783830.65599999996</v>
      </c>
      <c r="W14" s="48">
        <f>+'ACADEMIC SUPP 4yr'!W14+'STU SERVICES 4yr'!W14+'INST SUPPORT 4yr'!W14</f>
        <v>781517.40899999999</v>
      </c>
      <c r="X14" s="48">
        <f>+'ACADEMIC SUPP 4yr'!X14+'STU SERVICES 4yr'!X14+'INST SUPPORT 4yr'!X14</f>
        <v>816212.41899999999</v>
      </c>
      <c r="Y14" s="48">
        <f>+'ACADEMIC SUPP 4yr'!Y14+'STU SERVICES 4yr'!Y14+'INST SUPPORT 4yr'!Y14</f>
        <v>834836.84100000001</v>
      </c>
      <c r="Z14" s="48">
        <f>+'ACADEMIC SUPP 4yr'!Z14+'STU SERVICES 4yr'!Z14+'INST SUPPORT 4yr'!Z14</f>
        <v>834051.70500000007</v>
      </c>
      <c r="AA14" s="48">
        <f>+'ACADEMIC SUPP 4yr'!AA14+'STU SERVICES 4yr'!AA14+'INST SUPPORT 4yr'!AA14</f>
        <v>905827.82500000007</v>
      </c>
      <c r="AB14" s="48">
        <f>+'ACADEMIC SUPP 4yr'!AB14+'STU SERVICES 4yr'!AB14+'INST SUPPORT 4yr'!AB14</f>
        <v>958375.74799999991</v>
      </c>
      <c r="AC14" s="48">
        <f>+'ACADEMIC SUPP 4yr'!AC14+'STU SERVICES 4yr'!AC14+'INST SUPPORT 4yr'!AC14</f>
        <v>1039120.682</v>
      </c>
    </row>
    <row r="15" spans="1:29">
      <c r="A15" s="1" t="s">
        <v>8</v>
      </c>
      <c r="B15" s="48">
        <f>+'ACADEMIC SUPP 4yr'!B15+'STU SERVICES 4yr'!B15+'INST SUPPORT 4yr'!B15</f>
        <v>167691</v>
      </c>
      <c r="C15" s="48">
        <f>+'ACADEMIC SUPP 4yr'!C15+'STU SERVICES 4yr'!C15+'INST SUPPORT 4yr'!C15</f>
        <v>178870</v>
      </c>
      <c r="D15" s="48">
        <f>+'ACADEMIC SUPP 4yr'!D15+'STU SERVICES 4yr'!D15+'INST SUPPORT 4yr'!D15</f>
        <v>182231</v>
      </c>
      <c r="E15" s="48">
        <f>+'ACADEMIC SUPP 4yr'!E15+'STU SERVICES 4yr'!E15+'INST SUPPORT 4yr'!E15</f>
        <v>258715.86300000001</v>
      </c>
      <c r="F15" s="48">
        <f>+'ACADEMIC SUPP 4yr'!F15+'STU SERVICES 4yr'!F15+'INST SUPPORT 4yr'!F15</f>
        <v>261587.74599999998</v>
      </c>
      <c r="G15" s="48">
        <f>+'ACADEMIC SUPP 4yr'!G15+'STU SERVICES 4yr'!G15+'INST SUPPORT 4yr'!G15</f>
        <v>267442.41899999999</v>
      </c>
      <c r="H15" s="48">
        <f>+'ACADEMIC SUPP 4yr'!H15+'STU SERVICES 4yr'!H15+'INST SUPPORT 4yr'!H15</f>
        <v>285984.39899999998</v>
      </c>
      <c r="I15" s="48">
        <f>+'ACADEMIC SUPP 4yr'!I15+'STU SERVICES 4yr'!I15+'INST SUPPORT 4yr'!I15</f>
        <v>306346.36899999995</v>
      </c>
      <c r="J15" s="48">
        <f>+'ACADEMIC SUPP 4yr'!J15+'STU SERVICES 4yr'!J15+'INST SUPPORT 4yr'!J15</f>
        <v>333005.49400000001</v>
      </c>
      <c r="K15" s="48">
        <f>+'ACADEMIC SUPP 4yr'!K15+'STU SERVICES 4yr'!K15+'INST SUPPORT 4yr'!K15</f>
        <v>345843.08900000004</v>
      </c>
      <c r="L15" s="48">
        <f>+'ACADEMIC SUPP 4yr'!L15+'STU SERVICES 4yr'!L15+'INST SUPPORT 4yr'!L15</f>
        <v>429692.13</v>
      </c>
      <c r="M15" s="48">
        <f>+'ACADEMIC SUPP 4yr'!M15+'STU SERVICES 4yr'!M15+'INST SUPPORT 4yr'!M15</f>
        <v>442261.33900000004</v>
      </c>
      <c r="N15" s="48">
        <f>+'ACADEMIC SUPP 4yr'!N15+'STU SERVICES 4yr'!N15+'INST SUPPORT 4yr'!N15</f>
        <v>446614.505</v>
      </c>
      <c r="O15" s="48">
        <f>+'ACADEMIC SUPP 4yr'!O15+'STU SERVICES 4yr'!O15+'INST SUPPORT 4yr'!O15</f>
        <v>474897.46199999994</v>
      </c>
      <c r="P15" s="48">
        <f>+'ACADEMIC SUPP 4yr'!P15+'STU SERVICES 4yr'!P15+'INST SUPPORT 4yr'!P15</f>
        <v>494494.05300000001</v>
      </c>
      <c r="Q15" s="48">
        <f>+'ACADEMIC SUPP 4yr'!Q15+'STU SERVICES 4yr'!Q15+'INST SUPPORT 4yr'!Q15</f>
        <v>513974.40900000004</v>
      </c>
      <c r="R15" s="48">
        <f>+'ACADEMIC SUPP 4yr'!R15+'STU SERVICES 4yr'!R15+'INST SUPPORT 4yr'!R15</f>
        <v>516432.16399999999</v>
      </c>
      <c r="S15" s="48">
        <f>+'ACADEMIC SUPP 4yr'!S15+'STU SERVICES 4yr'!S15+'INST SUPPORT 4yr'!S15</f>
        <v>537646.87300000002</v>
      </c>
      <c r="T15" s="48">
        <f>+'ACADEMIC SUPP 4yr'!T15+'STU SERVICES 4yr'!T15+'INST SUPPORT 4yr'!T15</f>
        <v>695106.98200000008</v>
      </c>
      <c r="U15" s="48">
        <f>+'ACADEMIC SUPP 4yr'!U15+'STU SERVICES 4yr'!U15+'INST SUPPORT 4yr'!U15</f>
        <v>637778.84100000001</v>
      </c>
      <c r="V15" s="48">
        <f>+'ACADEMIC SUPP 4yr'!V15+'STU SERVICES 4yr'!V15+'INST SUPPORT 4yr'!V15</f>
        <v>703238.36599999992</v>
      </c>
      <c r="W15" s="48">
        <f>+'ACADEMIC SUPP 4yr'!W15+'STU SERVICES 4yr'!W15+'INST SUPPORT 4yr'!W15</f>
        <v>706701.40899999999</v>
      </c>
      <c r="X15" s="48">
        <f>+'ACADEMIC SUPP 4yr'!X15+'STU SERVICES 4yr'!X15+'INST SUPPORT 4yr'!X15</f>
        <v>711867.68699999992</v>
      </c>
      <c r="Y15" s="48">
        <f>+'ACADEMIC SUPP 4yr'!Y15+'STU SERVICES 4yr'!Y15+'INST SUPPORT 4yr'!Y15</f>
        <v>700126.97799999989</v>
      </c>
      <c r="Z15" s="48">
        <f>+'ACADEMIC SUPP 4yr'!Z15+'STU SERVICES 4yr'!Z15+'INST SUPPORT 4yr'!Z15</f>
        <v>726429.63600000006</v>
      </c>
      <c r="AA15" s="48">
        <f>+'ACADEMIC SUPP 4yr'!AA15+'STU SERVICES 4yr'!AA15+'INST SUPPORT 4yr'!AA15</f>
        <v>773711.92100000009</v>
      </c>
      <c r="AB15" s="48">
        <f>+'ACADEMIC SUPP 4yr'!AB15+'STU SERVICES 4yr'!AB15+'INST SUPPORT 4yr'!AB15</f>
        <v>717170.978</v>
      </c>
      <c r="AC15" s="48">
        <f>+'ACADEMIC SUPP 4yr'!AC15+'STU SERVICES 4yr'!AC15+'INST SUPPORT 4yr'!AC15</f>
        <v>847010.38899999997</v>
      </c>
    </row>
    <row r="16" spans="1:29">
      <c r="A16" s="1" t="s">
        <v>9</v>
      </c>
      <c r="B16" s="48">
        <f>+'ACADEMIC SUPP 4yr'!B16+'STU SERVICES 4yr'!B16+'INST SUPPORT 4yr'!B16</f>
        <v>131740</v>
      </c>
      <c r="C16" s="48">
        <f>+'ACADEMIC SUPP 4yr'!C16+'STU SERVICES 4yr'!C16+'INST SUPPORT 4yr'!C16</f>
        <v>161445</v>
      </c>
      <c r="D16" s="48">
        <f>+'ACADEMIC SUPP 4yr'!D16+'STU SERVICES 4yr'!D16+'INST SUPPORT 4yr'!D16</f>
        <v>163325</v>
      </c>
      <c r="E16" s="48">
        <f>+'ACADEMIC SUPP 4yr'!E16+'STU SERVICES 4yr'!E16+'INST SUPPORT 4yr'!E16</f>
        <v>260314.41200000001</v>
      </c>
      <c r="F16" s="48">
        <f>+'ACADEMIC SUPP 4yr'!F16+'STU SERVICES 4yr'!F16+'INST SUPPORT 4yr'!F16</f>
        <v>260350.929</v>
      </c>
      <c r="G16" s="48">
        <f>+'ACADEMIC SUPP 4yr'!G16+'STU SERVICES 4yr'!G16+'INST SUPPORT 4yr'!G16</f>
        <v>274814.16599999997</v>
      </c>
      <c r="H16" s="48">
        <f>+'ACADEMIC SUPP 4yr'!H16+'STU SERVICES 4yr'!H16+'INST SUPPORT 4yr'!H16</f>
        <v>286715.45199999999</v>
      </c>
      <c r="I16" s="48">
        <f>+'ACADEMIC SUPP 4yr'!I16+'STU SERVICES 4yr'!I16+'INST SUPPORT 4yr'!I16</f>
        <v>302259.049</v>
      </c>
      <c r="J16" s="48">
        <f>+'ACADEMIC SUPP 4yr'!J16+'STU SERVICES 4yr'!J16+'INST SUPPORT 4yr'!J16</f>
        <v>329237.777</v>
      </c>
      <c r="K16" s="48">
        <f>+'ACADEMIC SUPP 4yr'!K16+'STU SERVICES 4yr'!K16+'INST SUPPORT 4yr'!K16</f>
        <v>374218.62577000004</v>
      </c>
      <c r="L16" s="48">
        <f>+'ACADEMIC SUPP 4yr'!L16+'STU SERVICES 4yr'!L16+'INST SUPPORT 4yr'!L16</f>
        <v>463584.62699999998</v>
      </c>
      <c r="M16" s="48">
        <f>+'ACADEMIC SUPP 4yr'!M16+'STU SERVICES 4yr'!M16+'INST SUPPORT 4yr'!M16</f>
        <v>544385.97699999996</v>
      </c>
      <c r="N16" s="48">
        <f>+'ACADEMIC SUPP 4yr'!N16+'STU SERVICES 4yr'!N16+'INST SUPPORT 4yr'!N16</f>
        <v>605124.69700000004</v>
      </c>
      <c r="O16" s="48">
        <f>+'ACADEMIC SUPP 4yr'!O16+'STU SERVICES 4yr'!O16+'INST SUPPORT 4yr'!O16</f>
        <v>632957.00900000008</v>
      </c>
      <c r="P16" s="48">
        <f>+'ACADEMIC SUPP 4yr'!P16+'STU SERVICES 4yr'!P16+'INST SUPPORT 4yr'!P16</f>
        <v>656223.04700000002</v>
      </c>
      <c r="Q16" s="48">
        <f>+'ACADEMIC SUPP 4yr'!Q16+'STU SERVICES 4yr'!Q16+'INST SUPPORT 4yr'!Q16</f>
        <v>831941.82499999995</v>
      </c>
      <c r="R16" s="48">
        <f>+'ACADEMIC SUPP 4yr'!R16+'STU SERVICES 4yr'!R16+'INST SUPPORT 4yr'!R16</f>
        <v>740481.69800000009</v>
      </c>
      <c r="S16" s="48">
        <f>+'ACADEMIC SUPP 4yr'!S16+'STU SERVICES 4yr'!S16+'INST SUPPORT 4yr'!S16</f>
        <v>794057.90500000003</v>
      </c>
      <c r="T16" s="48">
        <f>+'ACADEMIC SUPP 4yr'!T16+'STU SERVICES 4yr'!T16+'INST SUPPORT 4yr'!T16</f>
        <v>888471.31799999997</v>
      </c>
      <c r="U16" s="48">
        <f>+'ACADEMIC SUPP 4yr'!U16+'STU SERVICES 4yr'!U16+'INST SUPPORT 4yr'!U16</f>
        <v>826960.94500000007</v>
      </c>
      <c r="V16" s="48">
        <f>+'ACADEMIC SUPP 4yr'!V16+'STU SERVICES 4yr'!V16+'INST SUPPORT 4yr'!V16</f>
        <v>1003753.99</v>
      </c>
      <c r="W16" s="48">
        <f>+'ACADEMIC SUPP 4yr'!W16+'STU SERVICES 4yr'!W16+'INST SUPPORT 4yr'!W16</f>
        <v>1031425.4979999999</v>
      </c>
      <c r="X16" s="48">
        <f>+'ACADEMIC SUPP 4yr'!X16+'STU SERVICES 4yr'!X16+'INST SUPPORT 4yr'!X16</f>
        <v>1091255.581</v>
      </c>
      <c r="Y16" s="48">
        <f>+'ACADEMIC SUPP 4yr'!Y16+'STU SERVICES 4yr'!Y16+'INST SUPPORT 4yr'!Y16</f>
        <v>1158555.125</v>
      </c>
      <c r="Z16" s="48">
        <f>+'ACADEMIC SUPP 4yr'!Z16+'STU SERVICES 4yr'!Z16+'INST SUPPORT 4yr'!Z16</f>
        <v>1225523.331</v>
      </c>
      <c r="AA16" s="48">
        <f>+'ACADEMIC SUPP 4yr'!AA16+'STU SERVICES 4yr'!AA16+'INST SUPPORT 4yr'!AA16</f>
        <v>1250386.2849999999</v>
      </c>
      <c r="AB16" s="48">
        <f>+'ACADEMIC SUPP 4yr'!AB16+'STU SERVICES 4yr'!AB16+'INST SUPPORT 4yr'!AB16</f>
        <v>1273190.946</v>
      </c>
      <c r="AC16" s="48">
        <f>+'ACADEMIC SUPP 4yr'!AC16+'STU SERVICES 4yr'!AC16+'INST SUPPORT 4yr'!AC16</f>
        <v>1362112.176</v>
      </c>
    </row>
    <row r="17" spans="1:29">
      <c r="A17" s="1" t="s">
        <v>10</v>
      </c>
      <c r="B17" s="48">
        <f>+'ACADEMIC SUPP 4yr'!B17+'STU SERVICES 4yr'!B17+'INST SUPPORT 4yr'!B17</f>
        <v>76206</v>
      </c>
      <c r="C17" s="48">
        <f>+'ACADEMIC SUPP 4yr'!C17+'STU SERVICES 4yr'!C17+'INST SUPPORT 4yr'!C17</f>
        <v>80751</v>
      </c>
      <c r="D17" s="48">
        <f>+'ACADEMIC SUPP 4yr'!D17+'STU SERVICES 4yr'!D17+'INST SUPPORT 4yr'!D17</f>
        <v>89490</v>
      </c>
      <c r="E17" s="48">
        <f>+'ACADEMIC SUPP 4yr'!E17+'STU SERVICES 4yr'!E17+'INST SUPPORT 4yr'!E17</f>
        <v>128938.482</v>
      </c>
      <c r="F17" s="48">
        <f>+'ACADEMIC SUPP 4yr'!F17+'STU SERVICES 4yr'!F17+'INST SUPPORT 4yr'!F17</f>
        <v>133300.17000000001</v>
      </c>
      <c r="G17" s="48">
        <f>+'ACADEMIC SUPP 4yr'!G17+'STU SERVICES 4yr'!G17+'INST SUPPORT 4yr'!G17</f>
        <v>147569.96600000001</v>
      </c>
      <c r="H17" s="48">
        <f>+'ACADEMIC SUPP 4yr'!H17+'STU SERVICES 4yr'!H17+'INST SUPPORT 4yr'!H17</f>
        <v>161588.603</v>
      </c>
      <c r="I17" s="48">
        <f>+'ACADEMIC SUPP 4yr'!I17+'STU SERVICES 4yr'!I17+'INST SUPPORT 4yr'!I17</f>
        <v>179331.90299999999</v>
      </c>
      <c r="J17" s="48">
        <f>+'ACADEMIC SUPP 4yr'!J17+'STU SERVICES 4yr'!J17+'INST SUPPORT 4yr'!J17</f>
        <v>196906.389</v>
      </c>
      <c r="K17" s="48">
        <f>+'ACADEMIC SUPP 4yr'!K17+'STU SERVICES 4yr'!K17+'INST SUPPORT 4yr'!K17</f>
        <v>199272.93599999999</v>
      </c>
      <c r="L17" s="48">
        <f>+'ACADEMIC SUPP 4yr'!L17+'STU SERVICES 4yr'!L17+'INST SUPPORT 4yr'!L17</f>
        <v>264687.02</v>
      </c>
      <c r="M17" s="48">
        <f>+'ACADEMIC SUPP 4yr'!M17+'STU SERVICES 4yr'!M17+'INST SUPPORT 4yr'!M17</f>
        <v>247604.399</v>
      </c>
      <c r="N17" s="48">
        <f>+'ACADEMIC SUPP 4yr'!N17+'STU SERVICES 4yr'!N17+'INST SUPPORT 4yr'!N17</f>
        <v>254070.27799999999</v>
      </c>
      <c r="O17" s="48">
        <f>+'ACADEMIC SUPP 4yr'!O17+'STU SERVICES 4yr'!O17+'INST SUPPORT 4yr'!O17</f>
        <v>283234.08199999999</v>
      </c>
      <c r="P17" s="48">
        <f>+'ACADEMIC SUPP 4yr'!P17+'STU SERVICES 4yr'!P17+'INST SUPPORT 4yr'!P17</f>
        <v>299858.92800000001</v>
      </c>
      <c r="Q17" s="48">
        <f>+'ACADEMIC SUPP 4yr'!Q17+'STU SERVICES 4yr'!Q17+'INST SUPPORT 4yr'!Q17</f>
        <v>322166.43299999996</v>
      </c>
      <c r="R17" s="48">
        <f>+'ACADEMIC SUPP 4yr'!R17+'STU SERVICES 4yr'!R17+'INST SUPPORT 4yr'!R17</f>
        <v>352567.783</v>
      </c>
      <c r="S17" s="48">
        <f>+'ACADEMIC SUPP 4yr'!S17+'STU SERVICES 4yr'!S17+'INST SUPPORT 4yr'!S17</f>
        <v>379918.16700000002</v>
      </c>
      <c r="T17" s="48">
        <f>+'ACADEMIC SUPP 4yr'!T17+'STU SERVICES 4yr'!T17+'INST SUPPORT 4yr'!T17</f>
        <v>407338.62400000001</v>
      </c>
      <c r="U17" s="48">
        <f>+'ACADEMIC SUPP 4yr'!U17+'STU SERVICES 4yr'!U17+'INST SUPPORT 4yr'!U17</f>
        <v>336631.08600000001</v>
      </c>
      <c r="V17" s="48">
        <f>+'ACADEMIC SUPP 4yr'!V17+'STU SERVICES 4yr'!V17+'INST SUPPORT 4yr'!V17</f>
        <v>455802.462</v>
      </c>
      <c r="W17" s="48">
        <f>+'ACADEMIC SUPP 4yr'!W17+'STU SERVICES 4yr'!W17+'INST SUPPORT 4yr'!W17</f>
        <v>469286.42300000001</v>
      </c>
      <c r="X17" s="48">
        <f>+'ACADEMIC SUPP 4yr'!X17+'STU SERVICES 4yr'!X17+'INST SUPPORT 4yr'!X17</f>
        <v>521202.62899999996</v>
      </c>
      <c r="Y17" s="48">
        <f>+'ACADEMIC SUPP 4yr'!Y17+'STU SERVICES 4yr'!Y17+'INST SUPPORT 4yr'!Y17</f>
        <v>521848.55599999998</v>
      </c>
      <c r="Z17" s="48">
        <f>+'ACADEMIC SUPP 4yr'!Z17+'STU SERVICES 4yr'!Z17+'INST SUPPORT 4yr'!Z17</f>
        <v>577258.28099999996</v>
      </c>
      <c r="AA17" s="48">
        <f>+'ACADEMIC SUPP 4yr'!AA17+'STU SERVICES 4yr'!AA17+'INST SUPPORT 4yr'!AA17</f>
        <v>573133.77399999998</v>
      </c>
      <c r="AB17" s="48">
        <f>+'ACADEMIC SUPP 4yr'!AB17+'STU SERVICES 4yr'!AB17+'INST SUPPORT 4yr'!AB17</f>
        <v>601361.84499999997</v>
      </c>
      <c r="AC17" s="48">
        <f>+'ACADEMIC SUPP 4yr'!AC17+'STU SERVICES 4yr'!AC17+'INST SUPPORT 4yr'!AC17</f>
        <v>602819.44500000007</v>
      </c>
    </row>
    <row r="18" spans="1:29">
      <c r="A18" s="1" t="s">
        <v>11</v>
      </c>
      <c r="B18" s="48">
        <f>+'ACADEMIC SUPP 4yr'!B18+'STU SERVICES 4yr'!B18+'INST SUPPORT 4yr'!B18</f>
        <v>167582</v>
      </c>
      <c r="C18" s="48">
        <f>+'ACADEMIC SUPP 4yr'!C18+'STU SERVICES 4yr'!C18+'INST SUPPORT 4yr'!C18</f>
        <v>191588</v>
      </c>
      <c r="D18" s="48">
        <f>+'ACADEMIC SUPP 4yr'!D18+'STU SERVICES 4yr'!D18+'INST SUPPORT 4yr'!D18</f>
        <v>215209</v>
      </c>
      <c r="E18" s="48">
        <f>+'ACADEMIC SUPP 4yr'!E18+'STU SERVICES 4yr'!E18+'INST SUPPORT 4yr'!E18</f>
        <v>308754.09100000001</v>
      </c>
      <c r="F18" s="48">
        <f>+'ACADEMIC SUPP 4yr'!F18+'STU SERVICES 4yr'!F18+'INST SUPPORT 4yr'!F18</f>
        <v>322964.11200000002</v>
      </c>
      <c r="G18" s="48">
        <f>+'ACADEMIC SUPP 4yr'!G18+'STU SERVICES 4yr'!G18+'INST SUPPORT 4yr'!G18</f>
        <v>365804.91899999999</v>
      </c>
      <c r="H18" s="48">
        <f>+'ACADEMIC SUPP 4yr'!H18+'STU SERVICES 4yr'!H18+'INST SUPPORT 4yr'!H18</f>
        <v>402649.74</v>
      </c>
      <c r="I18" s="48">
        <f>+'ACADEMIC SUPP 4yr'!I18+'STU SERVICES 4yr'!I18+'INST SUPPORT 4yr'!I18</f>
        <v>414870.185</v>
      </c>
      <c r="J18" s="48">
        <f>+'ACADEMIC SUPP 4yr'!J18+'STU SERVICES 4yr'!J18+'INST SUPPORT 4yr'!J18</f>
        <v>451685.13199999998</v>
      </c>
      <c r="K18" s="48">
        <f>+'ACADEMIC SUPP 4yr'!K18+'STU SERVICES 4yr'!K18+'INST SUPPORT 4yr'!K18</f>
        <v>488256.20699999994</v>
      </c>
      <c r="L18" s="48">
        <f>+'ACADEMIC SUPP 4yr'!L18+'STU SERVICES 4yr'!L18+'INST SUPPORT 4yr'!L18</f>
        <v>564086.50800000003</v>
      </c>
      <c r="M18" s="48">
        <f>+'ACADEMIC SUPP 4yr'!M18+'STU SERVICES 4yr'!M18+'INST SUPPORT 4yr'!M18</f>
        <v>615747.74199999997</v>
      </c>
      <c r="N18" s="48">
        <f>+'ACADEMIC SUPP 4yr'!N18+'STU SERVICES 4yr'!N18+'INST SUPPORT 4yr'!N18</f>
        <v>595761.45799999998</v>
      </c>
      <c r="O18" s="48">
        <f>+'ACADEMIC SUPP 4yr'!O18+'STU SERVICES 4yr'!O18+'INST SUPPORT 4yr'!O18</f>
        <v>656935.69900000002</v>
      </c>
      <c r="P18" s="48">
        <f>+'ACADEMIC SUPP 4yr'!P18+'STU SERVICES 4yr'!P18+'INST SUPPORT 4yr'!P18</f>
        <v>704379.70500000007</v>
      </c>
      <c r="Q18" s="48">
        <f>+'ACADEMIC SUPP 4yr'!Q18+'STU SERVICES 4yr'!Q18+'INST SUPPORT 4yr'!Q18</f>
        <v>754118.17200000002</v>
      </c>
      <c r="R18" s="48">
        <f>+'ACADEMIC SUPP 4yr'!R18+'STU SERVICES 4yr'!R18+'INST SUPPORT 4yr'!R18</f>
        <v>812737.53500000003</v>
      </c>
      <c r="S18" s="48">
        <f>+'ACADEMIC SUPP 4yr'!S18+'STU SERVICES 4yr'!S18+'INST SUPPORT 4yr'!S18</f>
        <v>905547.84200000006</v>
      </c>
      <c r="T18" s="48">
        <f>+'ACADEMIC SUPP 4yr'!T18+'STU SERVICES 4yr'!T18+'INST SUPPORT 4yr'!T18</f>
        <v>974293.82000000007</v>
      </c>
      <c r="U18" s="48">
        <f>+'ACADEMIC SUPP 4yr'!U18+'STU SERVICES 4yr'!U18+'INST SUPPORT 4yr'!U18</f>
        <v>973809.09100000001</v>
      </c>
      <c r="V18" s="48">
        <f>+'ACADEMIC SUPP 4yr'!V18+'STU SERVICES 4yr'!V18+'INST SUPPORT 4yr'!V18</f>
        <v>1170696.23</v>
      </c>
      <c r="W18" s="48">
        <f>+'ACADEMIC SUPP 4yr'!W18+'STU SERVICES 4yr'!W18+'INST SUPPORT 4yr'!W18</f>
        <v>1214113.216</v>
      </c>
      <c r="X18" s="48">
        <f>+'ACADEMIC SUPP 4yr'!X18+'STU SERVICES 4yr'!X18+'INST SUPPORT 4yr'!X18</f>
        <v>1208880.024</v>
      </c>
      <c r="Y18" s="48">
        <f>+'ACADEMIC SUPP 4yr'!Y18+'STU SERVICES 4yr'!Y18+'INST SUPPORT 4yr'!Y18</f>
        <v>1303762.1499999999</v>
      </c>
      <c r="Z18" s="48">
        <f>+'ACADEMIC SUPP 4yr'!Z18+'STU SERVICES 4yr'!Z18+'INST SUPPORT 4yr'!Z18</f>
        <v>1335516.5890000002</v>
      </c>
      <c r="AA18" s="48">
        <f>+'ACADEMIC SUPP 4yr'!AA18+'STU SERVICES 4yr'!AA18+'INST SUPPORT 4yr'!AA18</f>
        <v>1376917.4309999999</v>
      </c>
      <c r="AB18" s="48">
        <f>+'ACADEMIC SUPP 4yr'!AB18+'STU SERVICES 4yr'!AB18+'INST SUPPORT 4yr'!AB18</f>
        <v>1445443.7690000001</v>
      </c>
      <c r="AC18" s="48">
        <f>+'ACADEMIC SUPP 4yr'!AC18+'STU SERVICES 4yr'!AC18+'INST SUPPORT 4yr'!AC18</f>
        <v>1623916.3649999998</v>
      </c>
    </row>
    <row r="19" spans="1:29">
      <c r="A19" s="1" t="s">
        <v>12</v>
      </c>
      <c r="B19" s="48">
        <f>+'ACADEMIC SUPP 4yr'!B19+'STU SERVICES 4yr'!B19+'INST SUPPORT 4yr'!B19</f>
        <v>61693</v>
      </c>
      <c r="C19" s="48">
        <f>+'ACADEMIC SUPP 4yr'!C19+'STU SERVICES 4yr'!C19+'INST SUPPORT 4yr'!C19</f>
        <v>65659</v>
      </c>
      <c r="D19" s="48">
        <f>+'ACADEMIC SUPP 4yr'!D19+'STU SERVICES 4yr'!D19+'INST SUPPORT 4yr'!D19</f>
        <v>78754</v>
      </c>
      <c r="E19" s="48">
        <f>+'ACADEMIC SUPP 4yr'!E19+'STU SERVICES 4yr'!E19+'INST SUPPORT 4yr'!E19</f>
        <v>125736.864</v>
      </c>
      <c r="F19" s="48">
        <f>+'ACADEMIC SUPP 4yr'!F19+'STU SERVICES 4yr'!F19+'INST SUPPORT 4yr'!F19</f>
        <v>150481.98700000002</v>
      </c>
      <c r="G19" s="48">
        <f>+'ACADEMIC SUPP 4yr'!G19+'STU SERVICES 4yr'!G19+'INST SUPPORT 4yr'!G19</f>
        <v>164171.02499999999</v>
      </c>
      <c r="H19" s="48">
        <f>+'ACADEMIC SUPP 4yr'!H19+'STU SERVICES 4yr'!H19+'INST SUPPORT 4yr'!H19</f>
        <v>162836.39600000001</v>
      </c>
      <c r="I19" s="48">
        <f>+'ACADEMIC SUPP 4yr'!I19+'STU SERVICES 4yr'!I19+'INST SUPPORT 4yr'!I19</f>
        <v>167622.51999999999</v>
      </c>
      <c r="J19" s="48">
        <f>+'ACADEMIC SUPP 4yr'!J19+'STU SERVICES 4yr'!J19+'INST SUPPORT 4yr'!J19</f>
        <v>174249.41399999999</v>
      </c>
      <c r="K19" s="48">
        <f>+'ACADEMIC SUPP 4yr'!K19+'STU SERVICES 4yr'!K19+'INST SUPPORT 4yr'!K19</f>
        <v>192944.67945</v>
      </c>
      <c r="L19" s="48">
        <f>+'ACADEMIC SUPP 4yr'!L19+'STU SERVICES 4yr'!L19+'INST SUPPORT 4yr'!L19</f>
        <v>271963.53499999997</v>
      </c>
      <c r="M19" s="48">
        <f>+'ACADEMIC SUPP 4yr'!M19+'STU SERVICES 4yr'!M19+'INST SUPPORT 4yr'!M19</f>
        <v>284564.04499999998</v>
      </c>
      <c r="N19" s="48">
        <f>+'ACADEMIC SUPP 4yr'!N19+'STU SERVICES 4yr'!N19+'INST SUPPORT 4yr'!N19</f>
        <v>265069.64899999998</v>
      </c>
      <c r="O19" s="48">
        <f>+'ACADEMIC SUPP 4yr'!O19+'STU SERVICES 4yr'!O19+'INST SUPPORT 4yr'!O19</f>
        <v>277366.56900000002</v>
      </c>
      <c r="P19" s="48">
        <f>+'ACADEMIC SUPP 4yr'!P19+'STU SERVICES 4yr'!P19+'INST SUPPORT 4yr'!P19</f>
        <v>298980.12</v>
      </c>
      <c r="Q19" s="48">
        <f>+'ACADEMIC SUPP 4yr'!Q19+'STU SERVICES 4yr'!Q19+'INST SUPPORT 4yr'!Q19</f>
        <v>301156.77999999997</v>
      </c>
      <c r="R19" s="48">
        <f>+'ACADEMIC SUPP 4yr'!R19+'STU SERVICES 4yr'!R19+'INST SUPPORT 4yr'!R19</f>
        <v>335022.51700000005</v>
      </c>
      <c r="S19" s="48">
        <f>+'ACADEMIC SUPP 4yr'!S19+'STU SERVICES 4yr'!S19+'INST SUPPORT 4yr'!S19</f>
        <v>373968.571</v>
      </c>
      <c r="T19" s="48">
        <f>+'ACADEMIC SUPP 4yr'!T19+'STU SERVICES 4yr'!T19+'INST SUPPORT 4yr'!T19</f>
        <v>457057.50199999998</v>
      </c>
      <c r="U19" s="48">
        <f>+'ACADEMIC SUPP 4yr'!U19+'STU SERVICES 4yr'!U19+'INST SUPPORT 4yr'!U19</f>
        <v>397109.66500000004</v>
      </c>
      <c r="V19" s="48">
        <f>+'ACADEMIC SUPP 4yr'!V19+'STU SERVICES 4yr'!V19+'INST SUPPORT 4yr'!V19</f>
        <v>542229.48300000001</v>
      </c>
      <c r="W19" s="48">
        <f>+'ACADEMIC SUPP 4yr'!W19+'STU SERVICES 4yr'!W19+'INST SUPPORT 4yr'!W19</f>
        <v>533650.59899999993</v>
      </c>
      <c r="X19" s="48">
        <f>+'ACADEMIC SUPP 4yr'!X19+'STU SERVICES 4yr'!X19+'INST SUPPORT 4yr'!X19</f>
        <v>558713.09899999993</v>
      </c>
      <c r="Y19" s="48">
        <f>+'ACADEMIC SUPP 4yr'!Y19+'STU SERVICES 4yr'!Y19+'INST SUPPORT 4yr'!Y19</f>
        <v>555321.31599999999</v>
      </c>
      <c r="Z19" s="48">
        <f>+'ACADEMIC SUPP 4yr'!Z19+'STU SERVICES 4yr'!Z19+'INST SUPPORT 4yr'!Z19</f>
        <v>578391.076</v>
      </c>
      <c r="AA19" s="48">
        <f>+'ACADEMIC SUPP 4yr'!AA19+'STU SERVICES 4yr'!AA19+'INST SUPPORT 4yr'!AA19</f>
        <v>600145.54300000006</v>
      </c>
      <c r="AB19" s="48">
        <f>+'ACADEMIC SUPP 4yr'!AB19+'STU SERVICES 4yr'!AB19+'INST SUPPORT 4yr'!AB19</f>
        <v>614506.723</v>
      </c>
      <c r="AC19" s="48">
        <f>+'ACADEMIC SUPP 4yr'!AC19+'STU SERVICES 4yr'!AC19+'INST SUPPORT 4yr'!AC19</f>
        <v>607962.23600000003</v>
      </c>
    </row>
    <row r="20" spans="1:29">
      <c r="A20" s="1" t="s">
        <v>13</v>
      </c>
      <c r="B20" s="48">
        <f>+'ACADEMIC SUPP 4yr'!B20+'STU SERVICES 4yr'!B20+'INST SUPPORT 4yr'!B20</f>
        <v>110763</v>
      </c>
      <c r="C20" s="48">
        <f>+'ACADEMIC SUPP 4yr'!C20+'STU SERVICES 4yr'!C20+'INST SUPPORT 4yr'!C20</f>
        <v>131455</v>
      </c>
      <c r="D20" s="48">
        <f>+'ACADEMIC SUPP 4yr'!D20+'STU SERVICES 4yr'!D20+'INST SUPPORT 4yr'!D20</f>
        <v>141724</v>
      </c>
      <c r="E20" s="48">
        <f>+'ACADEMIC SUPP 4yr'!E20+'STU SERVICES 4yr'!E20+'INST SUPPORT 4yr'!E20</f>
        <v>199270.467</v>
      </c>
      <c r="F20" s="48">
        <f>+'ACADEMIC SUPP 4yr'!F20+'STU SERVICES 4yr'!F20+'INST SUPPORT 4yr'!F20</f>
        <v>196248.86</v>
      </c>
      <c r="G20" s="48">
        <f>+'ACADEMIC SUPP 4yr'!G20+'STU SERVICES 4yr'!G20+'INST SUPPORT 4yr'!G20</f>
        <v>205056.67599999998</v>
      </c>
      <c r="H20" s="48">
        <f>+'ACADEMIC SUPP 4yr'!H20+'STU SERVICES 4yr'!H20+'INST SUPPORT 4yr'!H20</f>
        <v>222887.71299999999</v>
      </c>
      <c r="I20" s="48">
        <f>+'ACADEMIC SUPP 4yr'!I20+'STU SERVICES 4yr'!I20+'INST SUPPORT 4yr'!I20</f>
        <v>227037.44500000001</v>
      </c>
      <c r="J20" s="48">
        <f>+'ACADEMIC SUPP 4yr'!J20+'STU SERVICES 4yr'!J20+'INST SUPPORT 4yr'!J20</f>
        <v>247784.78399999999</v>
      </c>
      <c r="K20" s="48">
        <f>+'ACADEMIC SUPP 4yr'!K20+'STU SERVICES 4yr'!K20+'INST SUPPORT 4yr'!K20</f>
        <v>259157.147</v>
      </c>
      <c r="L20" s="48">
        <f>+'ACADEMIC SUPP 4yr'!L20+'STU SERVICES 4yr'!L20+'INST SUPPORT 4yr'!L20</f>
        <v>319436.22600000002</v>
      </c>
      <c r="M20" s="48">
        <f>+'ACADEMIC SUPP 4yr'!M20+'STU SERVICES 4yr'!M20+'INST SUPPORT 4yr'!M20</f>
        <v>334257.70599999995</v>
      </c>
      <c r="N20" s="48">
        <f>+'ACADEMIC SUPP 4yr'!N20+'STU SERVICES 4yr'!N20+'INST SUPPORT 4yr'!N20</f>
        <v>336857.74700000003</v>
      </c>
      <c r="O20" s="48">
        <f>+'ACADEMIC SUPP 4yr'!O20+'STU SERVICES 4yr'!O20+'INST SUPPORT 4yr'!O20</f>
        <v>354420.90299999999</v>
      </c>
      <c r="P20" s="48">
        <f>+'ACADEMIC SUPP 4yr'!P20+'STU SERVICES 4yr'!P20+'INST SUPPORT 4yr'!P20</f>
        <v>366742.41099999996</v>
      </c>
      <c r="Q20" s="48">
        <f>+'ACADEMIC SUPP 4yr'!Q20+'STU SERVICES 4yr'!Q20+'INST SUPPORT 4yr'!Q20</f>
        <v>407196.71100000001</v>
      </c>
      <c r="R20" s="48">
        <f>+'ACADEMIC SUPP 4yr'!R20+'STU SERVICES 4yr'!R20+'INST SUPPORT 4yr'!R20</f>
        <v>451921.51</v>
      </c>
      <c r="S20" s="48">
        <f>+'ACADEMIC SUPP 4yr'!S20+'STU SERVICES 4yr'!S20+'INST SUPPORT 4yr'!S20</f>
        <v>482522.64399999997</v>
      </c>
      <c r="T20" s="48">
        <f>+'ACADEMIC SUPP 4yr'!T20+'STU SERVICES 4yr'!T20+'INST SUPPORT 4yr'!T20</f>
        <v>537404.47699999996</v>
      </c>
      <c r="U20" s="48">
        <f>+'ACADEMIC SUPP 4yr'!U20+'STU SERVICES 4yr'!U20+'INST SUPPORT 4yr'!U20</f>
        <v>439403.02899999998</v>
      </c>
      <c r="V20" s="48">
        <f>+'ACADEMIC SUPP 4yr'!V20+'STU SERVICES 4yr'!V20+'INST SUPPORT 4yr'!V20</f>
        <v>616016.34300000011</v>
      </c>
      <c r="W20" s="48">
        <f>+'ACADEMIC SUPP 4yr'!W20+'STU SERVICES 4yr'!W20+'INST SUPPORT 4yr'!W20</f>
        <v>645365.60100000002</v>
      </c>
      <c r="X20" s="48">
        <f>+'ACADEMIC SUPP 4yr'!X20+'STU SERVICES 4yr'!X20+'INST SUPPORT 4yr'!X20</f>
        <v>686987.24699999997</v>
      </c>
      <c r="Y20" s="48">
        <f>+'ACADEMIC SUPP 4yr'!Y20+'STU SERVICES 4yr'!Y20+'INST SUPPORT 4yr'!Y20</f>
        <v>747112.06799999997</v>
      </c>
      <c r="Z20" s="48">
        <f>+'ACADEMIC SUPP 4yr'!Z20+'STU SERVICES 4yr'!Z20+'INST SUPPORT 4yr'!Z20</f>
        <v>792717.321</v>
      </c>
      <c r="AA20" s="48">
        <f>+'ACADEMIC SUPP 4yr'!AA20+'STU SERVICES 4yr'!AA20+'INST SUPPORT 4yr'!AA20</f>
        <v>852154.0290000001</v>
      </c>
      <c r="AB20" s="48">
        <f>+'ACADEMIC SUPP 4yr'!AB20+'STU SERVICES 4yr'!AB20+'INST SUPPORT 4yr'!AB20</f>
        <v>861386.20600000001</v>
      </c>
      <c r="AC20" s="48">
        <f>+'ACADEMIC SUPP 4yr'!AC20+'STU SERVICES 4yr'!AC20+'INST SUPPORT 4yr'!AC20</f>
        <v>913268.13199999998</v>
      </c>
    </row>
    <row r="21" spans="1:29" s="11" customFormat="1">
      <c r="A21" s="1" t="s">
        <v>14</v>
      </c>
      <c r="B21" s="48">
        <f>+'ACADEMIC SUPP 4yr'!B21+'STU SERVICES 4yr'!B21+'INST SUPPORT 4yr'!B21</f>
        <v>135865</v>
      </c>
      <c r="C21" s="48">
        <f>+'ACADEMIC SUPP 4yr'!C21+'STU SERVICES 4yr'!C21+'INST SUPPORT 4yr'!C21</f>
        <v>154937</v>
      </c>
      <c r="D21" s="48">
        <f>+'ACADEMIC SUPP 4yr'!D21+'STU SERVICES 4yr'!D21+'INST SUPPORT 4yr'!D21</f>
        <v>173284</v>
      </c>
      <c r="E21" s="48">
        <f>+'ACADEMIC SUPP 4yr'!E21+'STU SERVICES 4yr'!E21+'INST SUPPORT 4yr'!E21</f>
        <v>247555.90100000001</v>
      </c>
      <c r="F21" s="48">
        <f>+'ACADEMIC SUPP 4yr'!F21+'STU SERVICES 4yr'!F21+'INST SUPPORT 4yr'!F21</f>
        <v>224316.823</v>
      </c>
      <c r="G21" s="48">
        <f>+'ACADEMIC SUPP 4yr'!G21+'STU SERVICES 4yr'!G21+'INST SUPPORT 4yr'!G21</f>
        <v>263434.50400000002</v>
      </c>
      <c r="H21" s="48">
        <f>+'ACADEMIC SUPP 4yr'!H21+'STU SERVICES 4yr'!H21+'INST SUPPORT 4yr'!H21</f>
        <v>291109.03200000001</v>
      </c>
      <c r="I21" s="48">
        <f>+'ACADEMIC SUPP 4yr'!I21+'STU SERVICES 4yr'!I21+'INST SUPPORT 4yr'!I21</f>
        <v>295570.16499999998</v>
      </c>
      <c r="J21" s="48">
        <f>+'ACADEMIC SUPP 4yr'!J21+'STU SERVICES 4yr'!J21+'INST SUPPORT 4yr'!J21</f>
        <v>340450.18</v>
      </c>
      <c r="K21" s="48">
        <f>+'ACADEMIC SUPP 4yr'!K21+'STU SERVICES 4yr'!K21+'INST SUPPORT 4yr'!K21</f>
        <v>344285.73157</v>
      </c>
      <c r="L21" s="48">
        <f>+'ACADEMIC SUPP 4yr'!L21+'STU SERVICES 4yr'!L21+'INST SUPPORT 4yr'!L21</f>
        <v>379878.18900000001</v>
      </c>
      <c r="M21" s="48">
        <f>+'ACADEMIC SUPP 4yr'!M21+'STU SERVICES 4yr'!M21+'INST SUPPORT 4yr'!M21</f>
        <v>423976.00699999998</v>
      </c>
      <c r="N21" s="48">
        <f>+'ACADEMIC SUPP 4yr'!N21+'STU SERVICES 4yr'!N21+'INST SUPPORT 4yr'!N21</f>
        <v>430490.946</v>
      </c>
      <c r="O21" s="48">
        <f>+'ACADEMIC SUPP 4yr'!O21+'STU SERVICES 4yr'!O21+'INST SUPPORT 4yr'!O21</f>
        <v>468713.31299999997</v>
      </c>
      <c r="P21" s="48">
        <f>+'ACADEMIC SUPP 4yr'!P21+'STU SERVICES 4yr'!P21+'INST SUPPORT 4yr'!P21</f>
        <v>464803.67700000003</v>
      </c>
      <c r="Q21" s="48">
        <f>+'ACADEMIC SUPP 4yr'!Q21+'STU SERVICES 4yr'!Q21+'INST SUPPORT 4yr'!Q21</f>
        <v>509040.45600000001</v>
      </c>
      <c r="R21" s="48">
        <f>+'ACADEMIC SUPP 4yr'!R21+'STU SERVICES 4yr'!R21+'INST SUPPORT 4yr'!R21</f>
        <v>524260.13500000001</v>
      </c>
      <c r="S21" s="48">
        <f>+'ACADEMIC SUPP 4yr'!S21+'STU SERVICES 4yr'!S21+'INST SUPPORT 4yr'!S21</f>
        <v>546828.93299999996</v>
      </c>
      <c r="T21" s="48">
        <f>+'ACADEMIC SUPP 4yr'!T21+'STU SERVICES 4yr'!T21+'INST SUPPORT 4yr'!T21</f>
        <v>603717.25099999993</v>
      </c>
      <c r="U21" s="48">
        <f>+'ACADEMIC SUPP 4yr'!U21+'STU SERVICES 4yr'!U21+'INST SUPPORT 4yr'!U21</f>
        <v>618379.67700000003</v>
      </c>
      <c r="V21" s="48">
        <f>+'ACADEMIC SUPP 4yr'!V21+'STU SERVICES 4yr'!V21+'INST SUPPORT 4yr'!V21</f>
        <v>722942.52299999993</v>
      </c>
      <c r="W21" s="48">
        <f>+'ACADEMIC SUPP 4yr'!W21+'STU SERVICES 4yr'!W21+'INST SUPPORT 4yr'!W21</f>
        <v>758466.59400000004</v>
      </c>
      <c r="X21" s="48">
        <f>+'ACADEMIC SUPP 4yr'!X21+'STU SERVICES 4yr'!X21+'INST SUPPORT 4yr'!X21</f>
        <v>845866.73399999994</v>
      </c>
      <c r="Y21" s="48">
        <f>+'ACADEMIC SUPP 4yr'!Y21+'STU SERVICES 4yr'!Y21+'INST SUPPORT 4yr'!Y21</f>
        <v>845917.55900000001</v>
      </c>
      <c r="Z21" s="48">
        <f>+'ACADEMIC SUPP 4yr'!Z21+'STU SERVICES 4yr'!Z21+'INST SUPPORT 4yr'!Z21</f>
        <v>902131.09400000004</v>
      </c>
      <c r="AA21" s="48">
        <f>+'ACADEMIC SUPP 4yr'!AA21+'STU SERVICES 4yr'!AA21+'INST SUPPORT 4yr'!AA21</f>
        <v>888681.897</v>
      </c>
      <c r="AB21" s="48">
        <f>+'ACADEMIC SUPP 4yr'!AB21+'STU SERVICES 4yr'!AB21+'INST SUPPORT 4yr'!AB21</f>
        <v>911385.83</v>
      </c>
      <c r="AC21" s="48">
        <f>+'ACADEMIC SUPP 4yr'!AC21+'STU SERVICES 4yr'!AC21+'INST SUPPORT 4yr'!AC21</f>
        <v>978194.46399999992</v>
      </c>
    </row>
    <row r="22" spans="1:29">
      <c r="A22" s="1" t="s">
        <v>15</v>
      </c>
      <c r="B22" s="48">
        <f>+'ACADEMIC SUPP 4yr'!B22+'STU SERVICES 4yr'!B22+'INST SUPPORT 4yr'!B22</f>
        <v>496540</v>
      </c>
      <c r="C22" s="48">
        <f>+'ACADEMIC SUPP 4yr'!C22+'STU SERVICES 4yr'!C22+'INST SUPPORT 4yr'!C22</f>
        <v>541872</v>
      </c>
      <c r="D22" s="48">
        <f>+'ACADEMIC SUPP 4yr'!D22+'STU SERVICES 4yr'!D22+'INST SUPPORT 4yr'!D22</f>
        <v>587775</v>
      </c>
      <c r="E22" s="48">
        <f>+'ACADEMIC SUPP 4yr'!E22+'STU SERVICES 4yr'!E22+'INST SUPPORT 4yr'!E22</f>
        <v>837054.42400000012</v>
      </c>
      <c r="F22" s="48">
        <f>+'ACADEMIC SUPP 4yr'!F22+'STU SERVICES 4yr'!F22+'INST SUPPORT 4yr'!F22</f>
        <v>828645.16599999997</v>
      </c>
      <c r="G22" s="48">
        <f>+'ACADEMIC SUPP 4yr'!G22+'STU SERVICES 4yr'!G22+'INST SUPPORT 4yr'!G22</f>
        <v>900950.98</v>
      </c>
      <c r="H22" s="48">
        <f>+'ACADEMIC SUPP 4yr'!H22+'STU SERVICES 4yr'!H22+'INST SUPPORT 4yr'!H22</f>
        <v>943926.42800000007</v>
      </c>
      <c r="I22" s="48">
        <f>+'ACADEMIC SUPP 4yr'!I22+'STU SERVICES 4yr'!I22+'INST SUPPORT 4yr'!I22</f>
        <v>984866.59100000001</v>
      </c>
      <c r="J22" s="48">
        <f>+'ACADEMIC SUPP 4yr'!J22+'STU SERVICES 4yr'!J22+'INST SUPPORT 4yr'!J22</f>
        <v>1100249.298</v>
      </c>
      <c r="K22" s="48">
        <f>+'ACADEMIC SUPP 4yr'!K22+'STU SERVICES 4yr'!K22+'INST SUPPORT 4yr'!K22</f>
        <v>1182433.199</v>
      </c>
      <c r="L22" s="48">
        <f>+'ACADEMIC SUPP 4yr'!L22+'STU SERVICES 4yr'!L22+'INST SUPPORT 4yr'!L22</f>
        <v>1504333.7250000001</v>
      </c>
      <c r="M22" s="48">
        <f>+'ACADEMIC SUPP 4yr'!M22+'STU SERVICES 4yr'!M22+'INST SUPPORT 4yr'!M22</f>
        <v>1712058.3399999999</v>
      </c>
      <c r="N22" s="48">
        <f>+'ACADEMIC SUPP 4yr'!N22+'STU SERVICES 4yr'!N22+'INST SUPPORT 4yr'!N22</f>
        <v>1851890.645</v>
      </c>
      <c r="O22" s="48">
        <f>+'ACADEMIC SUPP 4yr'!O22+'STU SERVICES 4yr'!O22+'INST SUPPORT 4yr'!O22</f>
        <v>1908895.9640000002</v>
      </c>
      <c r="P22" s="48">
        <f>+'ACADEMIC SUPP 4yr'!P22+'STU SERVICES 4yr'!P22+'INST SUPPORT 4yr'!P22</f>
        <v>2019826.9469999999</v>
      </c>
      <c r="Q22" s="48">
        <f>+'ACADEMIC SUPP 4yr'!Q22+'STU SERVICES 4yr'!Q22+'INST SUPPORT 4yr'!Q22</f>
        <v>2138276.8629999999</v>
      </c>
      <c r="R22" s="48">
        <f>+'ACADEMIC SUPP 4yr'!R22+'STU SERVICES 4yr'!R22+'INST SUPPORT 4yr'!R22</f>
        <v>2168819.5129999998</v>
      </c>
      <c r="S22" s="48">
        <f>+'ACADEMIC SUPP 4yr'!S22+'STU SERVICES 4yr'!S22+'INST SUPPORT 4yr'!S22</f>
        <v>2306817.85</v>
      </c>
      <c r="T22" s="48">
        <f>+'ACADEMIC SUPP 4yr'!T22+'STU SERVICES 4yr'!T22+'INST SUPPORT 4yr'!T22</f>
        <v>2597043.0999999996</v>
      </c>
      <c r="U22" s="48">
        <f>+'ACADEMIC SUPP 4yr'!U22+'STU SERVICES 4yr'!U22+'INST SUPPORT 4yr'!U22</f>
        <v>2196682.96</v>
      </c>
      <c r="V22" s="48">
        <f>+'ACADEMIC SUPP 4yr'!V22+'STU SERVICES 4yr'!V22+'INST SUPPORT 4yr'!V22</f>
        <v>3378734.3810000001</v>
      </c>
      <c r="W22" s="48">
        <f>+'ACADEMIC SUPP 4yr'!W22+'STU SERVICES 4yr'!W22+'INST SUPPORT 4yr'!W22</f>
        <v>3682030.7439999999</v>
      </c>
      <c r="X22" s="48">
        <f>+'ACADEMIC SUPP 4yr'!X22+'STU SERVICES 4yr'!X22+'INST SUPPORT 4yr'!X22</f>
        <v>3511389.7989999996</v>
      </c>
      <c r="Y22" s="48">
        <f>+'ACADEMIC SUPP 4yr'!Y22+'STU SERVICES 4yr'!Y22+'INST SUPPORT 4yr'!Y22</f>
        <v>3082067.77</v>
      </c>
      <c r="Z22" s="48">
        <f>+'ACADEMIC SUPP 4yr'!Z22+'STU SERVICES 4yr'!Z22+'INST SUPPORT 4yr'!Z22</f>
        <v>3264765.6639999999</v>
      </c>
      <c r="AA22" s="48">
        <f>+'ACADEMIC SUPP 4yr'!AA22+'STU SERVICES 4yr'!AA22+'INST SUPPORT 4yr'!AA22</f>
        <v>3470942.5869999998</v>
      </c>
      <c r="AB22" s="48">
        <f>+'ACADEMIC SUPP 4yr'!AB22+'STU SERVICES 4yr'!AB22+'INST SUPPORT 4yr'!AB22</f>
        <v>4547474.63</v>
      </c>
      <c r="AC22" s="48">
        <f>+'ACADEMIC SUPP 4yr'!AC22+'STU SERVICES 4yr'!AC22+'INST SUPPORT 4yr'!AC22</f>
        <v>4714820.2979999995</v>
      </c>
    </row>
    <row r="23" spans="1:29">
      <c r="A23" s="1" t="s">
        <v>16</v>
      </c>
      <c r="B23" s="48">
        <f>+'ACADEMIC SUPP 4yr'!B23+'STU SERVICES 4yr'!B23+'INST SUPPORT 4yr'!B23</f>
        <v>202505</v>
      </c>
      <c r="C23" s="48">
        <f>+'ACADEMIC SUPP 4yr'!C23+'STU SERVICES 4yr'!C23+'INST SUPPORT 4yr'!C23</f>
        <v>244633</v>
      </c>
      <c r="D23" s="48">
        <f>+'ACADEMIC SUPP 4yr'!D23+'STU SERVICES 4yr'!D23+'INST SUPPORT 4yr'!D23</f>
        <v>261651</v>
      </c>
      <c r="E23" s="48">
        <f>+'ACADEMIC SUPP 4yr'!E23+'STU SERVICES 4yr'!E23+'INST SUPPORT 4yr'!E23</f>
        <v>370343.603</v>
      </c>
      <c r="F23" s="48">
        <f>+'ACADEMIC SUPP 4yr'!F23+'STU SERVICES 4yr'!F23+'INST SUPPORT 4yr'!F23</f>
        <v>373395.34400000004</v>
      </c>
      <c r="G23" s="48">
        <f>+'ACADEMIC SUPP 4yr'!G23+'STU SERVICES 4yr'!G23+'INST SUPPORT 4yr'!G23</f>
        <v>388101.03899999999</v>
      </c>
      <c r="H23" s="48">
        <f>+'ACADEMIC SUPP 4yr'!H23+'STU SERVICES 4yr'!H23+'INST SUPPORT 4yr'!H23</f>
        <v>431509.99099999992</v>
      </c>
      <c r="I23" s="48">
        <f>+'ACADEMIC SUPP 4yr'!I23+'STU SERVICES 4yr'!I23+'INST SUPPORT 4yr'!I23</f>
        <v>455724.71600000001</v>
      </c>
      <c r="J23" s="48">
        <f>+'ACADEMIC SUPP 4yr'!J23+'STU SERVICES 4yr'!J23+'INST SUPPORT 4yr'!J23</f>
        <v>463006.19200000004</v>
      </c>
      <c r="K23" s="48">
        <f>+'ACADEMIC SUPP 4yr'!K23+'STU SERVICES 4yr'!K23+'INST SUPPORT 4yr'!K23</f>
        <v>511604.527</v>
      </c>
      <c r="L23" s="48">
        <f>+'ACADEMIC SUPP 4yr'!L23+'STU SERVICES 4yr'!L23+'INST SUPPORT 4yr'!L23</f>
        <v>617348.10800000001</v>
      </c>
      <c r="M23" s="48">
        <f>+'ACADEMIC SUPP 4yr'!M23+'STU SERVICES 4yr'!M23+'INST SUPPORT 4yr'!M23</f>
        <v>652413.96699999995</v>
      </c>
      <c r="N23" s="48">
        <f>+'ACADEMIC SUPP 4yr'!N23+'STU SERVICES 4yr'!N23+'INST SUPPORT 4yr'!N23</f>
        <v>645110.16299999994</v>
      </c>
      <c r="O23" s="48">
        <f>+'ACADEMIC SUPP 4yr'!O23+'STU SERVICES 4yr'!O23+'INST SUPPORT 4yr'!O23</f>
        <v>599680.15500000003</v>
      </c>
      <c r="P23" s="48">
        <f>+'ACADEMIC SUPP 4yr'!P23+'STU SERVICES 4yr'!P23+'INST SUPPORT 4yr'!P23</f>
        <v>636528.49699999997</v>
      </c>
      <c r="Q23" s="48">
        <f>+'ACADEMIC SUPP 4yr'!Q23+'STU SERVICES 4yr'!Q23+'INST SUPPORT 4yr'!Q23</f>
        <v>703596.13400000008</v>
      </c>
      <c r="R23" s="48">
        <f>+'ACADEMIC SUPP 4yr'!R23+'STU SERVICES 4yr'!R23+'INST SUPPORT 4yr'!R23</f>
        <v>787141.91799999995</v>
      </c>
      <c r="S23" s="48">
        <f>+'ACADEMIC SUPP 4yr'!S23+'STU SERVICES 4yr'!S23+'INST SUPPORT 4yr'!S23</f>
        <v>863159.25</v>
      </c>
      <c r="T23" s="48">
        <f>+'ACADEMIC SUPP 4yr'!T23+'STU SERVICES 4yr'!T23+'INST SUPPORT 4yr'!T23</f>
        <v>954394.52099999995</v>
      </c>
      <c r="U23" s="48">
        <f>+'ACADEMIC SUPP 4yr'!U23+'STU SERVICES 4yr'!U23+'INST SUPPORT 4yr'!U23</f>
        <v>994739.87700000009</v>
      </c>
      <c r="V23" s="48">
        <f>+'ACADEMIC SUPP 4yr'!V23+'STU SERVICES 4yr'!V23+'INST SUPPORT 4yr'!V23</f>
        <v>1118719.5419999999</v>
      </c>
      <c r="W23" s="48">
        <f>+'ACADEMIC SUPP 4yr'!W23+'STU SERVICES 4yr'!W23+'INST SUPPORT 4yr'!W23</f>
        <v>1167070.642</v>
      </c>
      <c r="X23" s="48">
        <f>+'ACADEMIC SUPP 4yr'!X23+'STU SERVICES 4yr'!X23+'INST SUPPORT 4yr'!X23</f>
        <v>1213831.4850000001</v>
      </c>
      <c r="Y23" s="48">
        <f>+'ACADEMIC SUPP 4yr'!Y23+'STU SERVICES 4yr'!Y23+'INST SUPPORT 4yr'!Y23</f>
        <v>1272501.844</v>
      </c>
      <c r="Z23" s="48">
        <f>+'ACADEMIC SUPP 4yr'!Z23+'STU SERVICES 4yr'!Z23+'INST SUPPORT 4yr'!Z23</f>
        <v>1346914.5730000001</v>
      </c>
      <c r="AA23" s="48">
        <f>+'ACADEMIC SUPP 4yr'!AA23+'STU SERVICES 4yr'!AA23+'INST SUPPORT 4yr'!AA23</f>
        <v>1421705.2689999999</v>
      </c>
      <c r="AB23" s="48">
        <f>+'ACADEMIC SUPP 4yr'!AB23+'STU SERVICES 4yr'!AB23+'INST SUPPORT 4yr'!AB23</f>
        <v>1492206.3020000001</v>
      </c>
      <c r="AC23" s="48">
        <f>+'ACADEMIC SUPP 4yr'!AC23+'STU SERVICES 4yr'!AC23+'INST SUPPORT 4yr'!AC23</f>
        <v>1595776.3489999999</v>
      </c>
    </row>
    <row r="24" spans="1:29">
      <c r="A24" s="24" t="s">
        <v>17</v>
      </c>
      <c r="B24" s="50">
        <f>+'ACADEMIC SUPP 4yr'!B24+'STU SERVICES 4yr'!B24+'INST SUPPORT 4yr'!B24</f>
        <v>68950</v>
      </c>
      <c r="C24" s="50">
        <f>+'ACADEMIC SUPP 4yr'!C24+'STU SERVICES 4yr'!C24+'INST SUPPORT 4yr'!C24</f>
        <v>74924</v>
      </c>
      <c r="D24" s="50">
        <f>+'ACADEMIC SUPP 4yr'!D24+'STU SERVICES 4yr'!D24+'INST SUPPORT 4yr'!D24</f>
        <v>82619</v>
      </c>
      <c r="E24" s="50">
        <f>+'ACADEMIC SUPP 4yr'!E24+'STU SERVICES 4yr'!E24+'INST SUPPORT 4yr'!E24</f>
        <v>107555.772</v>
      </c>
      <c r="F24" s="50">
        <f>+'ACADEMIC SUPP 4yr'!F24+'STU SERVICES 4yr'!F24+'INST SUPPORT 4yr'!F24</f>
        <v>107088.06299999999</v>
      </c>
      <c r="G24" s="50">
        <f>+'ACADEMIC SUPP 4yr'!G24+'STU SERVICES 4yr'!G24+'INST SUPPORT 4yr'!G24</f>
        <v>116767.291</v>
      </c>
      <c r="H24" s="50">
        <f>+'ACADEMIC SUPP 4yr'!H24+'STU SERVICES 4yr'!H24+'INST SUPPORT 4yr'!H24</f>
        <v>128734.49599999998</v>
      </c>
      <c r="I24" s="50">
        <f>+'ACADEMIC SUPP 4yr'!I24+'STU SERVICES 4yr'!I24+'INST SUPPORT 4yr'!I24</f>
        <v>132033.891</v>
      </c>
      <c r="J24" s="50">
        <f>+'ACADEMIC SUPP 4yr'!J24+'STU SERVICES 4yr'!J24+'INST SUPPORT 4yr'!J24</f>
        <v>143134.598</v>
      </c>
      <c r="K24" s="50">
        <f>+'ACADEMIC SUPP 4yr'!K24+'STU SERVICES 4yr'!K24+'INST SUPPORT 4yr'!K24</f>
        <v>151251.01938000001</v>
      </c>
      <c r="L24" s="50">
        <f>+'ACADEMIC SUPP 4yr'!L24+'STU SERVICES 4yr'!L24+'INST SUPPORT 4yr'!L24</f>
        <v>182537.39900000003</v>
      </c>
      <c r="M24" s="50">
        <f>+'ACADEMIC SUPP 4yr'!M24+'STU SERVICES 4yr'!M24+'INST SUPPORT 4yr'!M24</f>
        <v>192443.842</v>
      </c>
      <c r="N24" s="50">
        <f>+'ACADEMIC SUPP 4yr'!N24+'STU SERVICES 4yr'!N24+'INST SUPPORT 4yr'!N24</f>
        <v>191797.83199999999</v>
      </c>
      <c r="O24" s="50">
        <f>+'ACADEMIC SUPP 4yr'!O24+'STU SERVICES 4yr'!O24+'INST SUPPORT 4yr'!O24</f>
        <v>210470.15600000002</v>
      </c>
      <c r="P24" s="50">
        <f>+'ACADEMIC SUPP 4yr'!P24+'STU SERVICES 4yr'!P24+'INST SUPPORT 4yr'!P24</f>
        <v>202856.03</v>
      </c>
      <c r="Q24" s="50">
        <f>+'ACADEMIC SUPP 4yr'!Q24+'STU SERVICES 4yr'!Q24+'INST SUPPORT 4yr'!Q24</f>
        <v>208214.38199999998</v>
      </c>
      <c r="R24" s="50">
        <f>+'ACADEMIC SUPP 4yr'!R24+'STU SERVICES 4yr'!R24+'INST SUPPORT 4yr'!R24</f>
        <v>236824.57800000001</v>
      </c>
      <c r="S24" s="50">
        <f>+'ACADEMIC SUPP 4yr'!S24+'STU SERVICES 4yr'!S24+'INST SUPPORT 4yr'!S24</f>
        <v>252370.43</v>
      </c>
      <c r="T24" s="50">
        <f>+'ACADEMIC SUPP 4yr'!T24+'STU SERVICES 4yr'!T24+'INST SUPPORT 4yr'!T24</f>
        <v>268771.98100000003</v>
      </c>
      <c r="U24" s="50">
        <f>+'ACADEMIC SUPP 4yr'!U24+'STU SERVICES 4yr'!U24+'INST SUPPORT 4yr'!U24</f>
        <v>275705.65599999996</v>
      </c>
      <c r="V24" s="50">
        <f>+'ACADEMIC SUPP 4yr'!V24+'STU SERVICES 4yr'!V24+'INST SUPPORT 4yr'!V24</f>
        <v>339632.61100000003</v>
      </c>
      <c r="W24" s="50">
        <f>+'ACADEMIC SUPP 4yr'!W24+'STU SERVICES 4yr'!W24+'INST SUPPORT 4yr'!W24</f>
        <v>373294.66799999995</v>
      </c>
      <c r="X24" s="50">
        <f>+'ACADEMIC SUPP 4yr'!X24+'STU SERVICES 4yr'!X24+'INST SUPPORT 4yr'!X24</f>
        <v>395397.62300000002</v>
      </c>
      <c r="Y24" s="50">
        <f>+'ACADEMIC SUPP 4yr'!Y24+'STU SERVICES 4yr'!Y24+'INST SUPPORT 4yr'!Y24</f>
        <v>383838.21100000001</v>
      </c>
      <c r="Z24" s="50">
        <f>+'ACADEMIC SUPP 4yr'!Z24+'STU SERVICES 4yr'!Z24+'INST SUPPORT 4yr'!Z24</f>
        <v>384267.98800000001</v>
      </c>
      <c r="AA24" s="50">
        <f>+'ACADEMIC SUPP 4yr'!AA24+'STU SERVICES 4yr'!AA24+'INST SUPPORT 4yr'!AA24</f>
        <v>408552.53200000001</v>
      </c>
      <c r="AB24" s="50">
        <f>+'ACADEMIC SUPP 4yr'!AB24+'STU SERVICES 4yr'!AB24+'INST SUPPORT 4yr'!AB24</f>
        <v>378520.69</v>
      </c>
      <c r="AC24" s="50">
        <f>+'ACADEMIC SUPP 4yr'!AC24+'STU SERVICES 4yr'!AC24+'INST SUPPORT 4yr'!AC24</f>
        <v>387927.31</v>
      </c>
    </row>
    <row r="25" spans="1:29">
      <c r="A25" s="7" t="s">
        <v>120</v>
      </c>
      <c r="B25" s="48">
        <f>+'ACADEMIC SUPP 4yr'!B25+'STU SERVICES 4yr'!B25+'INST SUPPORT 4yr'!B25</f>
        <v>0</v>
      </c>
      <c r="C25" s="48">
        <f>+'ACADEMIC SUPP 4yr'!C25+'STU SERVICES 4yr'!C25+'INST SUPPORT 4yr'!C25</f>
        <v>0</v>
      </c>
      <c r="D25" s="48">
        <f>+'ACADEMIC SUPP 4yr'!D25+'STU SERVICES 4yr'!D25+'INST SUPPORT 4yr'!D25</f>
        <v>0</v>
      </c>
      <c r="E25" s="48">
        <f>+'ACADEMIC SUPP 4yr'!E25+'STU SERVICES 4yr'!E25+'INST SUPPORT 4yr'!E25</f>
        <v>0</v>
      </c>
      <c r="F25" s="48">
        <f>+'ACADEMIC SUPP 4yr'!F25+'STU SERVICES 4yr'!F25+'INST SUPPORT 4yr'!F25</f>
        <v>3433351.2309999997</v>
      </c>
      <c r="G25" s="48">
        <f>+'ACADEMIC SUPP 4yr'!G25+'STU SERVICES 4yr'!G25+'INST SUPPORT 4yr'!G25</f>
        <v>0</v>
      </c>
      <c r="H25" s="48">
        <f>+'ACADEMIC SUPP 4yr'!H25+'STU SERVICES 4yr'!H25+'INST SUPPORT 4yr'!H25</f>
        <v>0</v>
      </c>
      <c r="I25" s="48">
        <f>+'ACADEMIC SUPP 4yr'!I25+'STU SERVICES 4yr'!I25+'INST SUPPORT 4yr'!I25</f>
        <v>3979450.8369999994</v>
      </c>
      <c r="J25" s="48">
        <f>+'ACADEMIC SUPP 4yr'!J25+'STU SERVICES 4yr'!J25+'INST SUPPORT 4yr'!J25</f>
        <v>0</v>
      </c>
      <c r="K25" s="48">
        <f>+'ACADEMIC SUPP 4yr'!K25+'STU SERVICES 4yr'!K25+'INST SUPPORT 4yr'!K25</f>
        <v>4798753.7239999995</v>
      </c>
      <c r="L25" s="48">
        <f>+'ACADEMIC SUPP 4yr'!L25+'STU SERVICES 4yr'!L25+'INST SUPPORT 4yr'!L25</f>
        <v>5509974.8229999989</v>
      </c>
      <c r="M25" s="48">
        <f>+'ACADEMIC SUPP 4yr'!M25+'STU SERVICES 4yr'!M25+'INST SUPPORT 4yr'!M25</f>
        <v>5910719.0789999999</v>
      </c>
      <c r="N25" s="48">
        <f>+'ACADEMIC SUPP 4yr'!N25+'STU SERVICES 4yr'!N25+'INST SUPPORT 4yr'!N25</f>
        <v>5828009.7280000001</v>
      </c>
      <c r="O25" s="48">
        <f>+'ACADEMIC SUPP 4yr'!O25+'STU SERVICES 4yr'!O25+'INST SUPPORT 4yr'!O25</f>
        <v>5996812.7259999998</v>
      </c>
      <c r="P25" s="48">
        <f>+'ACADEMIC SUPP 4yr'!P25+'STU SERVICES 4yr'!P25+'INST SUPPORT 4yr'!P25</f>
        <v>6171924.8829999994</v>
      </c>
      <c r="Q25" s="48">
        <f>+'ACADEMIC SUPP 4yr'!Q25+'STU SERVICES 4yr'!Q25+'INST SUPPORT 4yr'!Q25</f>
        <v>6442172.8169999998</v>
      </c>
      <c r="R25" s="48">
        <f>+'ACADEMIC SUPP 4yr'!R25+'STU SERVICES 4yr'!R25+'INST SUPPORT 4yr'!R25</f>
        <v>6838420.9809999997</v>
      </c>
      <c r="S25" s="48">
        <f>+'ACADEMIC SUPP 4yr'!S25+'STU SERVICES 4yr'!S25+'INST SUPPORT 4yr'!S25</f>
        <v>7465942.7769999988</v>
      </c>
      <c r="T25" s="48">
        <f>+'ACADEMIC SUPP 4yr'!T25+'STU SERVICES 4yr'!T25+'INST SUPPORT 4yr'!T25</f>
        <v>8716084.074000001</v>
      </c>
      <c r="U25" s="48">
        <f>+'ACADEMIC SUPP 4yr'!U25+'STU SERVICES 4yr'!U25+'INST SUPPORT 4yr'!U25</f>
        <v>8203403.8319999995</v>
      </c>
      <c r="V25" s="48">
        <f>+'ACADEMIC SUPP 4yr'!V25+'STU SERVICES 4yr'!V25+'INST SUPPORT 4yr'!V25</f>
        <v>9583845.6070000008</v>
      </c>
      <c r="W25" s="48">
        <f>+'ACADEMIC SUPP 4yr'!W25+'STU SERVICES 4yr'!W25+'INST SUPPORT 4yr'!W25</f>
        <v>10226858.290000001</v>
      </c>
      <c r="X25" s="48">
        <f>+'ACADEMIC SUPP 4yr'!X25+'STU SERVICES 4yr'!X25+'INST SUPPORT 4yr'!X25</f>
        <v>11132250.914000001</v>
      </c>
      <c r="Y25" s="48">
        <f>+'ACADEMIC SUPP 4yr'!Y25+'STU SERVICES 4yr'!Y25+'INST SUPPORT 4yr'!Y25</f>
        <v>11803052.436999997</v>
      </c>
      <c r="Z25" s="48">
        <f>+'ACADEMIC SUPP 4yr'!Z25+'STU SERVICES 4yr'!Z25+'INST SUPPORT 4yr'!Z25</f>
        <v>12672069.944999998</v>
      </c>
      <c r="AA25" s="48">
        <f>+'ACADEMIC SUPP 4yr'!AA25+'STU SERVICES 4yr'!AA25+'INST SUPPORT 4yr'!AA25</f>
        <v>13492906.645</v>
      </c>
      <c r="AB25" s="48">
        <f>+'ACADEMIC SUPP 4yr'!AB25+'STU SERVICES 4yr'!AB25+'INST SUPPORT 4yr'!AB25</f>
        <v>15004597.623999998</v>
      </c>
      <c r="AC25" s="48">
        <f>+'ACADEMIC SUPP 4yr'!AC25+'STU SERVICES 4yr'!AC25+'INST SUPPORT 4yr'!AC25</f>
        <v>15303167.342999998</v>
      </c>
    </row>
    <row r="26" spans="1:29">
      <c r="A26" s="7" t="s">
        <v>119</v>
      </c>
      <c r="B26" s="48">
        <f>+'ACADEMIC SUPP 4yr'!B26+'STU SERVICES 4yr'!B26+'INST SUPPORT 4yr'!B26</f>
        <v>0</v>
      </c>
      <c r="C26" s="48">
        <f>+'ACADEMIC SUPP 4yr'!C26+'STU SERVICES 4yr'!C26+'INST SUPPORT 4yr'!C26</f>
        <v>0</v>
      </c>
      <c r="D26" s="48">
        <f>+'ACADEMIC SUPP 4yr'!D26+'STU SERVICES 4yr'!D26+'INST SUPPORT 4yr'!D26</f>
        <v>0</v>
      </c>
      <c r="E26" s="48">
        <f>+'ACADEMIC SUPP 4yr'!E26+'STU SERVICES 4yr'!E26+'INST SUPPORT 4yr'!E26</f>
        <v>0</v>
      </c>
      <c r="F26" s="48">
        <f>+'ACADEMIC SUPP 4yr'!F26+'STU SERVICES 4yr'!F26+'INST SUPPORT 4yr'!F26</f>
        <v>0</v>
      </c>
      <c r="G26" s="48">
        <f>+'ACADEMIC SUPP 4yr'!G26+'STU SERVICES 4yr'!G26+'INST SUPPORT 4yr'!G26</f>
        <v>0</v>
      </c>
      <c r="H26" s="48">
        <f>+'ACADEMIC SUPP 4yr'!H26+'STU SERVICES 4yr'!H26+'INST SUPPORT 4yr'!H26</f>
        <v>0</v>
      </c>
      <c r="I26" s="48">
        <f>+'ACADEMIC SUPP 4yr'!I26+'STU SERVICES 4yr'!I26+'INST SUPPORT 4yr'!I26</f>
        <v>0</v>
      </c>
      <c r="J26" s="48">
        <f>+'ACADEMIC SUPP 4yr'!J26+'STU SERVICES 4yr'!J26+'INST SUPPORT 4yr'!J26</f>
        <v>0</v>
      </c>
      <c r="K26" s="48">
        <f>+'ACADEMIC SUPP 4yr'!K26+'STU SERVICES 4yr'!K26+'INST SUPPORT 4yr'!K26</f>
        <v>0</v>
      </c>
      <c r="L26" s="48">
        <f>+'ACADEMIC SUPP 4yr'!L26+'STU SERVICES 4yr'!L26+'INST SUPPORT 4yr'!L26</f>
        <v>0</v>
      </c>
      <c r="M26" s="48">
        <f>+'ACADEMIC SUPP 4yr'!M26+'STU SERVICES 4yr'!M26+'INST SUPPORT 4yr'!M26</f>
        <v>0</v>
      </c>
      <c r="N26" s="48">
        <f>+'ACADEMIC SUPP 4yr'!N26+'STU SERVICES 4yr'!N26+'INST SUPPORT 4yr'!N26</f>
        <v>0</v>
      </c>
      <c r="O26" s="48">
        <f>+'ACADEMIC SUPP 4yr'!O26+'STU SERVICES 4yr'!O26+'INST SUPPORT 4yr'!O26</f>
        <v>0</v>
      </c>
      <c r="P26" s="48">
        <f>+'ACADEMIC SUPP 4yr'!P26+'STU SERVICES 4yr'!P26+'INST SUPPORT 4yr'!P26</f>
        <v>0</v>
      </c>
      <c r="Q26" s="48">
        <f>+'ACADEMIC SUPP 4yr'!Q26+'STU SERVICES 4yr'!Q26+'INST SUPPORT 4yr'!Q26</f>
        <v>0</v>
      </c>
      <c r="R26" s="48">
        <f>+'ACADEMIC SUPP 4yr'!R26+'STU SERVICES 4yr'!R26+'INST SUPPORT 4yr'!R26</f>
        <v>0</v>
      </c>
      <c r="S26" s="48">
        <f>+'ACADEMIC SUPP 4yr'!S26+'STU SERVICES 4yr'!S26+'INST SUPPORT 4yr'!S26</f>
        <v>0</v>
      </c>
      <c r="T26" s="48">
        <f>+'ACADEMIC SUPP 4yr'!T26+'STU SERVICES 4yr'!T26+'INST SUPPORT 4yr'!T26</f>
        <v>0</v>
      </c>
      <c r="U26" s="48">
        <f>+'ACADEMIC SUPP 4yr'!U26+'STU SERVICES 4yr'!U26+'INST SUPPORT 4yr'!U26</f>
        <v>0</v>
      </c>
      <c r="V26" s="48">
        <f>+'ACADEMIC SUPP 4yr'!V26+'STU SERVICES 4yr'!V26+'INST SUPPORT 4yr'!V26</f>
        <v>0</v>
      </c>
      <c r="W26" s="48">
        <f>+'ACADEMIC SUPP 4yr'!W26+'STU SERVICES 4yr'!W26+'INST SUPPORT 4yr'!W26</f>
        <v>0</v>
      </c>
      <c r="X26" s="48">
        <f>+'ACADEMIC SUPP 4yr'!X26+'STU SERVICES 4yr'!X26+'INST SUPPORT 4yr'!X26</f>
        <v>0</v>
      </c>
      <c r="Y26" s="48"/>
      <c r="Z26" s="48"/>
      <c r="AA26" s="48"/>
      <c r="AB26" s="48"/>
      <c r="AC26" s="48"/>
    </row>
    <row r="27" spans="1:29">
      <c r="A27" s="1" t="s">
        <v>85</v>
      </c>
      <c r="B27" s="48">
        <f>+'ACADEMIC SUPP 4yr'!B27+'STU SERVICES 4yr'!B27+'INST SUPPORT 4yr'!B27</f>
        <v>0</v>
      </c>
      <c r="C27" s="48">
        <f>+'ACADEMIC SUPP 4yr'!C27+'STU SERVICES 4yr'!C27+'INST SUPPORT 4yr'!C27</f>
        <v>0</v>
      </c>
      <c r="D27" s="48">
        <f>+'ACADEMIC SUPP 4yr'!D27+'STU SERVICES 4yr'!D27+'INST SUPPORT 4yr'!D27</f>
        <v>0</v>
      </c>
      <c r="E27" s="48">
        <f>+'ACADEMIC SUPP 4yr'!E27+'STU SERVICES 4yr'!E27+'INST SUPPORT 4yr'!E27</f>
        <v>0</v>
      </c>
      <c r="F27" s="48">
        <f>+'ACADEMIC SUPP 4yr'!F27+'STU SERVICES 4yr'!F27+'INST SUPPORT 4yr'!F27</f>
        <v>61818.926999999996</v>
      </c>
      <c r="G27" s="48">
        <f>+'ACADEMIC SUPP 4yr'!G27+'STU SERVICES 4yr'!G27+'INST SUPPORT 4yr'!G27</f>
        <v>0</v>
      </c>
      <c r="H27" s="48">
        <f>+'ACADEMIC SUPP 4yr'!H27+'STU SERVICES 4yr'!H27+'INST SUPPORT 4yr'!H27</f>
        <v>0</v>
      </c>
      <c r="I27" s="48">
        <f>+'ACADEMIC SUPP 4yr'!I27+'STU SERVICES 4yr'!I27+'INST SUPPORT 4yr'!I27</f>
        <v>73245.406000000003</v>
      </c>
      <c r="J27" s="48">
        <f>+'ACADEMIC SUPP 4yr'!J27+'STU SERVICES 4yr'!J27+'INST SUPPORT 4yr'!J27</f>
        <v>0</v>
      </c>
      <c r="K27" s="48">
        <f>+'ACADEMIC SUPP 4yr'!K27+'STU SERVICES 4yr'!K27+'INST SUPPORT 4yr'!K27</f>
        <v>95379.818999999989</v>
      </c>
      <c r="L27" s="48">
        <f>+'ACADEMIC SUPP 4yr'!L27+'STU SERVICES 4yr'!L27+'INST SUPPORT 4yr'!L27</f>
        <v>77461.706000000006</v>
      </c>
      <c r="M27" s="48">
        <f>+'ACADEMIC SUPP 4yr'!M27+'STU SERVICES 4yr'!M27+'INST SUPPORT 4yr'!M27</f>
        <v>83898.042000000001</v>
      </c>
      <c r="N27" s="48">
        <f>+'ACADEMIC SUPP 4yr'!N27+'STU SERVICES 4yr'!N27+'INST SUPPORT 4yr'!N27</f>
        <v>89671.206999999995</v>
      </c>
      <c r="O27" s="48">
        <f>+'ACADEMIC SUPP 4yr'!O27+'STU SERVICES 4yr'!O27+'INST SUPPORT 4yr'!O27</f>
        <v>94972.918000000005</v>
      </c>
      <c r="P27" s="48">
        <f>+'ACADEMIC SUPP 4yr'!P27+'STU SERVICES 4yr'!P27+'INST SUPPORT 4yr'!P27</f>
        <v>101456.246</v>
      </c>
      <c r="Q27" s="48">
        <f>+'ACADEMIC SUPP 4yr'!Q27+'STU SERVICES 4yr'!Q27+'INST SUPPORT 4yr'!Q27</f>
        <v>111289.038</v>
      </c>
      <c r="R27" s="48">
        <f>+'ACADEMIC SUPP 4yr'!R27+'STU SERVICES 4yr'!R27+'INST SUPPORT 4yr'!R27</f>
        <v>120691.10399999999</v>
      </c>
      <c r="S27" s="48">
        <f>+'ACADEMIC SUPP 4yr'!S27+'STU SERVICES 4yr'!S27+'INST SUPPORT 4yr'!S27</f>
        <v>135643.326</v>
      </c>
      <c r="T27" s="48">
        <f>+'ACADEMIC SUPP 4yr'!T27+'STU SERVICES 4yr'!T27+'INST SUPPORT 4yr'!T27</f>
        <v>143636.48200000002</v>
      </c>
      <c r="U27" s="48">
        <f>+'ACADEMIC SUPP 4yr'!U27+'STU SERVICES 4yr'!U27+'INST SUPPORT 4yr'!U27</f>
        <v>186907.69699999999</v>
      </c>
      <c r="V27" s="48">
        <f>+'ACADEMIC SUPP 4yr'!V27+'STU SERVICES 4yr'!V27+'INST SUPPORT 4yr'!V27</f>
        <v>190965.63800000001</v>
      </c>
      <c r="W27" s="48">
        <f>+'ACADEMIC SUPP 4yr'!W27+'STU SERVICES 4yr'!W27+'INST SUPPORT 4yr'!W27</f>
        <v>196279.02000000002</v>
      </c>
      <c r="X27" s="48">
        <f>+'ACADEMIC SUPP 4yr'!X27+'STU SERVICES 4yr'!X27+'INST SUPPORT 4yr'!X27</f>
        <v>208127.29300000001</v>
      </c>
      <c r="Y27" s="48">
        <f>+'ACADEMIC SUPP 4yr'!Y27+'STU SERVICES 4yr'!Y27+'INST SUPPORT 4yr'!Y27</f>
        <v>214525.81300000002</v>
      </c>
      <c r="Z27" s="48">
        <f>+'ACADEMIC SUPP 4yr'!Z27+'STU SERVICES 4yr'!Z27+'INST SUPPORT 4yr'!Z27</f>
        <v>222297.929</v>
      </c>
      <c r="AA27" s="48">
        <f>+'ACADEMIC SUPP 4yr'!AA27+'STU SERVICES 4yr'!AA27+'INST SUPPORT 4yr'!AA27</f>
        <v>222453.18799999999</v>
      </c>
      <c r="AB27" s="48">
        <f>+'ACADEMIC SUPP 4yr'!AB27+'STU SERVICES 4yr'!AB27+'INST SUPPORT 4yr'!AB27</f>
        <v>229186.93400000001</v>
      </c>
      <c r="AC27" s="48">
        <f>+'ACADEMIC SUPP 4yr'!AC27+'STU SERVICES 4yr'!AC27+'INST SUPPORT 4yr'!AC27</f>
        <v>219059.76300000001</v>
      </c>
    </row>
    <row r="28" spans="1:29">
      <c r="A28" s="1" t="s">
        <v>86</v>
      </c>
      <c r="B28" s="48">
        <f>+'ACADEMIC SUPP 4yr'!B28+'STU SERVICES 4yr'!B28+'INST SUPPORT 4yr'!B28</f>
        <v>0</v>
      </c>
      <c r="C28" s="48">
        <f>+'ACADEMIC SUPP 4yr'!C28+'STU SERVICES 4yr'!C28+'INST SUPPORT 4yr'!C28</f>
        <v>0</v>
      </c>
      <c r="D28" s="48">
        <f>+'ACADEMIC SUPP 4yr'!D28+'STU SERVICES 4yr'!D28+'INST SUPPORT 4yr'!D28</f>
        <v>0</v>
      </c>
      <c r="E28" s="48">
        <f>+'ACADEMIC SUPP 4yr'!E28+'STU SERVICES 4yr'!E28+'INST SUPPORT 4yr'!E28</f>
        <v>0</v>
      </c>
      <c r="F28" s="48">
        <f>+'ACADEMIC SUPP 4yr'!F28+'STU SERVICES 4yr'!F28+'INST SUPPORT 4yr'!F28</f>
        <v>255143.18400000001</v>
      </c>
      <c r="G28" s="48">
        <f>+'ACADEMIC SUPP 4yr'!G28+'STU SERVICES 4yr'!G28+'INST SUPPORT 4yr'!G28</f>
        <v>0</v>
      </c>
      <c r="H28" s="48">
        <f>+'ACADEMIC SUPP 4yr'!H28+'STU SERVICES 4yr'!H28+'INST SUPPORT 4yr'!H28</f>
        <v>0</v>
      </c>
      <c r="I28" s="48">
        <f>+'ACADEMIC SUPP 4yr'!I28+'STU SERVICES 4yr'!I28+'INST SUPPORT 4yr'!I28</f>
        <v>285647.77799999999</v>
      </c>
      <c r="J28" s="48">
        <f>+'ACADEMIC SUPP 4yr'!J28+'STU SERVICES 4yr'!J28+'INST SUPPORT 4yr'!J28</f>
        <v>0</v>
      </c>
      <c r="K28" s="48">
        <f>+'ACADEMIC SUPP 4yr'!K28+'STU SERVICES 4yr'!K28+'INST SUPPORT 4yr'!K28</f>
        <v>325883.73800000001</v>
      </c>
      <c r="L28" s="48">
        <f>+'ACADEMIC SUPP 4yr'!L28+'STU SERVICES 4yr'!L28+'INST SUPPORT 4yr'!L28</f>
        <v>382430.20000000007</v>
      </c>
      <c r="M28" s="48">
        <f>+'ACADEMIC SUPP 4yr'!M28+'STU SERVICES 4yr'!M28+'INST SUPPORT 4yr'!M28</f>
        <v>412144.74</v>
      </c>
      <c r="N28" s="48">
        <f>+'ACADEMIC SUPP 4yr'!N28+'STU SERVICES 4yr'!N28+'INST SUPPORT 4yr'!N28</f>
        <v>386553.14199999999</v>
      </c>
      <c r="O28" s="48">
        <f>+'ACADEMIC SUPP 4yr'!O28+'STU SERVICES 4yr'!O28+'INST SUPPORT 4yr'!O28</f>
        <v>394271.53399999999</v>
      </c>
      <c r="P28" s="48">
        <f>+'ACADEMIC SUPP 4yr'!P28+'STU SERVICES 4yr'!P28+'INST SUPPORT 4yr'!P28</f>
        <v>435082.95300000004</v>
      </c>
      <c r="Q28" s="48">
        <f>+'ACADEMIC SUPP 4yr'!Q28+'STU SERVICES 4yr'!Q28+'INST SUPPORT 4yr'!Q28</f>
        <v>487679.42000000004</v>
      </c>
      <c r="R28" s="48">
        <f>+'ACADEMIC SUPP 4yr'!R28+'STU SERVICES 4yr'!R28+'INST SUPPORT 4yr'!R28</f>
        <v>553397.03200000001</v>
      </c>
      <c r="S28" s="48">
        <f>+'ACADEMIC SUPP 4yr'!S28+'STU SERVICES 4yr'!S28+'INST SUPPORT 4yr'!S28</f>
        <v>596388.51800000004</v>
      </c>
      <c r="T28" s="48">
        <f>+'ACADEMIC SUPP 4yr'!T28+'STU SERVICES 4yr'!T28+'INST SUPPORT 4yr'!T28</f>
        <v>661771.07299999997</v>
      </c>
      <c r="U28" s="48">
        <f>+'ACADEMIC SUPP 4yr'!U28+'STU SERVICES 4yr'!U28+'INST SUPPORT 4yr'!U28</f>
        <v>659872.29700000002</v>
      </c>
      <c r="V28" s="48">
        <f>+'ACADEMIC SUPP 4yr'!V28+'STU SERVICES 4yr'!V28+'INST SUPPORT 4yr'!V28</f>
        <v>768937.65800000005</v>
      </c>
      <c r="W28" s="48">
        <f>+'ACADEMIC SUPP 4yr'!W28+'STU SERVICES 4yr'!W28+'INST SUPPORT 4yr'!W28</f>
        <v>839301.84199999995</v>
      </c>
      <c r="X28" s="48">
        <f>+'ACADEMIC SUPP 4yr'!X28+'STU SERVICES 4yr'!X28+'INST SUPPORT 4yr'!X28</f>
        <v>904394.85800000001</v>
      </c>
      <c r="Y28" s="48">
        <f>+'ACADEMIC SUPP 4yr'!Y28+'STU SERVICES 4yr'!Y28+'INST SUPPORT 4yr'!Y28</f>
        <v>971120.8060000001</v>
      </c>
      <c r="Z28" s="48">
        <f>+'ACADEMIC SUPP 4yr'!Z28+'STU SERVICES 4yr'!Z28+'INST SUPPORT 4yr'!Z28</f>
        <v>1085812.389</v>
      </c>
      <c r="AA28" s="48">
        <f>+'ACADEMIC SUPP 4yr'!AA28+'STU SERVICES 4yr'!AA28+'INST SUPPORT 4yr'!AA28</f>
        <v>1241064.959</v>
      </c>
      <c r="AB28" s="48">
        <f>+'ACADEMIC SUPP 4yr'!AB28+'STU SERVICES 4yr'!AB28+'INST SUPPORT 4yr'!AB28</f>
        <v>1284026.6880000001</v>
      </c>
      <c r="AC28" s="48">
        <f>+'ACADEMIC SUPP 4yr'!AC28+'STU SERVICES 4yr'!AC28+'INST SUPPORT 4yr'!AC28</f>
        <v>1324753.9449999998</v>
      </c>
    </row>
    <row r="29" spans="1:29">
      <c r="A29" s="1" t="s">
        <v>87</v>
      </c>
      <c r="B29" s="48">
        <f>+'ACADEMIC SUPP 4yr'!B29+'STU SERVICES 4yr'!B29+'INST SUPPORT 4yr'!B29</f>
        <v>0</v>
      </c>
      <c r="C29" s="48">
        <f>+'ACADEMIC SUPP 4yr'!C29+'STU SERVICES 4yr'!C29+'INST SUPPORT 4yr'!C29</f>
        <v>0</v>
      </c>
      <c r="D29" s="48">
        <f>+'ACADEMIC SUPP 4yr'!D29+'STU SERVICES 4yr'!D29+'INST SUPPORT 4yr'!D29</f>
        <v>0</v>
      </c>
      <c r="E29" s="48">
        <f>+'ACADEMIC SUPP 4yr'!E29+'STU SERVICES 4yr'!E29+'INST SUPPORT 4yr'!E29</f>
        <v>0</v>
      </c>
      <c r="F29" s="48">
        <f>+'ACADEMIC SUPP 4yr'!F29+'STU SERVICES 4yr'!F29+'INST SUPPORT 4yr'!F29</f>
        <v>1853741.4350000001</v>
      </c>
      <c r="G29" s="48">
        <f>+'ACADEMIC SUPP 4yr'!G29+'STU SERVICES 4yr'!G29+'INST SUPPORT 4yr'!G29</f>
        <v>0</v>
      </c>
      <c r="H29" s="48">
        <f>+'ACADEMIC SUPP 4yr'!H29+'STU SERVICES 4yr'!H29+'INST SUPPORT 4yr'!H29</f>
        <v>0</v>
      </c>
      <c r="I29" s="48">
        <f>+'ACADEMIC SUPP 4yr'!I29+'STU SERVICES 4yr'!I29+'INST SUPPORT 4yr'!I29</f>
        <v>2132199.7379999999</v>
      </c>
      <c r="J29" s="48">
        <f>+'ACADEMIC SUPP 4yr'!J29+'STU SERVICES 4yr'!J29+'INST SUPPORT 4yr'!J29</f>
        <v>0</v>
      </c>
      <c r="K29" s="48">
        <f>+'ACADEMIC SUPP 4yr'!K29+'STU SERVICES 4yr'!K29+'INST SUPPORT 4yr'!K29</f>
        <v>2602552.7379999999</v>
      </c>
      <c r="L29" s="48">
        <f>+'ACADEMIC SUPP 4yr'!L29+'STU SERVICES 4yr'!L29+'INST SUPPORT 4yr'!L29</f>
        <v>3071184.8</v>
      </c>
      <c r="M29" s="48">
        <f>+'ACADEMIC SUPP 4yr'!M29+'STU SERVICES 4yr'!M29+'INST SUPPORT 4yr'!M29</f>
        <v>3288758.9439999997</v>
      </c>
      <c r="N29" s="48">
        <f>+'ACADEMIC SUPP 4yr'!N29+'STU SERVICES 4yr'!N29+'INST SUPPORT 4yr'!N29</f>
        <v>3133165.8049999997</v>
      </c>
      <c r="O29" s="48">
        <f>+'ACADEMIC SUPP 4yr'!O29+'STU SERVICES 4yr'!O29+'INST SUPPORT 4yr'!O29</f>
        <v>3301377.1260000002</v>
      </c>
      <c r="P29" s="48">
        <f>+'ACADEMIC SUPP 4yr'!P29+'STU SERVICES 4yr'!P29+'INST SUPPORT 4yr'!P29</f>
        <v>3346474.0530000003</v>
      </c>
      <c r="Q29" s="48">
        <f>+'ACADEMIC SUPP 4yr'!Q29+'STU SERVICES 4yr'!Q29+'INST SUPPORT 4yr'!Q29</f>
        <v>3231187.4570000004</v>
      </c>
      <c r="R29" s="48">
        <f>+'ACADEMIC SUPP 4yr'!R29+'STU SERVICES 4yr'!R29+'INST SUPPORT 4yr'!R29</f>
        <v>3519522.2179999999</v>
      </c>
      <c r="S29" s="48">
        <f>+'ACADEMIC SUPP 4yr'!S29+'STU SERVICES 4yr'!S29+'INST SUPPORT 4yr'!S29</f>
        <v>3823951.9970000004</v>
      </c>
      <c r="T29" s="48">
        <f>+'ACADEMIC SUPP 4yr'!T29+'STU SERVICES 4yr'!T29+'INST SUPPORT 4yr'!T29</f>
        <v>4565751.6579999998</v>
      </c>
      <c r="U29" s="48">
        <f>+'ACADEMIC SUPP 4yr'!U29+'STU SERVICES 4yr'!U29+'INST SUPPORT 4yr'!U29</f>
        <v>4288960.4800000004</v>
      </c>
      <c r="V29" s="48">
        <f>+'ACADEMIC SUPP 4yr'!V29+'STU SERVICES 4yr'!V29+'INST SUPPORT 4yr'!V29</f>
        <v>4923909.7690000003</v>
      </c>
      <c r="W29" s="48">
        <f>+'ACADEMIC SUPP 4yr'!W29+'STU SERVICES 4yr'!W29+'INST SUPPORT 4yr'!W29</f>
        <v>5372171.608</v>
      </c>
      <c r="X29" s="48">
        <f>+'ACADEMIC SUPP 4yr'!X29+'STU SERVICES 4yr'!X29+'INST SUPPORT 4yr'!X29</f>
        <v>5942457.6799999997</v>
      </c>
      <c r="Y29" s="48">
        <f>+'ACADEMIC SUPP 4yr'!Y29+'STU SERVICES 4yr'!Y29+'INST SUPPORT 4yr'!Y29</f>
        <v>6281947.3159999996</v>
      </c>
      <c r="Z29" s="48">
        <f>+'ACADEMIC SUPP 4yr'!Z29+'STU SERVICES 4yr'!Z29+'INST SUPPORT 4yr'!Z29</f>
        <v>6708510.2309999997</v>
      </c>
      <c r="AA29" s="48">
        <f>+'ACADEMIC SUPP 4yr'!AA29+'STU SERVICES 4yr'!AA29+'INST SUPPORT 4yr'!AA29</f>
        <v>7109889.2939999998</v>
      </c>
      <c r="AB29" s="48">
        <f>+'ACADEMIC SUPP 4yr'!AB29+'STU SERVICES 4yr'!AB29+'INST SUPPORT 4yr'!AB29</f>
        <v>8037383.0460000001</v>
      </c>
      <c r="AC29" s="48">
        <f>+'ACADEMIC SUPP 4yr'!AC29+'STU SERVICES 4yr'!AC29+'INST SUPPORT 4yr'!AC29</f>
        <v>8079832.1429999992</v>
      </c>
    </row>
    <row r="30" spans="1:29">
      <c r="A30" s="1" t="s">
        <v>88</v>
      </c>
      <c r="B30" s="48">
        <f>+'ACADEMIC SUPP 4yr'!B30+'STU SERVICES 4yr'!B30+'INST SUPPORT 4yr'!B30</f>
        <v>0</v>
      </c>
      <c r="C30" s="48">
        <f>+'ACADEMIC SUPP 4yr'!C30+'STU SERVICES 4yr'!C30+'INST SUPPORT 4yr'!C30</f>
        <v>0</v>
      </c>
      <c r="D30" s="48">
        <f>+'ACADEMIC SUPP 4yr'!D30+'STU SERVICES 4yr'!D30+'INST SUPPORT 4yr'!D30</f>
        <v>0</v>
      </c>
      <c r="E30" s="48">
        <f>+'ACADEMIC SUPP 4yr'!E30+'STU SERVICES 4yr'!E30+'INST SUPPORT 4yr'!E30</f>
        <v>0</v>
      </c>
      <c r="F30" s="48">
        <f>+'ACADEMIC SUPP 4yr'!F30+'STU SERVICES 4yr'!F30+'INST SUPPORT 4yr'!F30</f>
        <v>276139.261</v>
      </c>
      <c r="G30" s="48">
        <f>+'ACADEMIC SUPP 4yr'!G30+'STU SERVICES 4yr'!G30+'INST SUPPORT 4yr'!G30</f>
        <v>0</v>
      </c>
      <c r="H30" s="48">
        <f>+'ACADEMIC SUPP 4yr'!H30+'STU SERVICES 4yr'!H30+'INST SUPPORT 4yr'!H30</f>
        <v>0</v>
      </c>
      <c r="I30" s="48">
        <f>+'ACADEMIC SUPP 4yr'!I30+'STU SERVICES 4yr'!I30+'INST SUPPORT 4yr'!I30</f>
        <v>315896.97899999999</v>
      </c>
      <c r="J30" s="48">
        <f>+'ACADEMIC SUPP 4yr'!J30+'STU SERVICES 4yr'!J30+'INST SUPPORT 4yr'!J30</f>
        <v>0</v>
      </c>
      <c r="K30" s="48">
        <f>+'ACADEMIC SUPP 4yr'!K30+'STU SERVICES 4yr'!K30+'INST SUPPORT 4yr'!K30</f>
        <v>358612.79858</v>
      </c>
      <c r="L30" s="48">
        <f>+'ACADEMIC SUPP 4yr'!L30+'STU SERVICES 4yr'!L30+'INST SUPPORT 4yr'!L30</f>
        <v>385047.25200000004</v>
      </c>
      <c r="M30" s="48">
        <f>+'ACADEMIC SUPP 4yr'!M30+'STU SERVICES 4yr'!M30+'INST SUPPORT 4yr'!M30</f>
        <v>412261.95800000004</v>
      </c>
      <c r="N30" s="48">
        <f>+'ACADEMIC SUPP 4yr'!N30+'STU SERVICES 4yr'!N30+'INST SUPPORT 4yr'!N30</f>
        <v>404645.76400000002</v>
      </c>
      <c r="O30" s="48">
        <f>+'ACADEMIC SUPP 4yr'!O30+'STU SERVICES 4yr'!O30+'INST SUPPORT 4yr'!O30</f>
        <v>400154.45900000003</v>
      </c>
      <c r="P30" s="48">
        <f>+'ACADEMIC SUPP 4yr'!P30+'STU SERVICES 4yr'!P30+'INST SUPPORT 4yr'!P30</f>
        <v>349025.03799999994</v>
      </c>
      <c r="Q30" s="48">
        <f>+'ACADEMIC SUPP 4yr'!Q30+'STU SERVICES 4yr'!Q30+'INST SUPPORT 4yr'!Q30</f>
        <v>540236.31499999994</v>
      </c>
      <c r="R30" s="48">
        <f>+'ACADEMIC SUPP 4yr'!R30+'STU SERVICES 4yr'!R30+'INST SUPPORT 4yr'!R30</f>
        <v>440105.65800000005</v>
      </c>
      <c r="S30" s="48">
        <f>+'ACADEMIC SUPP 4yr'!S30+'STU SERVICES 4yr'!S30+'INST SUPPORT 4yr'!S30</f>
        <v>455271.34699999995</v>
      </c>
      <c r="T30" s="48">
        <f>+'ACADEMIC SUPP 4yr'!T30+'STU SERVICES 4yr'!T30+'INST SUPPORT 4yr'!T30</f>
        <v>499290.92599999998</v>
      </c>
      <c r="U30" s="48">
        <f>+'ACADEMIC SUPP 4yr'!U30+'STU SERVICES 4yr'!U30+'INST SUPPORT 4yr'!U30</f>
        <v>515626.9</v>
      </c>
      <c r="V30" s="48">
        <f>+'ACADEMIC SUPP 4yr'!V30+'STU SERVICES 4yr'!V30+'INST SUPPORT 4yr'!V30</f>
        <v>610742.23300000001</v>
      </c>
      <c r="W30" s="48">
        <f>+'ACADEMIC SUPP 4yr'!W30+'STU SERVICES 4yr'!W30+'INST SUPPORT 4yr'!W30</f>
        <v>638409.9040000001</v>
      </c>
      <c r="X30" s="48">
        <f>+'ACADEMIC SUPP 4yr'!X30+'STU SERVICES 4yr'!X30+'INST SUPPORT 4yr'!X30</f>
        <v>728861.65299999993</v>
      </c>
      <c r="Y30" s="48">
        <f>+'ACADEMIC SUPP 4yr'!Y30+'STU SERVICES 4yr'!Y30+'INST SUPPORT 4yr'!Y30</f>
        <v>776388.70900000003</v>
      </c>
      <c r="Z30" s="48">
        <f>+'ACADEMIC SUPP 4yr'!Z30+'STU SERVICES 4yr'!Z30+'INST SUPPORT 4yr'!Z30</f>
        <v>862285.92700000003</v>
      </c>
      <c r="AA30" s="48">
        <f>+'ACADEMIC SUPP 4yr'!AA30+'STU SERVICES 4yr'!AA30+'INST SUPPORT 4yr'!AA30</f>
        <v>962051.08100000001</v>
      </c>
      <c r="AB30" s="48">
        <f>+'ACADEMIC SUPP 4yr'!AB30+'STU SERVICES 4yr'!AB30+'INST SUPPORT 4yr'!AB30</f>
        <v>1031207.9069999999</v>
      </c>
      <c r="AC30" s="48">
        <f>+'ACADEMIC SUPP 4yr'!AC30+'STU SERVICES 4yr'!AC30+'INST SUPPORT 4yr'!AC30</f>
        <v>1143936.1809999999</v>
      </c>
    </row>
    <row r="31" spans="1:29">
      <c r="A31" s="1" t="s">
        <v>91</v>
      </c>
      <c r="B31" s="48">
        <f>+'ACADEMIC SUPP 4yr'!B31+'STU SERVICES 4yr'!B31+'INST SUPPORT 4yr'!B31</f>
        <v>0</v>
      </c>
      <c r="C31" s="48">
        <f>+'ACADEMIC SUPP 4yr'!C31+'STU SERVICES 4yr'!C31+'INST SUPPORT 4yr'!C31</f>
        <v>0</v>
      </c>
      <c r="D31" s="48">
        <f>+'ACADEMIC SUPP 4yr'!D31+'STU SERVICES 4yr'!D31+'INST SUPPORT 4yr'!D31</f>
        <v>0</v>
      </c>
      <c r="E31" s="48">
        <f>+'ACADEMIC SUPP 4yr'!E31+'STU SERVICES 4yr'!E31+'INST SUPPORT 4yr'!E31</f>
        <v>0</v>
      </c>
      <c r="F31" s="48">
        <f>+'ACADEMIC SUPP 4yr'!F31+'STU SERVICES 4yr'!F31+'INST SUPPORT 4yr'!F31</f>
        <v>64665.823000000004</v>
      </c>
      <c r="G31" s="48">
        <f>+'ACADEMIC SUPP 4yr'!G31+'STU SERVICES 4yr'!G31+'INST SUPPORT 4yr'!G31</f>
        <v>0</v>
      </c>
      <c r="H31" s="48">
        <f>+'ACADEMIC SUPP 4yr'!H31+'STU SERVICES 4yr'!H31+'INST SUPPORT 4yr'!H31</f>
        <v>0</v>
      </c>
      <c r="I31" s="48">
        <f>+'ACADEMIC SUPP 4yr'!I31+'STU SERVICES 4yr'!I31+'INST SUPPORT 4yr'!I31</f>
        <v>70474.486999999994</v>
      </c>
      <c r="J31" s="48">
        <f>+'ACADEMIC SUPP 4yr'!J31+'STU SERVICES 4yr'!J31+'INST SUPPORT 4yr'!J31</f>
        <v>0</v>
      </c>
      <c r="K31" s="48">
        <f>+'ACADEMIC SUPP 4yr'!K31+'STU SERVICES 4yr'!K31+'INST SUPPORT 4yr'!K31</f>
        <v>111155.486</v>
      </c>
      <c r="L31" s="48">
        <f>+'ACADEMIC SUPP 4yr'!L31+'STU SERVICES 4yr'!L31+'INST SUPPORT 4yr'!L31</f>
        <v>73268.054000000004</v>
      </c>
      <c r="M31" s="48">
        <f>+'ACADEMIC SUPP 4yr'!M31+'STU SERVICES 4yr'!M31+'INST SUPPORT 4yr'!M31</f>
        <v>78950.823000000004</v>
      </c>
      <c r="N31" s="48">
        <f>+'ACADEMIC SUPP 4yr'!N31+'STU SERVICES 4yr'!N31+'INST SUPPORT 4yr'!N31</f>
        <v>77250.642999999996</v>
      </c>
      <c r="O31" s="48">
        <f>+'ACADEMIC SUPP 4yr'!O31+'STU SERVICES 4yr'!O31+'INST SUPPORT 4yr'!O31</f>
        <v>89629.448000000004</v>
      </c>
      <c r="P31" s="48">
        <f>+'ACADEMIC SUPP 4yr'!P31+'STU SERVICES 4yr'!P31+'INST SUPPORT 4yr'!P31</f>
        <v>96808.055999999997</v>
      </c>
      <c r="Q31" s="48">
        <f>+'ACADEMIC SUPP 4yr'!Q31+'STU SERVICES 4yr'!Q31+'INST SUPPORT 4yr'!Q31</f>
        <v>103652.22899999999</v>
      </c>
      <c r="R31" s="48">
        <f>+'ACADEMIC SUPP 4yr'!R31+'STU SERVICES 4yr'!R31+'INST SUPPORT 4yr'!R31</f>
        <v>115197.01400000001</v>
      </c>
      <c r="S31" s="48">
        <f>+'ACADEMIC SUPP 4yr'!S31+'STU SERVICES 4yr'!S31+'INST SUPPORT 4yr'!S31</f>
        <v>119822.06099999999</v>
      </c>
      <c r="T31" s="48">
        <f>+'ACADEMIC SUPP 4yr'!T31+'STU SERVICES 4yr'!T31+'INST SUPPORT 4yr'!T31</f>
        <v>140026.318</v>
      </c>
      <c r="U31" s="48">
        <f>+'ACADEMIC SUPP 4yr'!U31+'STU SERVICES 4yr'!U31+'INST SUPPORT 4yr'!U31</f>
        <v>151576.43600000002</v>
      </c>
      <c r="V31" s="48">
        <f>+'ACADEMIC SUPP 4yr'!V31+'STU SERVICES 4yr'!V31+'INST SUPPORT 4yr'!V31</f>
        <v>153157.42300000001</v>
      </c>
      <c r="W31" s="48">
        <f>+'ACADEMIC SUPP 4yr'!W31+'STU SERVICES 4yr'!W31+'INST SUPPORT 4yr'!W31</f>
        <v>178787.609</v>
      </c>
      <c r="X31" s="48">
        <f>+'ACADEMIC SUPP 4yr'!X31+'STU SERVICES 4yr'!X31+'INST SUPPORT 4yr'!X31</f>
        <v>192024.09599999999</v>
      </c>
      <c r="Y31" s="48">
        <f>+'ACADEMIC SUPP 4yr'!Y31+'STU SERVICES 4yr'!Y31+'INST SUPPORT 4yr'!Y31</f>
        <v>216757.467</v>
      </c>
      <c r="Z31" s="48">
        <f>+'ACADEMIC SUPP 4yr'!Z31+'STU SERVICES 4yr'!Z31+'INST SUPPORT 4yr'!Z31</f>
        <v>214253.76300000004</v>
      </c>
      <c r="AA31" s="48">
        <f>+'ACADEMIC SUPP 4yr'!AA31+'STU SERVICES 4yr'!AA31+'INST SUPPORT 4yr'!AA31</f>
        <v>176949.12299999999</v>
      </c>
      <c r="AB31" s="48">
        <f>+'ACADEMIC SUPP 4yr'!AB31+'STU SERVICES 4yr'!AB31+'INST SUPPORT 4yr'!AB31</f>
        <v>202867.76300000001</v>
      </c>
      <c r="AC31" s="48">
        <f>+'ACADEMIC SUPP 4yr'!AC31+'STU SERVICES 4yr'!AC31+'INST SUPPORT 4yr'!AC31</f>
        <v>206067.08500000002</v>
      </c>
    </row>
    <row r="32" spans="1:29">
      <c r="A32" s="1" t="s">
        <v>92</v>
      </c>
      <c r="B32" s="48">
        <f>+'ACADEMIC SUPP 4yr'!B32+'STU SERVICES 4yr'!B32+'INST SUPPORT 4yr'!B32</f>
        <v>0</v>
      </c>
      <c r="C32" s="48">
        <f>+'ACADEMIC SUPP 4yr'!C32+'STU SERVICES 4yr'!C32+'INST SUPPORT 4yr'!C32</f>
        <v>0</v>
      </c>
      <c r="D32" s="48">
        <f>+'ACADEMIC SUPP 4yr'!D32+'STU SERVICES 4yr'!D32+'INST SUPPORT 4yr'!D32</f>
        <v>0</v>
      </c>
      <c r="E32" s="48">
        <f>+'ACADEMIC SUPP 4yr'!E32+'STU SERVICES 4yr'!E32+'INST SUPPORT 4yr'!E32</f>
        <v>0</v>
      </c>
      <c r="F32" s="48">
        <f>+'ACADEMIC SUPP 4yr'!F32+'STU SERVICES 4yr'!F32+'INST SUPPORT 4yr'!F32</f>
        <v>64500.582999999999</v>
      </c>
      <c r="G32" s="48">
        <f>+'ACADEMIC SUPP 4yr'!G32+'STU SERVICES 4yr'!G32+'INST SUPPORT 4yr'!G32</f>
        <v>0</v>
      </c>
      <c r="H32" s="48">
        <f>+'ACADEMIC SUPP 4yr'!H32+'STU SERVICES 4yr'!H32+'INST SUPPORT 4yr'!H32</f>
        <v>0</v>
      </c>
      <c r="I32" s="48">
        <f>+'ACADEMIC SUPP 4yr'!I32+'STU SERVICES 4yr'!I32+'INST SUPPORT 4yr'!I32</f>
        <v>78937.925000000003</v>
      </c>
      <c r="J32" s="48">
        <f>+'ACADEMIC SUPP 4yr'!J32+'STU SERVICES 4yr'!J32+'INST SUPPORT 4yr'!J32</f>
        <v>0</v>
      </c>
      <c r="K32" s="48">
        <f>+'ACADEMIC SUPP 4yr'!K32+'STU SERVICES 4yr'!K32+'INST SUPPORT 4yr'!K32</f>
        <v>87402.838999999993</v>
      </c>
      <c r="L32" s="48">
        <f>+'ACADEMIC SUPP 4yr'!L32+'STU SERVICES 4yr'!L32+'INST SUPPORT 4yr'!L32</f>
        <v>110830.317</v>
      </c>
      <c r="M32" s="48">
        <f>+'ACADEMIC SUPP 4yr'!M32+'STU SERVICES 4yr'!M32+'INST SUPPORT 4yr'!M32</f>
        <v>118472.372</v>
      </c>
      <c r="N32" s="48">
        <f>+'ACADEMIC SUPP 4yr'!N32+'STU SERVICES 4yr'!N32+'INST SUPPORT 4yr'!N32</f>
        <v>125525.33</v>
      </c>
      <c r="O32" s="48">
        <f>+'ACADEMIC SUPP 4yr'!O32+'STU SERVICES 4yr'!O32+'INST SUPPORT 4yr'!O32</f>
        <v>126455.38699999999</v>
      </c>
      <c r="P32" s="48">
        <f>+'ACADEMIC SUPP 4yr'!P32+'STU SERVICES 4yr'!P32+'INST SUPPORT 4yr'!P32</f>
        <v>115370.54499999998</v>
      </c>
      <c r="Q32" s="48">
        <f>+'ACADEMIC SUPP 4yr'!Q32+'STU SERVICES 4yr'!Q32+'INST SUPPORT 4yr'!Q32</f>
        <v>119780.13399999999</v>
      </c>
      <c r="R32" s="48">
        <f>+'ACADEMIC SUPP 4yr'!R32+'STU SERVICES 4yr'!R32+'INST SUPPORT 4yr'!R32</f>
        <v>122806.357</v>
      </c>
      <c r="S32" s="48">
        <f>+'ACADEMIC SUPP 4yr'!S32+'STU SERVICES 4yr'!S32+'INST SUPPORT 4yr'!S32</f>
        <v>133488.88800000001</v>
      </c>
      <c r="T32" s="48">
        <f>+'ACADEMIC SUPP 4yr'!T32+'STU SERVICES 4yr'!T32+'INST SUPPORT 4yr'!T32</f>
        <v>157015.24099999998</v>
      </c>
      <c r="U32" s="48">
        <f>+'ACADEMIC SUPP 4yr'!U32+'STU SERVICES 4yr'!U32+'INST SUPPORT 4yr'!U32</f>
        <v>163275.22700000001</v>
      </c>
      <c r="V32" s="48">
        <f>+'ACADEMIC SUPP 4yr'!V32+'STU SERVICES 4yr'!V32+'INST SUPPORT 4yr'!V32</f>
        <v>184301.163</v>
      </c>
      <c r="W32" s="48">
        <f>+'ACADEMIC SUPP 4yr'!W32+'STU SERVICES 4yr'!W32+'INST SUPPORT 4yr'!W32</f>
        <v>183811.89300000001</v>
      </c>
      <c r="X32" s="48">
        <f>+'ACADEMIC SUPP 4yr'!X32+'STU SERVICES 4yr'!X32+'INST SUPPORT 4yr'!X32</f>
        <v>192424.198</v>
      </c>
      <c r="Y32" s="48">
        <f>+'ACADEMIC SUPP 4yr'!Y32+'STU SERVICES 4yr'!Y32+'INST SUPPORT 4yr'!Y32</f>
        <v>203382.09100000001</v>
      </c>
      <c r="Z32" s="48">
        <f>+'ACADEMIC SUPP 4yr'!Z32+'STU SERVICES 4yr'!Z32+'INST SUPPORT 4yr'!Z32</f>
        <v>217168.34599999999</v>
      </c>
      <c r="AA32" s="48">
        <f>+'ACADEMIC SUPP 4yr'!AA32+'STU SERVICES 4yr'!AA32+'INST SUPPORT 4yr'!AA32</f>
        <v>228801.446</v>
      </c>
      <c r="AB32" s="48">
        <f>+'ACADEMIC SUPP 4yr'!AB32+'STU SERVICES 4yr'!AB32+'INST SUPPORT 4yr'!AB32</f>
        <v>243911.76199999999</v>
      </c>
      <c r="AC32" s="48">
        <f>+'ACADEMIC SUPP 4yr'!AC32+'STU SERVICES 4yr'!AC32+'INST SUPPORT 4yr'!AC32</f>
        <v>254773.606</v>
      </c>
    </row>
    <row r="33" spans="1:29">
      <c r="A33" s="1" t="s">
        <v>100</v>
      </c>
      <c r="B33" s="48">
        <f>+'ACADEMIC SUPP 4yr'!B33+'STU SERVICES 4yr'!B33+'INST SUPPORT 4yr'!B33</f>
        <v>0</v>
      </c>
      <c r="C33" s="48">
        <f>+'ACADEMIC SUPP 4yr'!C33+'STU SERVICES 4yr'!C33+'INST SUPPORT 4yr'!C33</f>
        <v>0</v>
      </c>
      <c r="D33" s="48">
        <f>+'ACADEMIC SUPP 4yr'!D33+'STU SERVICES 4yr'!D33+'INST SUPPORT 4yr'!D33</f>
        <v>0</v>
      </c>
      <c r="E33" s="48">
        <f>+'ACADEMIC SUPP 4yr'!E33+'STU SERVICES 4yr'!E33+'INST SUPPORT 4yr'!E33</f>
        <v>0</v>
      </c>
      <c r="F33" s="48">
        <f>+'ACADEMIC SUPP 4yr'!F33+'STU SERVICES 4yr'!F33+'INST SUPPORT 4yr'!F33</f>
        <v>61652.557000000001</v>
      </c>
      <c r="G33" s="48">
        <f>+'ACADEMIC SUPP 4yr'!G33+'STU SERVICES 4yr'!G33+'INST SUPPORT 4yr'!G33</f>
        <v>0</v>
      </c>
      <c r="H33" s="48">
        <f>+'ACADEMIC SUPP 4yr'!H33+'STU SERVICES 4yr'!H33+'INST SUPPORT 4yr'!H33</f>
        <v>0</v>
      </c>
      <c r="I33" s="48">
        <f>+'ACADEMIC SUPP 4yr'!I33+'STU SERVICES 4yr'!I33+'INST SUPPORT 4yr'!I33</f>
        <v>73964.004000000001</v>
      </c>
      <c r="J33" s="48">
        <f>+'ACADEMIC SUPP 4yr'!J33+'STU SERVICES 4yr'!J33+'INST SUPPORT 4yr'!J33</f>
        <v>0</v>
      </c>
      <c r="K33" s="48">
        <f>+'ACADEMIC SUPP 4yr'!K33+'STU SERVICES 4yr'!K33+'INST SUPPORT 4yr'!K33</f>
        <v>103182.64599999999</v>
      </c>
      <c r="L33" s="48">
        <f>+'ACADEMIC SUPP 4yr'!L33+'STU SERVICES 4yr'!L33+'INST SUPPORT 4yr'!L33</f>
        <v>93420.754000000001</v>
      </c>
      <c r="M33" s="48">
        <f>+'ACADEMIC SUPP 4yr'!M33+'STU SERVICES 4yr'!M33+'INST SUPPORT 4yr'!M33</f>
        <v>99879.952999999994</v>
      </c>
      <c r="N33" s="48">
        <f>+'ACADEMIC SUPP 4yr'!N33+'STU SERVICES 4yr'!N33+'INST SUPPORT 4yr'!N33</f>
        <v>96007.481</v>
      </c>
      <c r="O33" s="48">
        <f>+'ACADEMIC SUPP 4yr'!O33+'STU SERVICES 4yr'!O33+'INST SUPPORT 4yr'!O33</f>
        <v>107900.76300000001</v>
      </c>
      <c r="P33" s="48">
        <f>+'ACADEMIC SUPP 4yr'!P33+'STU SERVICES 4yr'!P33+'INST SUPPORT 4yr'!P33</f>
        <v>110581.66099999999</v>
      </c>
      <c r="Q33" s="48">
        <f>+'ACADEMIC SUPP 4yr'!Q33+'STU SERVICES 4yr'!Q33+'INST SUPPORT 4yr'!Q33</f>
        <v>116328.33499999999</v>
      </c>
      <c r="R33" s="48">
        <f>+'ACADEMIC SUPP 4yr'!R33+'STU SERVICES 4yr'!R33+'INST SUPPORT 4yr'!R33</f>
        <v>125608.64799999999</v>
      </c>
      <c r="S33" s="48">
        <f>+'ACADEMIC SUPP 4yr'!S33+'STU SERVICES 4yr'!S33+'INST SUPPORT 4yr'!S33</f>
        <v>136969.13500000001</v>
      </c>
      <c r="T33" s="48">
        <f>+'ACADEMIC SUPP 4yr'!T33+'STU SERVICES 4yr'!T33+'INST SUPPORT 4yr'!T33</f>
        <v>151919.53</v>
      </c>
      <c r="U33" s="48">
        <f>+'ACADEMIC SUPP 4yr'!U33+'STU SERVICES 4yr'!U33+'INST SUPPORT 4yr'!U33</f>
        <v>177362.61700000003</v>
      </c>
      <c r="V33" s="48">
        <f>+'ACADEMIC SUPP 4yr'!V33+'STU SERVICES 4yr'!V33+'INST SUPPORT 4yr'!V33</f>
        <v>192753.01300000001</v>
      </c>
      <c r="W33" s="48">
        <f>+'ACADEMIC SUPP 4yr'!W33+'STU SERVICES 4yr'!W33+'INST SUPPORT 4yr'!W33</f>
        <v>201462.61900000001</v>
      </c>
      <c r="X33" s="48">
        <f>+'ACADEMIC SUPP 4yr'!X33+'STU SERVICES 4yr'!X33+'INST SUPPORT 4yr'!X33</f>
        <v>209518.21900000001</v>
      </c>
      <c r="Y33" s="48">
        <f>+'ACADEMIC SUPP 4yr'!Y33+'STU SERVICES 4yr'!Y33+'INST SUPPORT 4yr'!Y33</f>
        <v>216283.30999999997</v>
      </c>
      <c r="Z33" s="48">
        <f>+'ACADEMIC SUPP 4yr'!Z33+'STU SERVICES 4yr'!Z33+'INST SUPPORT 4yr'!Z33</f>
        <v>221999.12699999998</v>
      </c>
      <c r="AA33" s="48">
        <f>+'ACADEMIC SUPP 4yr'!AA33+'STU SERVICES 4yr'!AA33+'INST SUPPORT 4yr'!AA33</f>
        <v>230157.03900000002</v>
      </c>
      <c r="AB33" s="48">
        <f>+'ACADEMIC SUPP 4yr'!AB33+'STU SERVICES 4yr'!AB33+'INST SUPPORT 4yr'!AB33</f>
        <v>227639.62599999999</v>
      </c>
      <c r="AC33" s="48">
        <f>+'ACADEMIC SUPP 4yr'!AC33+'STU SERVICES 4yr'!AC33+'INST SUPPORT 4yr'!AC33</f>
        <v>236979.014</v>
      </c>
    </row>
    <row r="34" spans="1:29">
      <c r="A34" s="1" t="s">
        <v>102</v>
      </c>
      <c r="B34" s="48">
        <f>+'ACADEMIC SUPP 4yr'!B34+'STU SERVICES 4yr'!B34+'INST SUPPORT 4yr'!B34</f>
        <v>0</v>
      </c>
      <c r="C34" s="48">
        <f>+'ACADEMIC SUPP 4yr'!C34+'STU SERVICES 4yr'!C34+'INST SUPPORT 4yr'!C34</f>
        <v>0</v>
      </c>
      <c r="D34" s="48">
        <f>+'ACADEMIC SUPP 4yr'!D34+'STU SERVICES 4yr'!D34+'INST SUPPORT 4yr'!D34</f>
        <v>0</v>
      </c>
      <c r="E34" s="48">
        <f>+'ACADEMIC SUPP 4yr'!E34+'STU SERVICES 4yr'!E34+'INST SUPPORT 4yr'!E34</f>
        <v>0</v>
      </c>
      <c r="F34" s="48">
        <f>+'ACADEMIC SUPP 4yr'!F34+'STU SERVICES 4yr'!F34+'INST SUPPORT 4yr'!F34</f>
        <v>74779.527999999991</v>
      </c>
      <c r="G34" s="48">
        <f>+'ACADEMIC SUPP 4yr'!G34+'STU SERVICES 4yr'!G34+'INST SUPPORT 4yr'!G34</f>
        <v>0</v>
      </c>
      <c r="H34" s="48">
        <f>+'ACADEMIC SUPP 4yr'!H34+'STU SERVICES 4yr'!H34+'INST SUPPORT 4yr'!H34</f>
        <v>0</v>
      </c>
      <c r="I34" s="48">
        <f>+'ACADEMIC SUPP 4yr'!I34+'STU SERVICES 4yr'!I34+'INST SUPPORT 4yr'!I34</f>
        <v>82054.028999999995</v>
      </c>
      <c r="J34" s="48">
        <f>+'ACADEMIC SUPP 4yr'!J34+'STU SERVICES 4yr'!J34+'INST SUPPORT 4yr'!J34</f>
        <v>0</v>
      </c>
      <c r="K34" s="48">
        <f>+'ACADEMIC SUPP 4yr'!K34+'STU SERVICES 4yr'!K34+'INST SUPPORT 4yr'!K34</f>
        <v>106382.70299999999</v>
      </c>
      <c r="L34" s="48">
        <f>+'ACADEMIC SUPP 4yr'!L34+'STU SERVICES 4yr'!L34+'INST SUPPORT 4yr'!L34</f>
        <v>115330.247</v>
      </c>
      <c r="M34" s="48">
        <f>+'ACADEMIC SUPP 4yr'!M34+'STU SERVICES 4yr'!M34+'INST SUPPORT 4yr'!M34</f>
        <v>123173.467</v>
      </c>
      <c r="N34" s="48">
        <f>+'ACADEMIC SUPP 4yr'!N34+'STU SERVICES 4yr'!N34+'INST SUPPORT 4yr'!N34</f>
        <v>128503.17299999998</v>
      </c>
      <c r="O34" s="48">
        <f>+'ACADEMIC SUPP 4yr'!O34+'STU SERVICES 4yr'!O34+'INST SUPPORT 4yr'!O34</f>
        <v>145006.53</v>
      </c>
      <c r="P34" s="48">
        <f>+'ACADEMIC SUPP 4yr'!P34+'STU SERVICES 4yr'!P34+'INST SUPPORT 4yr'!P34</f>
        <v>197820.745</v>
      </c>
      <c r="Q34" s="48">
        <f>+'ACADEMIC SUPP 4yr'!Q34+'STU SERVICES 4yr'!Q34+'INST SUPPORT 4yr'!Q34</f>
        <v>216662.44900000002</v>
      </c>
      <c r="R34" s="48">
        <f>+'ACADEMIC SUPP 4yr'!R34+'STU SERVICES 4yr'!R34+'INST SUPPORT 4yr'!R34</f>
        <v>243668.16700000002</v>
      </c>
      <c r="S34" s="48">
        <f>+'ACADEMIC SUPP 4yr'!S34+'STU SERVICES 4yr'!S34+'INST SUPPORT 4yr'!S34</f>
        <v>279750.62599999999</v>
      </c>
      <c r="T34" s="48">
        <f>+'ACADEMIC SUPP 4yr'!T34+'STU SERVICES 4yr'!T34+'INST SUPPORT 4yr'!T34</f>
        <v>302572.06400000001</v>
      </c>
      <c r="U34" s="48">
        <f>+'ACADEMIC SUPP 4yr'!U34+'STU SERVICES 4yr'!U34+'INST SUPPORT 4yr'!U34</f>
        <v>229282.606</v>
      </c>
      <c r="V34" s="48">
        <f>+'ACADEMIC SUPP 4yr'!V34+'STU SERVICES 4yr'!V34+'INST SUPPORT 4yr'!V34</f>
        <v>258404.685</v>
      </c>
      <c r="W34" s="48">
        <f>+'ACADEMIC SUPP 4yr'!W34+'STU SERVICES 4yr'!W34+'INST SUPPORT 4yr'!W34</f>
        <v>258715.50099999999</v>
      </c>
      <c r="X34" s="48">
        <f>+'ACADEMIC SUPP 4yr'!X34+'STU SERVICES 4yr'!X34+'INST SUPPORT 4yr'!X34</f>
        <v>263069.93599999999</v>
      </c>
      <c r="Y34" s="48">
        <f>+'ACADEMIC SUPP 4yr'!Y34+'STU SERVICES 4yr'!Y34+'INST SUPPORT 4yr'!Y34</f>
        <v>282712.45900000003</v>
      </c>
      <c r="Z34" s="48">
        <f>+'ACADEMIC SUPP 4yr'!Z34+'STU SERVICES 4yr'!Z34+'INST SUPPORT 4yr'!Z34</f>
        <v>320022.565</v>
      </c>
      <c r="AA34" s="48">
        <f>+'ACADEMIC SUPP 4yr'!AA34+'STU SERVICES 4yr'!AA34+'INST SUPPORT 4yr'!AA34</f>
        <v>352197.18699999998</v>
      </c>
      <c r="AB34" s="48">
        <f>+'ACADEMIC SUPP 4yr'!AB34+'STU SERVICES 4yr'!AB34+'INST SUPPORT 4yr'!AB34</f>
        <v>374739.28400000004</v>
      </c>
      <c r="AC34" s="48">
        <f>+'ACADEMIC SUPP 4yr'!AC34+'STU SERVICES 4yr'!AC34+'INST SUPPORT 4yr'!AC34</f>
        <v>399698.86100000003</v>
      </c>
    </row>
    <row r="35" spans="1:29">
      <c r="A35" s="1" t="s">
        <v>105</v>
      </c>
      <c r="B35" s="48">
        <f>+'ACADEMIC SUPP 4yr'!B35+'STU SERVICES 4yr'!B35+'INST SUPPORT 4yr'!B35</f>
        <v>0</v>
      </c>
      <c r="C35" s="48">
        <f>+'ACADEMIC SUPP 4yr'!C35+'STU SERVICES 4yr'!C35+'INST SUPPORT 4yr'!C35</f>
        <v>0</v>
      </c>
      <c r="D35" s="48">
        <f>+'ACADEMIC SUPP 4yr'!D35+'STU SERVICES 4yr'!D35+'INST SUPPORT 4yr'!D35</f>
        <v>0</v>
      </c>
      <c r="E35" s="48">
        <f>+'ACADEMIC SUPP 4yr'!E35+'STU SERVICES 4yr'!E35+'INST SUPPORT 4yr'!E35</f>
        <v>0</v>
      </c>
      <c r="F35" s="48">
        <f>+'ACADEMIC SUPP 4yr'!F35+'STU SERVICES 4yr'!F35+'INST SUPPORT 4yr'!F35</f>
        <v>96687.097000000009</v>
      </c>
      <c r="G35" s="48">
        <f>+'ACADEMIC SUPP 4yr'!G35+'STU SERVICES 4yr'!G35+'INST SUPPORT 4yr'!G35</f>
        <v>0</v>
      </c>
      <c r="H35" s="48">
        <f>+'ACADEMIC SUPP 4yr'!H35+'STU SERVICES 4yr'!H35+'INST SUPPORT 4yr'!H35</f>
        <v>0</v>
      </c>
      <c r="I35" s="48">
        <f>+'ACADEMIC SUPP 4yr'!I35+'STU SERVICES 4yr'!I35+'INST SUPPORT 4yr'!I35</f>
        <v>117533.54</v>
      </c>
      <c r="J35" s="48">
        <f>+'ACADEMIC SUPP 4yr'!J35+'STU SERVICES 4yr'!J35+'INST SUPPORT 4yr'!J35</f>
        <v>0</v>
      </c>
      <c r="K35" s="48">
        <f>+'ACADEMIC SUPP 4yr'!K35+'STU SERVICES 4yr'!K35+'INST SUPPORT 4yr'!K35</f>
        <v>135571.56742000001</v>
      </c>
      <c r="L35" s="48">
        <f>+'ACADEMIC SUPP 4yr'!L35+'STU SERVICES 4yr'!L35+'INST SUPPORT 4yr'!L35</f>
        <v>133557.098</v>
      </c>
      <c r="M35" s="48">
        <f>+'ACADEMIC SUPP 4yr'!M35+'STU SERVICES 4yr'!M35+'INST SUPPORT 4yr'!M35</f>
        <v>147390.34600000002</v>
      </c>
      <c r="N35" s="48">
        <f>+'ACADEMIC SUPP 4yr'!N35+'STU SERVICES 4yr'!N35+'INST SUPPORT 4yr'!N35</f>
        <v>142509.77100000001</v>
      </c>
      <c r="O35" s="48">
        <f>+'ACADEMIC SUPP 4yr'!O35+'STU SERVICES 4yr'!O35+'INST SUPPORT 4yr'!O35</f>
        <v>152257.49099999998</v>
      </c>
      <c r="P35" s="48">
        <f>+'ACADEMIC SUPP 4yr'!P35+'STU SERVICES 4yr'!P35+'INST SUPPORT 4yr'!P35</f>
        <v>157035.69500000001</v>
      </c>
      <c r="Q35" s="48">
        <f>+'ACADEMIC SUPP 4yr'!Q35+'STU SERVICES 4yr'!Q35+'INST SUPPORT 4yr'!Q35</f>
        <v>181628.08600000001</v>
      </c>
      <c r="R35" s="48">
        <f>+'ACADEMIC SUPP 4yr'!R35+'STU SERVICES 4yr'!R35+'INST SUPPORT 4yr'!R35</f>
        <v>191669.41200000001</v>
      </c>
      <c r="S35" s="48">
        <f>+'ACADEMIC SUPP 4yr'!S35+'STU SERVICES 4yr'!S35+'INST SUPPORT 4yr'!S35</f>
        <v>205704.72700000001</v>
      </c>
      <c r="T35" s="48">
        <f>+'ACADEMIC SUPP 4yr'!T35+'STU SERVICES 4yr'!T35+'INST SUPPORT 4yr'!T35</f>
        <v>221419.307</v>
      </c>
      <c r="U35" s="48">
        <f>+'ACADEMIC SUPP 4yr'!U35+'STU SERVICES 4yr'!U35+'INST SUPPORT 4yr'!U35</f>
        <v>225115.60800000001</v>
      </c>
      <c r="V35" s="48">
        <f>+'ACADEMIC SUPP 4yr'!V35+'STU SERVICES 4yr'!V35+'INST SUPPORT 4yr'!V35</f>
        <v>250210.049</v>
      </c>
      <c r="W35" s="48">
        <f>+'ACADEMIC SUPP 4yr'!W35+'STU SERVICES 4yr'!W35+'INST SUPPORT 4yr'!W35</f>
        <v>250927.26</v>
      </c>
      <c r="X35" s="48">
        <f>+'ACADEMIC SUPP 4yr'!X35+'STU SERVICES 4yr'!X35+'INST SUPPORT 4yr'!X35</f>
        <v>262897.27499999997</v>
      </c>
      <c r="Y35" s="48">
        <f>+'ACADEMIC SUPP 4yr'!Y35+'STU SERVICES 4yr'!Y35+'INST SUPPORT 4yr'!Y35</f>
        <v>261651.12899999999</v>
      </c>
      <c r="Z35" s="48">
        <f>+'ACADEMIC SUPP 4yr'!Z35+'STU SERVICES 4yr'!Z35+'INST SUPPORT 4yr'!Z35</f>
        <v>271404.935</v>
      </c>
      <c r="AA35" s="48">
        <f>+'ACADEMIC SUPP 4yr'!AA35+'STU SERVICES 4yr'!AA35+'INST SUPPORT 4yr'!AA35</f>
        <v>287758.11</v>
      </c>
      <c r="AB35" s="48">
        <f>+'ACADEMIC SUPP 4yr'!AB35+'STU SERVICES 4yr'!AB35+'INST SUPPORT 4yr'!AB35</f>
        <v>293664.17499999999</v>
      </c>
      <c r="AC35" s="48">
        <f>+'ACADEMIC SUPP 4yr'!AC35+'STU SERVICES 4yr'!AC35+'INST SUPPORT 4yr'!AC35</f>
        <v>288797.26099999994</v>
      </c>
    </row>
    <row r="36" spans="1:29">
      <c r="A36" s="1" t="s">
        <v>109</v>
      </c>
      <c r="B36" s="48">
        <f>+'ACADEMIC SUPP 4yr'!B36+'STU SERVICES 4yr'!B36+'INST SUPPORT 4yr'!B36</f>
        <v>0</v>
      </c>
      <c r="C36" s="48">
        <f>+'ACADEMIC SUPP 4yr'!C36+'STU SERVICES 4yr'!C36+'INST SUPPORT 4yr'!C36</f>
        <v>0</v>
      </c>
      <c r="D36" s="48">
        <f>+'ACADEMIC SUPP 4yr'!D36+'STU SERVICES 4yr'!D36+'INST SUPPORT 4yr'!D36</f>
        <v>0</v>
      </c>
      <c r="E36" s="48">
        <f>+'ACADEMIC SUPP 4yr'!E36+'STU SERVICES 4yr'!E36+'INST SUPPORT 4yr'!E36</f>
        <v>0</v>
      </c>
      <c r="F36" s="48">
        <f>+'ACADEMIC SUPP 4yr'!F36+'STU SERVICES 4yr'!F36+'INST SUPPORT 4yr'!F36</f>
        <v>162432.26300000001</v>
      </c>
      <c r="G36" s="48">
        <f>+'ACADEMIC SUPP 4yr'!G36+'STU SERVICES 4yr'!G36+'INST SUPPORT 4yr'!G36</f>
        <v>0</v>
      </c>
      <c r="H36" s="48">
        <f>+'ACADEMIC SUPP 4yr'!H36+'STU SERVICES 4yr'!H36+'INST SUPPORT 4yr'!H36</f>
        <v>0</v>
      </c>
      <c r="I36" s="48">
        <f>+'ACADEMIC SUPP 4yr'!I36+'STU SERVICES 4yr'!I36+'INST SUPPORT 4yr'!I36</f>
        <v>182958.62699999998</v>
      </c>
      <c r="J36" s="48">
        <f>+'ACADEMIC SUPP 4yr'!J36+'STU SERVICES 4yr'!J36+'INST SUPPORT 4yr'!J36</f>
        <v>0</v>
      </c>
      <c r="K36" s="48">
        <f>+'ACADEMIC SUPP 4yr'!K36+'STU SERVICES 4yr'!K36+'INST SUPPORT 4yr'!K36</f>
        <v>233985.948</v>
      </c>
      <c r="L36" s="48">
        <f>+'ACADEMIC SUPP 4yr'!L36+'STU SERVICES 4yr'!L36+'INST SUPPORT 4yr'!L36</f>
        <v>263973.92</v>
      </c>
      <c r="M36" s="48">
        <f>+'ACADEMIC SUPP 4yr'!M36+'STU SERVICES 4yr'!M36+'INST SUPPORT 4yr'!M36</f>
        <v>281731.71600000001</v>
      </c>
      <c r="N36" s="48">
        <f>+'ACADEMIC SUPP 4yr'!N36+'STU SERVICES 4yr'!N36+'INST SUPPORT 4yr'!N36</f>
        <v>334995.59899999999</v>
      </c>
      <c r="O36" s="48">
        <f>+'ACADEMIC SUPP 4yr'!O36+'STU SERVICES 4yr'!O36+'INST SUPPORT 4yr'!O36</f>
        <v>357107.16299999994</v>
      </c>
      <c r="P36" s="48">
        <f>+'ACADEMIC SUPP 4yr'!P36+'STU SERVICES 4yr'!P36+'INST SUPPORT 4yr'!P36</f>
        <v>374694.38</v>
      </c>
      <c r="Q36" s="48">
        <f>+'ACADEMIC SUPP 4yr'!Q36+'STU SERVICES 4yr'!Q36+'INST SUPPORT 4yr'!Q36</f>
        <v>407973.43400000001</v>
      </c>
      <c r="R36" s="48">
        <f>+'ACADEMIC SUPP 4yr'!R36+'STU SERVICES 4yr'!R36+'INST SUPPORT 4yr'!R36</f>
        <v>415032.20500000002</v>
      </c>
      <c r="S36" s="48">
        <f>+'ACADEMIC SUPP 4yr'!S36+'STU SERVICES 4yr'!S36+'INST SUPPORT 4yr'!S36</f>
        <v>452906.93799999997</v>
      </c>
      <c r="T36" s="48">
        <f>+'ACADEMIC SUPP 4yr'!T36+'STU SERVICES 4yr'!T36+'INST SUPPORT 4yr'!T36</f>
        <v>568222.28600000008</v>
      </c>
      <c r="U36" s="48">
        <f>+'ACADEMIC SUPP 4yr'!U36+'STU SERVICES 4yr'!U36+'INST SUPPORT 4yr'!U36</f>
        <v>370134.72099999996</v>
      </c>
      <c r="V36" s="48">
        <f>+'ACADEMIC SUPP 4yr'!V36+'STU SERVICES 4yr'!V36+'INST SUPPORT 4yr'!V36</f>
        <v>633695.87</v>
      </c>
      <c r="W36" s="48">
        <f>+'ACADEMIC SUPP 4yr'!W36+'STU SERVICES 4yr'!W36+'INST SUPPORT 4yr'!W36</f>
        <v>628318.15800000005</v>
      </c>
      <c r="X36" s="48">
        <f>+'ACADEMIC SUPP 4yr'!X36+'STU SERVICES 4yr'!X36+'INST SUPPORT 4yr'!X36</f>
        <v>678367.96500000008</v>
      </c>
      <c r="Y36" s="48">
        <f>+'ACADEMIC SUPP 4yr'!Y36+'STU SERVICES 4yr'!Y36+'INST SUPPORT 4yr'!Y36</f>
        <v>718630.125</v>
      </c>
      <c r="Z36" s="48">
        <f>+'ACADEMIC SUPP 4yr'!Z36+'STU SERVICES 4yr'!Z36+'INST SUPPORT 4yr'!Z36</f>
        <v>788588.97200000007</v>
      </c>
      <c r="AA36" s="48">
        <f>+'ACADEMIC SUPP 4yr'!AA36+'STU SERVICES 4yr'!AA36+'INST SUPPORT 4yr'!AA36</f>
        <v>793185.54099999997</v>
      </c>
      <c r="AB36" s="48">
        <f>+'ACADEMIC SUPP 4yr'!AB36+'STU SERVICES 4yr'!AB36+'INST SUPPORT 4yr'!AB36</f>
        <v>979532.58600000001</v>
      </c>
      <c r="AC36" s="48">
        <f>+'ACADEMIC SUPP 4yr'!AC36+'STU SERVICES 4yr'!AC36+'INST SUPPORT 4yr'!AC36</f>
        <v>989911.53599999996</v>
      </c>
    </row>
    <row r="37" spans="1:29">
      <c r="A37" s="1" t="s">
        <v>113</v>
      </c>
      <c r="B37" s="48">
        <f>+'ACADEMIC SUPP 4yr'!B37+'STU SERVICES 4yr'!B37+'INST SUPPORT 4yr'!B37</f>
        <v>0</v>
      </c>
      <c r="C37" s="48">
        <f>+'ACADEMIC SUPP 4yr'!C37+'STU SERVICES 4yr'!C37+'INST SUPPORT 4yr'!C37</f>
        <v>0</v>
      </c>
      <c r="D37" s="48">
        <f>+'ACADEMIC SUPP 4yr'!D37+'STU SERVICES 4yr'!D37+'INST SUPPORT 4yr'!D37</f>
        <v>0</v>
      </c>
      <c r="E37" s="48">
        <f>+'ACADEMIC SUPP 4yr'!E37+'STU SERVICES 4yr'!E37+'INST SUPPORT 4yr'!E37</f>
        <v>0</v>
      </c>
      <c r="F37" s="48">
        <f>+'ACADEMIC SUPP 4yr'!F37+'STU SERVICES 4yr'!F37+'INST SUPPORT 4yr'!F37</f>
        <v>128927.48699999999</v>
      </c>
      <c r="G37" s="48">
        <f>+'ACADEMIC SUPP 4yr'!G37+'STU SERVICES 4yr'!G37+'INST SUPPORT 4yr'!G37</f>
        <v>0</v>
      </c>
      <c r="H37" s="48">
        <f>+'ACADEMIC SUPP 4yr'!H37+'STU SERVICES 4yr'!H37+'INST SUPPORT 4yr'!H37</f>
        <v>0</v>
      </c>
      <c r="I37" s="48">
        <f>+'ACADEMIC SUPP 4yr'!I37+'STU SERVICES 4yr'!I37+'INST SUPPORT 4yr'!I37</f>
        <v>173391.427</v>
      </c>
      <c r="J37" s="48">
        <f>+'ACADEMIC SUPP 4yr'!J37+'STU SERVICES 4yr'!J37+'INST SUPPORT 4yr'!J37</f>
        <v>0</v>
      </c>
      <c r="K37" s="48">
        <f>+'ACADEMIC SUPP 4yr'!K37+'STU SERVICES 4yr'!K37+'INST SUPPORT 4yr'!K37</f>
        <v>210851.397</v>
      </c>
      <c r="L37" s="48">
        <f>+'ACADEMIC SUPP 4yr'!L37+'STU SERVICES 4yr'!L37+'INST SUPPORT 4yr'!L37</f>
        <v>286490.88699999999</v>
      </c>
      <c r="M37" s="48">
        <f>+'ACADEMIC SUPP 4yr'!M37+'STU SERVICES 4yr'!M37+'INST SUPPORT 4yr'!M37</f>
        <v>282172.772</v>
      </c>
      <c r="N37" s="48">
        <f>+'ACADEMIC SUPP 4yr'!N37+'STU SERVICES 4yr'!N37+'INST SUPPORT 4yr'!N37</f>
        <v>283980.08100000001</v>
      </c>
      <c r="O37" s="48">
        <f>+'ACADEMIC SUPP 4yr'!O37+'STU SERVICES 4yr'!O37+'INST SUPPORT 4yr'!O37</f>
        <v>284573.97500000003</v>
      </c>
      <c r="P37" s="48">
        <f>+'ACADEMIC SUPP 4yr'!P37+'STU SERVICES 4yr'!P37+'INST SUPPORT 4yr'!P37</f>
        <v>307078.78000000003</v>
      </c>
      <c r="Q37" s="48">
        <f>+'ACADEMIC SUPP 4yr'!Q37+'STU SERVICES 4yr'!Q37+'INST SUPPORT 4yr'!Q37</f>
        <v>317869.67200000002</v>
      </c>
      <c r="R37" s="48">
        <f>+'ACADEMIC SUPP 4yr'!R37+'STU SERVICES 4yr'!R37+'INST SUPPORT 4yr'!R37</f>
        <v>348097.864</v>
      </c>
      <c r="S37" s="48">
        <f>+'ACADEMIC SUPP 4yr'!S37+'STU SERVICES 4yr'!S37+'INST SUPPORT 4yr'!S37</f>
        <v>370711.76899999997</v>
      </c>
      <c r="T37" s="48">
        <f>+'ACADEMIC SUPP 4yr'!T37+'STU SERVICES 4yr'!T37+'INST SUPPORT 4yr'!T37</f>
        <v>416015.549</v>
      </c>
      <c r="U37" s="48">
        <f>+'ACADEMIC SUPP 4yr'!U37+'STU SERVICES 4yr'!U37+'INST SUPPORT 4yr'!U37</f>
        <v>425151.495</v>
      </c>
      <c r="V37" s="48">
        <f>+'ACADEMIC SUPP 4yr'!V37+'STU SERVICES 4yr'!V37+'INST SUPPORT 4yr'!V37</f>
        <v>488442.05199999997</v>
      </c>
      <c r="W37" s="48">
        <f>+'ACADEMIC SUPP 4yr'!W37+'STU SERVICES 4yr'!W37+'INST SUPPORT 4yr'!W37</f>
        <v>520053.07</v>
      </c>
      <c r="X37" s="48">
        <f>+'ACADEMIC SUPP 4yr'!X37+'STU SERVICES 4yr'!X37+'INST SUPPORT 4yr'!X37</f>
        <v>545094.55500000005</v>
      </c>
      <c r="Y37" s="48">
        <f>+'ACADEMIC SUPP 4yr'!Y37+'STU SERVICES 4yr'!Y37+'INST SUPPORT 4yr'!Y37</f>
        <v>573279.77500000002</v>
      </c>
      <c r="Z37" s="48">
        <f>+'ACADEMIC SUPP 4yr'!Z37+'STU SERVICES 4yr'!Z37+'INST SUPPORT 4yr'!Z37</f>
        <v>557348.24699999997</v>
      </c>
      <c r="AA37" s="48">
        <f>+'ACADEMIC SUPP 4yr'!AA37+'STU SERVICES 4yr'!AA37+'INST SUPPORT 4yr'!AA37</f>
        <v>623693.25199999998</v>
      </c>
      <c r="AB37" s="48">
        <f>+'ACADEMIC SUPP 4yr'!AB37+'STU SERVICES 4yr'!AB37+'INST SUPPORT 4yr'!AB37</f>
        <v>695116.42500000005</v>
      </c>
      <c r="AC37" s="48">
        <f>+'ACADEMIC SUPP 4yr'!AC37+'STU SERVICES 4yr'!AC37+'INST SUPPORT 4yr'!AC37</f>
        <v>740499.66700000002</v>
      </c>
    </row>
    <row r="38" spans="1:29">
      <c r="A38" s="1" t="s">
        <v>115</v>
      </c>
      <c r="B38" s="48">
        <f>+'ACADEMIC SUPP 4yr'!B38+'STU SERVICES 4yr'!B38+'INST SUPPORT 4yr'!B38</f>
        <v>0</v>
      </c>
      <c r="C38" s="48">
        <f>+'ACADEMIC SUPP 4yr'!C38+'STU SERVICES 4yr'!C38+'INST SUPPORT 4yr'!C38</f>
        <v>0</v>
      </c>
      <c r="D38" s="48">
        <f>+'ACADEMIC SUPP 4yr'!D38+'STU SERVICES 4yr'!D38+'INST SUPPORT 4yr'!D38</f>
        <v>0</v>
      </c>
      <c r="E38" s="48">
        <f>+'ACADEMIC SUPP 4yr'!E38+'STU SERVICES 4yr'!E38+'INST SUPPORT 4yr'!E38</f>
        <v>0</v>
      </c>
      <c r="F38" s="48">
        <f>+'ACADEMIC SUPP 4yr'!F38+'STU SERVICES 4yr'!F38+'INST SUPPORT 4yr'!F38</f>
        <v>301351.88400000002</v>
      </c>
      <c r="G38" s="48">
        <f>+'ACADEMIC SUPP 4yr'!G38+'STU SERVICES 4yr'!G38+'INST SUPPORT 4yr'!G38</f>
        <v>0</v>
      </c>
      <c r="H38" s="48">
        <f>+'ACADEMIC SUPP 4yr'!H38+'STU SERVICES 4yr'!H38+'INST SUPPORT 4yr'!H38</f>
        <v>0</v>
      </c>
      <c r="I38" s="48">
        <f>+'ACADEMIC SUPP 4yr'!I38+'STU SERVICES 4yr'!I38+'INST SUPPORT 4yr'!I38</f>
        <v>358617.18400000001</v>
      </c>
      <c r="J38" s="48">
        <f>+'ACADEMIC SUPP 4yr'!J38+'STU SERVICES 4yr'!J38+'INST SUPPORT 4yr'!J38</f>
        <v>0</v>
      </c>
      <c r="K38" s="48">
        <f>+'ACADEMIC SUPP 4yr'!K38+'STU SERVICES 4yr'!K38+'INST SUPPORT 4yr'!K38</f>
        <v>393813.25300000003</v>
      </c>
      <c r="L38" s="48">
        <f>+'ACADEMIC SUPP 4yr'!L38+'STU SERVICES 4yr'!L38+'INST SUPPORT 4yr'!L38</f>
        <v>474005.74100000004</v>
      </c>
      <c r="M38" s="48">
        <f>+'ACADEMIC SUPP 4yr'!M38+'STU SERVICES 4yr'!M38+'INST SUPPORT 4yr'!M38</f>
        <v>535426.02899999998</v>
      </c>
      <c r="N38" s="48">
        <f>+'ACADEMIC SUPP 4yr'!N38+'STU SERVICES 4yr'!N38+'INST SUPPORT 4yr'!N38</f>
        <v>579171.54399999999</v>
      </c>
      <c r="O38" s="48">
        <f>+'ACADEMIC SUPP 4yr'!O38+'STU SERVICES 4yr'!O38+'INST SUPPORT 4yr'!O38</f>
        <v>494859.29800000007</v>
      </c>
      <c r="P38" s="48">
        <f>+'ACADEMIC SUPP 4yr'!P38+'STU SERVICES 4yr'!P38+'INST SUPPORT 4yr'!P38</f>
        <v>528401.46</v>
      </c>
      <c r="Q38" s="48">
        <f>+'ACADEMIC SUPP 4yr'!Q38+'STU SERVICES 4yr'!Q38+'INST SUPPORT 4yr'!Q38</f>
        <v>550217.89100000006</v>
      </c>
      <c r="R38" s="48">
        <f>+'ACADEMIC SUPP 4yr'!R38+'STU SERVICES 4yr'!R38+'INST SUPPORT 4yr'!R38</f>
        <v>581962.68800000008</v>
      </c>
      <c r="S38" s="48">
        <f>+'ACADEMIC SUPP 4yr'!S38+'STU SERVICES 4yr'!S38+'INST SUPPORT 4yr'!S38</f>
        <v>692203.10100000002</v>
      </c>
      <c r="T38" s="48">
        <f>+'ACADEMIC SUPP 4yr'!T38+'STU SERVICES 4yr'!T38+'INST SUPPORT 4yr'!T38</f>
        <v>814259.14500000002</v>
      </c>
      <c r="U38" s="48">
        <f>+'ACADEMIC SUPP 4yr'!U38+'STU SERVICES 4yr'!U38+'INST SUPPORT 4yr'!U38</f>
        <v>741217.05200000003</v>
      </c>
      <c r="V38" s="48">
        <f>+'ACADEMIC SUPP 4yr'!V38+'STU SERVICES 4yr'!V38+'INST SUPPORT 4yr'!V38</f>
        <v>840872.33699999994</v>
      </c>
      <c r="W38" s="48">
        <f>+'ACADEMIC SUPP 4yr'!W38+'STU SERVICES 4yr'!W38+'INST SUPPORT 4yr'!W38</f>
        <v>873889.46000000008</v>
      </c>
      <c r="X38" s="48">
        <f>+'ACADEMIC SUPP 4yr'!X38+'STU SERVICES 4yr'!X38+'INST SUPPORT 4yr'!X38</f>
        <v>905702.63500000001</v>
      </c>
      <c r="Y38" s="48">
        <f>+'ACADEMIC SUPP 4yr'!Y38+'STU SERVICES 4yr'!Y38+'INST SUPPORT 4yr'!Y38</f>
        <v>986695.04099999997</v>
      </c>
      <c r="Z38" s="48">
        <f>+'ACADEMIC SUPP 4yr'!Z38+'STU SERVICES 4yr'!Z38+'INST SUPPORT 4yr'!Z38</f>
        <v>1095590.976</v>
      </c>
      <c r="AA38" s="48">
        <f>+'ACADEMIC SUPP 4yr'!AA38+'STU SERVICES 4yr'!AA38+'INST SUPPORT 4yr'!AA38</f>
        <v>1154357.588</v>
      </c>
      <c r="AB38" s="48">
        <f>+'ACADEMIC SUPP 4yr'!AB38+'STU SERVICES 4yr'!AB38+'INST SUPPORT 4yr'!AB38</f>
        <v>1297013.1040000001</v>
      </c>
      <c r="AC38" s="48">
        <f>+'ACADEMIC SUPP 4yr'!AC38+'STU SERVICES 4yr'!AC38+'INST SUPPORT 4yr'!AC38</f>
        <v>1304617.341</v>
      </c>
    </row>
    <row r="39" spans="1:29">
      <c r="A39" s="24" t="s">
        <v>117</v>
      </c>
      <c r="B39" s="50">
        <f>+'ACADEMIC SUPP 4yr'!B39+'STU SERVICES 4yr'!B39+'INST SUPPORT 4yr'!B39</f>
        <v>0</v>
      </c>
      <c r="C39" s="50">
        <f>+'ACADEMIC SUPP 4yr'!C39+'STU SERVICES 4yr'!C39+'INST SUPPORT 4yr'!C39</f>
        <v>0</v>
      </c>
      <c r="D39" s="50">
        <f>+'ACADEMIC SUPP 4yr'!D39+'STU SERVICES 4yr'!D39+'INST SUPPORT 4yr'!D39</f>
        <v>0</v>
      </c>
      <c r="E39" s="50">
        <f>+'ACADEMIC SUPP 4yr'!E39+'STU SERVICES 4yr'!E39+'INST SUPPORT 4yr'!E39</f>
        <v>0</v>
      </c>
      <c r="F39" s="50">
        <f>+'ACADEMIC SUPP 4yr'!F39+'STU SERVICES 4yr'!F39+'INST SUPPORT 4yr'!F39</f>
        <v>31511.202000000001</v>
      </c>
      <c r="G39" s="50">
        <f>+'ACADEMIC SUPP 4yr'!G39+'STU SERVICES 4yr'!G39+'INST SUPPORT 4yr'!G39</f>
        <v>0</v>
      </c>
      <c r="H39" s="50">
        <f>+'ACADEMIC SUPP 4yr'!H39+'STU SERVICES 4yr'!H39+'INST SUPPORT 4yr'!H39</f>
        <v>0</v>
      </c>
      <c r="I39" s="50">
        <f>+'ACADEMIC SUPP 4yr'!I39+'STU SERVICES 4yr'!I39+'INST SUPPORT 4yr'!I39</f>
        <v>34529.713000000003</v>
      </c>
      <c r="J39" s="50">
        <f>+'ACADEMIC SUPP 4yr'!J39+'STU SERVICES 4yr'!J39+'INST SUPPORT 4yr'!J39</f>
        <v>0</v>
      </c>
      <c r="K39" s="50">
        <f>+'ACADEMIC SUPP 4yr'!K39+'STU SERVICES 4yr'!K39+'INST SUPPORT 4yr'!K39</f>
        <v>33978.790999999997</v>
      </c>
      <c r="L39" s="50">
        <f>+'ACADEMIC SUPP 4yr'!L39+'STU SERVICES 4yr'!L39+'INST SUPPORT 4yr'!L39</f>
        <v>42973.846999999994</v>
      </c>
      <c r="M39" s="50">
        <f>+'ACADEMIC SUPP 4yr'!M39+'STU SERVICES 4yr'!M39+'INST SUPPORT 4yr'!M39</f>
        <v>46457.917000000001</v>
      </c>
      <c r="N39" s="50">
        <f>+'ACADEMIC SUPP 4yr'!N39+'STU SERVICES 4yr'!N39+'INST SUPPORT 4yr'!N39</f>
        <v>46030.188000000002</v>
      </c>
      <c r="O39" s="50">
        <f>+'ACADEMIC SUPP 4yr'!O39+'STU SERVICES 4yr'!O39+'INST SUPPORT 4yr'!O39</f>
        <v>48246.633999999998</v>
      </c>
      <c r="P39" s="50">
        <f>+'ACADEMIC SUPP 4yr'!P39+'STU SERVICES 4yr'!P39+'INST SUPPORT 4yr'!P39</f>
        <v>52095.270999999993</v>
      </c>
      <c r="Q39" s="50">
        <f>+'ACADEMIC SUPP 4yr'!Q39+'STU SERVICES 4yr'!Q39+'INST SUPPORT 4yr'!Q39</f>
        <v>57668.357000000004</v>
      </c>
      <c r="R39" s="50">
        <f>+'ACADEMIC SUPP 4yr'!R39+'STU SERVICES 4yr'!R39+'INST SUPPORT 4yr'!R39</f>
        <v>60662.614000000001</v>
      </c>
      <c r="S39" s="50">
        <f>+'ACADEMIC SUPP 4yr'!S39+'STU SERVICES 4yr'!S39+'INST SUPPORT 4yr'!S39</f>
        <v>63130.343999999997</v>
      </c>
      <c r="T39" s="50">
        <f>+'ACADEMIC SUPP 4yr'!T39+'STU SERVICES 4yr'!T39+'INST SUPPORT 4yr'!T39</f>
        <v>74184.494999999995</v>
      </c>
      <c r="U39" s="50">
        <f>+'ACADEMIC SUPP 4yr'!U39+'STU SERVICES 4yr'!U39+'INST SUPPORT 4yr'!U39</f>
        <v>68920.695999999996</v>
      </c>
      <c r="V39" s="50">
        <f>+'ACADEMIC SUPP 4yr'!V39+'STU SERVICES 4yr'!V39+'INST SUPPORT 4yr'!V39</f>
        <v>87453.717000000004</v>
      </c>
      <c r="W39" s="50">
        <f>+'ACADEMIC SUPP 4yr'!W39+'STU SERVICES 4yr'!W39+'INST SUPPORT 4yr'!W39</f>
        <v>84730.34599999999</v>
      </c>
      <c r="X39" s="50">
        <f>+'ACADEMIC SUPP 4yr'!X39+'STU SERVICES 4yr'!X39+'INST SUPPORT 4yr'!X39</f>
        <v>99310.551000000007</v>
      </c>
      <c r="Y39" s="50">
        <f>+'ACADEMIC SUPP 4yr'!Y39+'STU SERVICES 4yr'!Y39+'INST SUPPORT 4yr'!Y39</f>
        <v>99678.395999999993</v>
      </c>
      <c r="Z39" s="50">
        <f>+'ACADEMIC SUPP 4yr'!Z39+'STU SERVICES 4yr'!Z39+'INST SUPPORT 4yr'!Z39</f>
        <v>106786.538</v>
      </c>
      <c r="AA39" s="50">
        <f>+'ACADEMIC SUPP 4yr'!AA39+'STU SERVICES 4yr'!AA39+'INST SUPPORT 4yr'!AA39</f>
        <v>110348.837</v>
      </c>
      <c r="AB39" s="50">
        <f>+'ACADEMIC SUPP 4yr'!AB39+'STU SERVICES 4yr'!AB39+'INST SUPPORT 4yr'!AB39</f>
        <v>108308.32399999999</v>
      </c>
      <c r="AC39" s="50">
        <f>+'ACADEMIC SUPP 4yr'!AC39+'STU SERVICES 4yr'!AC39+'INST SUPPORT 4yr'!AC39</f>
        <v>114240.94</v>
      </c>
    </row>
    <row r="40" spans="1:29">
      <c r="A40" s="7" t="s">
        <v>121</v>
      </c>
      <c r="B40" s="48">
        <f>+'ACADEMIC SUPP 4yr'!B40+'STU SERVICES 4yr'!B40+'INST SUPPORT 4yr'!B40</f>
        <v>0</v>
      </c>
      <c r="C40" s="48">
        <f>+'ACADEMIC SUPP 4yr'!C40+'STU SERVICES 4yr'!C40+'INST SUPPORT 4yr'!C40</f>
        <v>0</v>
      </c>
      <c r="D40" s="48">
        <f>+'ACADEMIC SUPP 4yr'!D40+'STU SERVICES 4yr'!D40+'INST SUPPORT 4yr'!D40</f>
        <v>0</v>
      </c>
      <c r="E40" s="48">
        <f>+'ACADEMIC SUPP 4yr'!E40+'STU SERVICES 4yr'!E40+'INST SUPPORT 4yr'!E40</f>
        <v>0</v>
      </c>
      <c r="F40" s="48">
        <f>+'ACADEMIC SUPP 4yr'!F40+'STU SERVICES 4yr'!F40+'INST SUPPORT 4yr'!F40</f>
        <v>3714318.8489999999</v>
      </c>
      <c r="G40" s="48">
        <f>+'ACADEMIC SUPP 4yr'!G40+'STU SERVICES 4yr'!G40+'INST SUPPORT 4yr'!G40</f>
        <v>0</v>
      </c>
      <c r="H40" s="48">
        <f>+'ACADEMIC SUPP 4yr'!H40+'STU SERVICES 4yr'!H40+'INST SUPPORT 4yr'!H40</f>
        <v>0</v>
      </c>
      <c r="I40" s="48">
        <f>+'ACADEMIC SUPP 4yr'!I40+'STU SERVICES 4yr'!I40+'INST SUPPORT 4yr'!I40</f>
        <v>4222095.5590000004</v>
      </c>
      <c r="J40" s="48">
        <f>+'ACADEMIC SUPP 4yr'!J40+'STU SERVICES 4yr'!J40+'INST SUPPORT 4yr'!J40</f>
        <v>0</v>
      </c>
      <c r="K40" s="48">
        <f>+'ACADEMIC SUPP 4yr'!K40+'STU SERVICES 4yr'!K40+'INST SUPPORT 4yr'!K40</f>
        <v>4825847.5863300003</v>
      </c>
      <c r="L40" s="48">
        <f>+'ACADEMIC SUPP 4yr'!L40+'STU SERVICES 4yr'!L40+'INST SUPPORT 4yr'!L40</f>
        <v>5716080.142</v>
      </c>
      <c r="M40" s="48">
        <f>+'ACADEMIC SUPP 4yr'!M40+'STU SERVICES 4yr'!M40+'INST SUPPORT 4yr'!M40</f>
        <v>6249086.5510000009</v>
      </c>
      <c r="N40" s="48">
        <f>+'ACADEMIC SUPP 4yr'!N40+'STU SERVICES 4yr'!N40+'INST SUPPORT 4yr'!N40</f>
        <v>6209466.023</v>
      </c>
      <c r="O40" s="48">
        <f>+'ACADEMIC SUPP 4yr'!O40+'STU SERVICES 4yr'!O40+'INST SUPPORT 4yr'!O40</f>
        <v>6355144.3780000005</v>
      </c>
      <c r="P40" s="48">
        <f>+'ACADEMIC SUPP 4yr'!P40+'STU SERVICES 4yr'!P40+'INST SUPPORT 4yr'!P40</f>
        <v>6694366.6109999996</v>
      </c>
      <c r="Q40" s="48">
        <f>+'ACADEMIC SUPP 4yr'!Q40+'STU SERVICES 4yr'!Q40+'INST SUPPORT 4yr'!Q40</f>
        <v>6869592.8989999993</v>
      </c>
      <c r="R40" s="48">
        <f>+'ACADEMIC SUPP 4yr'!R40+'STU SERVICES 4yr'!R40+'INST SUPPORT 4yr'!R40</f>
        <v>7168452.0010000002</v>
      </c>
      <c r="S40" s="48">
        <f>+'ACADEMIC SUPP 4yr'!S40+'STU SERVICES 4yr'!S40+'INST SUPPORT 4yr'!S40</f>
        <v>7645964.743999999</v>
      </c>
      <c r="T40" s="48">
        <f>+'ACADEMIC SUPP 4yr'!T40+'STU SERVICES 4yr'!T40+'INST SUPPORT 4yr'!T40</f>
        <v>8592348.1750000007</v>
      </c>
      <c r="U40" s="48">
        <f>+'ACADEMIC SUPP 4yr'!U40+'STU SERVICES 4yr'!U40+'INST SUPPORT 4yr'!U40</f>
        <v>9229127.6850000005</v>
      </c>
      <c r="V40" s="48">
        <f>+'ACADEMIC SUPP 4yr'!V40+'STU SERVICES 4yr'!V40+'INST SUPPORT 4yr'!V40</f>
        <v>10243386.335999999</v>
      </c>
      <c r="W40" s="48">
        <f>+'ACADEMIC SUPP 4yr'!W40+'STU SERVICES 4yr'!W40+'INST SUPPORT 4yr'!W40</f>
        <v>10586887.255000001</v>
      </c>
      <c r="X40" s="48">
        <f>+'ACADEMIC SUPP 4yr'!X40+'STU SERVICES 4yr'!X40+'INST SUPPORT 4yr'!X40</f>
        <v>11051273.125999998</v>
      </c>
      <c r="Y40" s="48">
        <f>+'ACADEMIC SUPP 4yr'!Y40+'STU SERVICES 4yr'!Y40+'INST SUPPORT 4yr'!Y40</f>
        <v>11599347.953</v>
      </c>
      <c r="Z40" s="48">
        <f>+'ACADEMIC SUPP 4yr'!Z40+'STU SERVICES 4yr'!Z40+'INST SUPPORT 4yr'!Z40</f>
        <v>12240403.692000002</v>
      </c>
      <c r="AA40" s="48">
        <f>+'ACADEMIC SUPP 4yr'!AA40+'STU SERVICES 4yr'!AA40+'INST SUPPORT 4yr'!AA40</f>
        <v>12651992.095999999</v>
      </c>
      <c r="AB40" s="48">
        <f>+'ACADEMIC SUPP 4yr'!AB40+'STU SERVICES 4yr'!AB40+'INST SUPPORT 4yr'!AB40</f>
        <v>12792804.230999999</v>
      </c>
      <c r="AC40" s="48">
        <f>+'ACADEMIC SUPP 4yr'!AC40+'STU SERVICES 4yr'!AC40+'INST SUPPORT 4yr'!AC40</f>
        <v>13351552.950999998</v>
      </c>
    </row>
    <row r="41" spans="1:29">
      <c r="A41" s="7" t="s">
        <v>119</v>
      </c>
      <c r="B41" s="48">
        <f>+'ACADEMIC SUPP 4yr'!B41+'STU SERVICES 4yr'!B41+'INST SUPPORT 4yr'!B41</f>
        <v>0</v>
      </c>
      <c r="C41" s="48">
        <f>+'ACADEMIC SUPP 4yr'!C41+'STU SERVICES 4yr'!C41+'INST SUPPORT 4yr'!C41</f>
        <v>0</v>
      </c>
      <c r="D41" s="48">
        <f>+'ACADEMIC SUPP 4yr'!D41+'STU SERVICES 4yr'!D41+'INST SUPPORT 4yr'!D41</f>
        <v>0</v>
      </c>
      <c r="E41" s="48">
        <f>+'ACADEMIC SUPP 4yr'!E41+'STU SERVICES 4yr'!E41+'INST SUPPORT 4yr'!E41</f>
        <v>0</v>
      </c>
      <c r="F41" s="48">
        <f>+'ACADEMIC SUPP 4yr'!F41+'STU SERVICES 4yr'!F41+'INST SUPPORT 4yr'!F41</f>
        <v>0</v>
      </c>
      <c r="G41" s="48">
        <f>+'ACADEMIC SUPP 4yr'!G41+'STU SERVICES 4yr'!G41+'INST SUPPORT 4yr'!G41</f>
        <v>0</v>
      </c>
      <c r="H41" s="48">
        <f>+'ACADEMIC SUPP 4yr'!H41+'STU SERVICES 4yr'!H41+'INST SUPPORT 4yr'!H41</f>
        <v>0</v>
      </c>
      <c r="I41" s="48">
        <f>+'ACADEMIC SUPP 4yr'!I41+'STU SERVICES 4yr'!I41+'INST SUPPORT 4yr'!I41</f>
        <v>0</v>
      </c>
      <c r="J41" s="48">
        <f>+'ACADEMIC SUPP 4yr'!J41+'STU SERVICES 4yr'!J41+'INST SUPPORT 4yr'!J41</f>
        <v>0</v>
      </c>
      <c r="K41" s="48">
        <f>+'ACADEMIC SUPP 4yr'!K41+'STU SERVICES 4yr'!K41+'INST SUPPORT 4yr'!K41</f>
        <v>0</v>
      </c>
      <c r="L41" s="48">
        <f>+'ACADEMIC SUPP 4yr'!L41+'STU SERVICES 4yr'!L41+'INST SUPPORT 4yr'!L41</f>
        <v>0</v>
      </c>
      <c r="M41" s="48">
        <f>+'ACADEMIC SUPP 4yr'!M41+'STU SERVICES 4yr'!M41+'INST SUPPORT 4yr'!M41</f>
        <v>0</v>
      </c>
      <c r="N41" s="48">
        <f>+'ACADEMIC SUPP 4yr'!N41+'STU SERVICES 4yr'!N41+'INST SUPPORT 4yr'!N41</f>
        <v>0</v>
      </c>
      <c r="O41" s="48">
        <f>+'ACADEMIC SUPP 4yr'!O41+'STU SERVICES 4yr'!O41+'INST SUPPORT 4yr'!O41</f>
        <v>0</v>
      </c>
      <c r="P41" s="48">
        <f>+'ACADEMIC SUPP 4yr'!P41+'STU SERVICES 4yr'!P41+'INST SUPPORT 4yr'!P41</f>
        <v>0</v>
      </c>
      <c r="Q41" s="48">
        <f>+'ACADEMIC SUPP 4yr'!Q41+'STU SERVICES 4yr'!Q41+'INST SUPPORT 4yr'!Q41</f>
        <v>0</v>
      </c>
      <c r="R41" s="48">
        <f>+'ACADEMIC SUPP 4yr'!R41+'STU SERVICES 4yr'!R41+'INST SUPPORT 4yr'!R41</f>
        <v>0</v>
      </c>
      <c r="S41" s="48">
        <f>+'ACADEMIC SUPP 4yr'!S41+'STU SERVICES 4yr'!S41+'INST SUPPORT 4yr'!S41</f>
        <v>0</v>
      </c>
      <c r="T41" s="48">
        <f>+'ACADEMIC SUPP 4yr'!T41+'STU SERVICES 4yr'!T41+'INST SUPPORT 4yr'!T41</f>
        <v>0</v>
      </c>
      <c r="U41" s="48">
        <f>+'ACADEMIC SUPP 4yr'!U41+'STU SERVICES 4yr'!U41+'INST SUPPORT 4yr'!U41</f>
        <v>0</v>
      </c>
      <c r="V41" s="48">
        <f>+'ACADEMIC SUPP 4yr'!V41+'STU SERVICES 4yr'!V41+'INST SUPPORT 4yr'!V41</f>
        <v>0</v>
      </c>
      <c r="W41" s="48">
        <f>+'ACADEMIC SUPP 4yr'!W41+'STU SERVICES 4yr'!W41+'INST SUPPORT 4yr'!W41</f>
        <v>0</v>
      </c>
      <c r="X41" s="48">
        <f>+'ACADEMIC SUPP 4yr'!X41+'STU SERVICES 4yr'!X41+'INST SUPPORT 4yr'!X41</f>
        <v>0</v>
      </c>
      <c r="Y41" s="48"/>
      <c r="Z41" s="48"/>
      <c r="AA41" s="48"/>
      <c r="AB41" s="48"/>
      <c r="AC41" s="48"/>
    </row>
    <row r="42" spans="1:29">
      <c r="A42" s="1" t="s">
        <v>93</v>
      </c>
      <c r="B42" s="48">
        <f>+'ACADEMIC SUPP 4yr'!B42+'STU SERVICES 4yr'!B42+'INST SUPPORT 4yr'!B42</f>
        <v>0</v>
      </c>
      <c r="C42" s="48">
        <f>+'ACADEMIC SUPP 4yr'!C42+'STU SERVICES 4yr'!C42+'INST SUPPORT 4yr'!C42</f>
        <v>0</v>
      </c>
      <c r="D42" s="48">
        <f>+'ACADEMIC SUPP 4yr'!D42+'STU SERVICES 4yr'!D42+'INST SUPPORT 4yr'!D42</f>
        <v>0</v>
      </c>
      <c r="E42" s="48">
        <f>+'ACADEMIC SUPP 4yr'!E42+'STU SERVICES 4yr'!E42+'INST SUPPORT 4yr'!E42</f>
        <v>0</v>
      </c>
      <c r="F42" s="48">
        <f>+'ACADEMIC SUPP 4yr'!F42+'STU SERVICES 4yr'!F42+'INST SUPPORT 4yr'!F42</f>
        <v>508838.201</v>
      </c>
      <c r="G42" s="48">
        <f>+'ACADEMIC SUPP 4yr'!G42+'STU SERVICES 4yr'!G42+'INST SUPPORT 4yr'!G42</f>
        <v>0</v>
      </c>
      <c r="H42" s="48">
        <f>+'ACADEMIC SUPP 4yr'!H42+'STU SERVICES 4yr'!H42+'INST SUPPORT 4yr'!H42</f>
        <v>0</v>
      </c>
      <c r="I42" s="48">
        <f>+'ACADEMIC SUPP 4yr'!I42+'STU SERVICES 4yr'!I42+'INST SUPPORT 4yr'!I42</f>
        <v>588699.5959999999</v>
      </c>
      <c r="J42" s="48">
        <f>+'ACADEMIC SUPP 4yr'!J42+'STU SERVICES 4yr'!J42+'INST SUPPORT 4yr'!J42</f>
        <v>0</v>
      </c>
      <c r="K42" s="48">
        <f>+'ACADEMIC SUPP 4yr'!K42+'STU SERVICES 4yr'!K42+'INST SUPPORT 4yr'!K42</f>
        <v>740570.96499999997</v>
      </c>
      <c r="L42" s="48">
        <f>+'ACADEMIC SUPP 4yr'!L42+'STU SERVICES 4yr'!L42+'INST SUPPORT 4yr'!L42</f>
        <v>777290.98499999987</v>
      </c>
      <c r="M42" s="48">
        <f>+'ACADEMIC SUPP 4yr'!M42+'STU SERVICES 4yr'!M42+'INST SUPPORT 4yr'!M42</f>
        <v>825567.20099999988</v>
      </c>
      <c r="N42" s="48">
        <f>+'ACADEMIC SUPP 4yr'!N42+'STU SERVICES 4yr'!N42+'INST SUPPORT 4yr'!N42</f>
        <v>844981.68400000001</v>
      </c>
      <c r="O42" s="48">
        <f>+'ACADEMIC SUPP 4yr'!O42+'STU SERVICES 4yr'!O42+'INST SUPPORT 4yr'!O42</f>
        <v>825744.68200000003</v>
      </c>
      <c r="P42" s="48">
        <f>+'ACADEMIC SUPP 4yr'!P42+'STU SERVICES 4yr'!P42+'INST SUPPORT 4yr'!P42</f>
        <v>982777.77</v>
      </c>
      <c r="Q42" s="48">
        <f>+'ACADEMIC SUPP 4yr'!Q42+'STU SERVICES 4yr'!Q42+'INST SUPPORT 4yr'!Q42</f>
        <v>924903.90699999989</v>
      </c>
      <c r="R42" s="48">
        <f>+'ACADEMIC SUPP 4yr'!R42+'STU SERVICES 4yr'!R42+'INST SUPPORT 4yr'!R42</f>
        <v>888144.93199999991</v>
      </c>
      <c r="S42" s="48">
        <f>+'ACADEMIC SUPP 4yr'!S42+'STU SERVICES 4yr'!S42+'INST SUPPORT 4yr'!S42</f>
        <v>972749.76300000004</v>
      </c>
      <c r="T42" s="48">
        <f>+'ACADEMIC SUPP 4yr'!T42+'STU SERVICES 4yr'!T42+'INST SUPPORT 4yr'!T42</f>
        <v>1062263.591</v>
      </c>
      <c r="U42" s="48">
        <f>+'ACADEMIC SUPP 4yr'!U42+'STU SERVICES 4yr'!U42+'INST SUPPORT 4yr'!U42</f>
        <v>1198217.078</v>
      </c>
      <c r="V42" s="48">
        <f>+'ACADEMIC SUPP 4yr'!V42+'STU SERVICES 4yr'!V42+'INST SUPPORT 4yr'!V42</f>
        <v>1462647.2309999999</v>
      </c>
      <c r="W42" s="48">
        <f>+'ACADEMIC SUPP 4yr'!W42+'STU SERVICES 4yr'!W42+'INST SUPPORT 4yr'!W42</f>
        <v>1475872.8020000001</v>
      </c>
      <c r="X42" s="48">
        <f>+'ACADEMIC SUPP 4yr'!X42+'STU SERVICES 4yr'!X42+'INST SUPPORT 4yr'!X42</f>
        <v>1567685.493</v>
      </c>
      <c r="Y42" s="48">
        <f>+'ACADEMIC SUPP 4yr'!Y42+'STU SERVICES 4yr'!Y42+'INST SUPPORT 4yr'!Y42</f>
        <v>1736543.3510000003</v>
      </c>
      <c r="Z42" s="48">
        <f>+'ACADEMIC SUPP 4yr'!Z42+'STU SERVICES 4yr'!Z42+'INST SUPPORT 4yr'!Z42</f>
        <v>1834631.872</v>
      </c>
      <c r="AA42" s="48">
        <f>+'ACADEMIC SUPP 4yr'!AA42+'STU SERVICES 4yr'!AA42+'INST SUPPORT 4yr'!AA42</f>
        <v>1939169.986</v>
      </c>
      <c r="AB42" s="48">
        <f>+'ACADEMIC SUPP 4yr'!AB42+'STU SERVICES 4yr'!AB42+'INST SUPPORT 4yr'!AB42</f>
        <v>1920077.602</v>
      </c>
      <c r="AC42" s="48">
        <f>+'ACADEMIC SUPP 4yr'!AC42+'STU SERVICES 4yr'!AC42+'INST SUPPORT 4yr'!AC42</f>
        <v>2053383.449</v>
      </c>
    </row>
    <row r="43" spans="1:29">
      <c r="A43" s="1" t="s">
        <v>58</v>
      </c>
      <c r="B43" s="48">
        <f>+'ACADEMIC SUPP 4yr'!B43+'STU SERVICES 4yr'!B43+'INST SUPPORT 4yr'!B43</f>
        <v>0</v>
      </c>
      <c r="C43" s="48">
        <f>+'ACADEMIC SUPP 4yr'!C43+'STU SERVICES 4yr'!C43+'INST SUPPORT 4yr'!C43</f>
        <v>0</v>
      </c>
      <c r="D43" s="48">
        <f>+'ACADEMIC SUPP 4yr'!D43+'STU SERVICES 4yr'!D43+'INST SUPPORT 4yr'!D43</f>
        <v>0</v>
      </c>
      <c r="E43" s="48">
        <f>+'ACADEMIC SUPP 4yr'!E43+'STU SERVICES 4yr'!E43+'INST SUPPORT 4yr'!E43</f>
        <v>0</v>
      </c>
      <c r="F43" s="48">
        <f>+'ACADEMIC SUPP 4yr'!F43+'STU SERVICES 4yr'!F43+'INST SUPPORT 4yr'!F43</f>
        <v>392596.84399999998</v>
      </c>
      <c r="G43" s="48">
        <f>+'ACADEMIC SUPP 4yr'!G43+'STU SERVICES 4yr'!G43+'INST SUPPORT 4yr'!G43</f>
        <v>0</v>
      </c>
      <c r="H43" s="48">
        <f>+'ACADEMIC SUPP 4yr'!H43+'STU SERVICES 4yr'!H43+'INST SUPPORT 4yr'!H43</f>
        <v>0</v>
      </c>
      <c r="I43" s="48">
        <f>+'ACADEMIC SUPP 4yr'!I43+'STU SERVICES 4yr'!I43+'INST SUPPORT 4yr'!I43</f>
        <v>441497.93300000002</v>
      </c>
      <c r="J43" s="48">
        <f>+'ACADEMIC SUPP 4yr'!J43+'STU SERVICES 4yr'!J43+'INST SUPPORT 4yr'!J43</f>
        <v>0</v>
      </c>
      <c r="K43" s="48">
        <f>+'ACADEMIC SUPP 4yr'!K43+'STU SERVICES 4yr'!K43+'INST SUPPORT 4yr'!K43</f>
        <v>487916.929</v>
      </c>
      <c r="L43" s="48">
        <f>+'ACADEMIC SUPP 4yr'!L43+'STU SERVICES 4yr'!L43+'INST SUPPORT 4yr'!L43</f>
        <v>572479.50800000003</v>
      </c>
      <c r="M43" s="48">
        <f>+'ACADEMIC SUPP 4yr'!M43+'STU SERVICES 4yr'!M43+'INST SUPPORT 4yr'!M43</f>
        <v>616602.03500000003</v>
      </c>
      <c r="N43" s="48">
        <f>+'ACADEMIC SUPP 4yr'!N43+'STU SERVICES 4yr'!N43+'INST SUPPORT 4yr'!N43</f>
        <v>699681.21400000004</v>
      </c>
      <c r="O43" s="48">
        <f>+'ACADEMIC SUPP 4yr'!O43+'STU SERVICES 4yr'!O43+'INST SUPPORT 4yr'!O43</f>
        <v>664318.75699999998</v>
      </c>
      <c r="P43" s="48">
        <f>+'ACADEMIC SUPP 4yr'!P43+'STU SERVICES 4yr'!P43+'INST SUPPORT 4yr'!P43</f>
        <v>721654.94700000004</v>
      </c>
      <c r="Q43" s="48">
        <f>+'ACADEMIC SUPP 4yr'!Q43+'STU SERVICES 4yr'!Q43+'INST SUPPORT 4yr'!Q43</f>
        <v>767590.37300000002</v>
      </c>
      <c r="R43" s="48">
        <f>+'ACADEMIC SUPP 4yr'!R43+'STU SERVICES 4yr'!R43+'INST SUPPORT 4yr'!R43</f>
        <v>799843.58400000003</v>
      </c>
      <c r="S43" s="48">
        <f>+'ACADEMIC SUPP 4yr'!S43+'STU SERVICES 4yr'!S43+'INST SUPPORT 4yr'!S43</f>
        <v>857386.19500000007</v>
      </c>
      <c r="T43" s="48">
        <f>+'ACADEMIC SUPP 4yr'!T43+'STU SERVICES 4yr'!T43+'INST SUPPORT 4yr'!T43</f>
        <v>901826.58100000001</v>
      </c>
      <c r="U43" s="48">
        <f>+'ACADEMIC SUPP 4yr'!U43+'STU SERVICES 4yr'!U43+'INST SUPPORT 4yr'!U43</f>
        <v>948980.84199999995</v>
      </c>
      <c r="V43" s="48">
        <f>+'ACADEMIC SUPP 4yr'!V43+'STU SERVICES 4yr'!V43+'INST SUPPORT 4yr'!V43</f>
        <v>1084032.8629999999</v>
      </c>
      <c r="W43" s="48">
        <f>+'ACADEMIC SUPP 4yr'!W43+'STU SERVICES 4yr'!W43+'INST SUPPORT 4yr'!W43</f>
        <v>1084936.8559999999</v>
      </c>
      <c r="X43" s="48">
        <f>+'ACADEMIC SUPP 4yr'!X43+'STU SERVICES 4yr'!X43+'INST SUPPORT 4yr'!X43</f>
        <v>1197729.226</v>
      </c>
      <c r="Y43" s="48">
        <f>+'ACADEMIC SUPP 4yr'!Y43+'STU SERVICES 4yr'!Y43+'INST SUPPORT 4yr'!Y43</f>
        <v>1294148.4280000001</v>
      </c>
      <c r="Z43" s="48">
        <f>+'ACADEMIC SUPP 4yr'!Z43+'STU SERVICES 4yr'!Z43+'INST SUPPORT 4yr'!Z43</f>
        <v>1376711.561</v>
      </c>
      <c r="AA43" s="48">
        <f>+'ACADEMIC SUPP 4yr'!AA43+'STU SERVICES 4yr'!AA43+'INST SUPPORT 4yr'!AA43</f>
        <v>1402584.537</v>
      </c>
      <c r="AB43" s="48">
        <f>+'ACADEMIC SUPP 4yr'!AB43+'STU SERVICES 4yr'!AB43+'INST SUPPORT 4yr'!AB43</f>
        <v>1480572.3149999999</v>
      </c>
      <c r="AC43" s="48">
        <f>+'ACADEMIC SUPP 4yr'!AC43+'STU SERVICES 4yr'!AC43+'INST SUPPORT 4yr'!AC43</f>
        <v>1498653.709</v>
      </c>
    </row>
    <row r="44" spans="1:29">
      <c r="A44" s="1" t="s">
        <v>94</v>
      </c>
      <c r="B44" s="48">
        <f>+'ACADEMIC SUPP 4yr'!B44+'STU SERVICES 4yr'!B44+'INST SUPPORT 4yr'!B44</f>
        <v>0</v>
      </c>
      <c r="C44" s="48">
        <f>+'ACADEMIC SUPP 4yr'!C44+'STU SERVICES 4yr'!C44+'INST SUPPORT 4yr'!C44</f>
        <v>0</v>
      </c>
      <c r="D44" s="48">
        <f>+'ACADEMIC SUPP 4yr'!D44+'STU SERVICES 4yr'!D44+'INST SUPPORT 4yr'!D44</f>
        <v>0</v>
      </c>
      <c r="E44" s="48">
        <f>+'ACADEMIC SUPP 4yr'!E44+'STU SERVICES 4yr'!E44+'INST SUPPORT 4yr'!E44</f>
        <v>0</v>
      </c>
      <c r="F44" s="48">
        <f>+'ACADEMIC SUPP 4yr'!F44+'STU SERVICES 4yr'!F44+'INST SUPPORT 4yr'!F44</f>
        <v>174696.17099999997</v>
      </c>
      <c r="G44" s="48">
        <f>+'ACADEMIC SUPP 4yr'!G44+'STU SERVICES 4yr'!G44+'INST SUPPORT 4yr'!G44</f>
        <v>0</v>
      </c>
      <c r="H44" s="48">
        <f>+'ACADEMIC SUPP 4yr'!H44+'STU SERVICES 4yr'!H44+'INST SUPPORT 4yr'!H44</f>
        <v>0</v>
      </c>
      <c r="I44" s="48">
        <f>+'ACADEMIC SUPP 4yr'!I44+'STU SERVICES 4yr'!I44+'INST SUPPORT 4yr'!I44</f>
        <v>210270.32199999999</v>
      </c>
      <c r="J44" s="48">
        <f>+'ACADEMIC SUPP 4yr'!J44+'STU SERVICES 4yr'!J44+'INST SUPPORT 4yr'!J44</f>
        <v>0</v>
      </c>
      <c r="K44" s="48">
        <f>+'ACADEMIC SUPP 4yr'!K44+'STU SERVICES 4yr'!K44+'INST SUPPORT 4yr'!K44</f>
        <v>234962.033</v>
      </c>
      <c r="L44" s="48">
        <f>+'ACADEMIC SUPP 4yr'!L44+'STU SERVICES 4yr'!L44+'INST SUPPORT 4yr'!L44</f>
        <v>280345.41899999999</v>
      </c>
      <c r="M44" s="48">
        <f>+'ACADEMIC SUPP 4yr'!M44+'STU SERVICES 4yr'!M44+'INST SUPPORT 4yr'!M44</f>
        <v>318284.755</v>
      </c>
      <c r="N44" s="48">
        <f>+'ACADEMIC SUPP 4yr'!N44+'STU SERVICES 4yr'!N44+'INST SUPPORT 4yr'!N44</f>
        <v>290589.61</v>
      </c>
      <c r="O44" s="48">
        <f>+'ACADEMIC SUPP 4yr'!O44+'STU SERVICES 4yr'!O44+'INST SUPPORT 4yr'!O44</f>
        <v>322073.47700000001</v>
      </c>
      <c r="P44" s="48">
        <f>+'ACADEMIC SUPP 4yr'!P44+'STU SERVICES 4yr'!P44+'INST SUPPORT 4yr'!P44</f>
        <v>326769.47499999998</v>
      </c>
      <c r="Q44" s="48">
        <f>+'ACADEMIC SUPP 4yr'!Q44+'STU SERVICES 4yr'!Q44+'INST SUPPORT 4yr'!Q44</f>
        <v>341162.29099999997</v>
      </c>
      <c r="R44" s="48">
        <f>+'ACADEMIC SUPP 4yr'!R44+'STU SERVICES 4yr'!R44+'INST SUPPORT 4yr'!R44</f>
        <v>356097.36200000002</v>
      </c>
      <c r="S44" s="48">
        <f>+'ACADEMIC SUPP 4yr'!S44+'STU SERVICES 4yr'!S44+'INST SUPPORT 4yr'!S44</f>
        <v>385458.745</v>
      </c>
      <c r="T44" s="48">
        <f>+'ACADEMIC SUPP 4yr'!T44+'STU SERVICES 4yr'!T44+'INST SUPPORT 4yr'!T44</f>
        <v>416740.84600000002</v>
      </c>
      <c r="U44" s="48">
        <f>+'ACADEMIC SUPP 4yr'!U44+'STU SERVICES 4yr'!U44+'INST SUPPORT 4yr'!U44</f>
        <v>473226.44700000004</v>
      </c>
      <c r="V44" s="48">
        <f>+'ACADEMIC SUPP 4yr'!V44+'STU SERVICES 4yr'!V44+'INST SUPPORT 4yr'!V44</f>
        <v>554448.66300000006</v>
      </c>
      <c r="W44" s="48">
        <f>+'ACADEMIC SUPP 4yr'!W44+'STU SERVICES 4yr'!W44+'INST SUPPORT 4yr'!W44</f>
        <v>541335.06000000006</v>
      </c>
      <c r="X44" s="48">
        <f>+'ACADEMIC SUPP 4yr'!X44+'STU SERVICES 4yr'!X44+'INST SUPPORT 4yr'!X44</f>
        <v>571246.95199999993</v>
      </c>
      <c r="Y44" s="48">
        <f>+'ACADEMIC SUPP 4yr'!Y44+'STU SERVICES 4yr'!Y44+'INST SUPPORT 4yr'!Y44</f>
        <v>635164.68900000001</v>
      </c>
      <c r="Z44" s="48">
        <f>+'ACADEMIC SUPP 4yr'!Z44+'STU SERVICES 4yr'!Z44+'INST SUPPORT 4yr'!Z44</f>
        <v>637641.06299999997</v>
      </c>
      <c r="AA44" s="48">
        <f>+'ACADEMIC SUPP 4yr'!AA44+'STU SERVICES 4yr'!AA44+'INST SUPPORT 4yr'!AA44</f>
        <v>693260.32799999998</v>
      </c>
      <c r="AB44" s="48">
        <f>+'ACADEMIC SUPP 4yr'!AB44+'STU SERVICES 4yr'!AB44+'INST SUPPORT 4yr'!AB44</f>
        <v>643921.92500000005</v>
      </c>
      <c r="AC44" s="48">
        <f>+'ACADEMIC SUPP 4yr'!AC44+'STU SERVICES 4yr'!AC44+'INST SUPPORT 4yr'!AC44</f>
        <v>693434.05799999996</v>
      </c>
    </row>
    <row r="45" spans="1:29">
      <c r="A45" s="1" t="s">
        <v>95</v>
      </c>
      <c r="B45" s="48">
        <f>+'ACADEMIC SUPP 4yr'!B45+'STU SERVICES 4yr'!B45+'INST SUPPORT 4yr'!B45</f>
        <v>0</v>
      </c>
      <c r="C45" s="48">
        <f>+'ACADEMIC SUPP 4yr'!C45+'STU SERVICES 4yr'!C45+'INST SUPPORT 4yr'!C45</f>
        <v>0</v>
      </c>
      <c r="D45" s="48">
        <f>+'ACADEMIC SUPP 4yr'!D45+'STU SERVICES 4yr'!D45+'INST SUPPORT 4yr'!D45</f>
        <v>0</v>
      </c>
      <c r="E45" s="48">
        <f>+'ACADEMIC SUPP 4yr'!E45+'STU SERVICES 4yr'!E45+'INST SUPPORT 4yr'!E45</f>
        <v>0</v>
      </c>
      <c r="F45" s="48">
        <f>+'ACADEMIC SUPP 4yr'!F45+'STU SERVICES 4yr'!F45+'INST SUPPORT 4yr'!F45</f>
        <v>180654.15400000001</v>
      </c>
      <c r="G45" s="48">
        <f>+'ACADEMIC SUPP 4yr'!G45+'STU SERVICES 4yr'!G45+'INST SUPPORT 4yr'!G45</f>
        <v>0</v>
      </c>
      <c r="H45" s="48">
        <f>+'ACADEMIC SUPP 4yr'!H45+'STU SERVICES 4yr'!H45+'INST SUPPORT 4yr'!H45</f>
        <v>0</v>
      </c>
      <c r="I45" s="48">
        <f>+'ACADEMIC SUPP 4yr'!I45+'STU SERVICES 4yr'!I45+'INST SUPPORT 4yr'!I45</f>
        <v>215351.424</v>
      </c>
      <c r="J45" s="48">
        <f>+'ACADEMIC SUPP 4yr'!J45+'STU SERVICES 4yr'!J45+'INST SUPPORT 4yr'!J45</f>
        <v>0</v>
      </c>
      <c r="K45" s="48">
        <f>+'ACADEMIC SUPP 4yr'!K45+'STU SERVICES 4yr'!K45+'INST SUPPORT 4yr'!K45</f>
        <v>232622.95598999999</v>
      </c>
      <c r="L45" s="48">
        <f>+'ACADEMIC SUPP 4yr'!L45+'STU SERVICES 4yr'!L45+'INST SUPPORT 4yr'!L45</f>
        <v>290345.66100000002</v>
      </c>
      <c r="M45" s="48">
        <f>+'ACADEMIC SUPP 4yr'!M45+'STU SERVICES 4yr'!M45+'INST SUPPORT 4yr'!M45</f>
        <v>287519.13199999998</v>
      </c>
      <c r="N45" s="48">
        <f>+'ACADEMIC SUPP 4yr'!N45+'STU SERVICES 4yr'!N45+'INST SUPPORT 4yr'!N45</f>
        <v>318318.96100000001</v>
      </c>
      <c r="O45" s="48">
        <f>+'ACADEMIC SUPP 4yr'!O45+'STU SERVICES 4yr'!O45+'INST SUPPORT 4yr'!O45</f>
        <v>313825.90100000001</v>
      </c>
      <c r="P45" s="48">
        <f>+'ACADEMIC SUPP 4yr'!P45+'STU SERVICES 4yr'!P45+'INST SUPPORT 4yr'!P45</f>
        <v>314666.06900000002</v>
      </c>
      <c r="Q45" s="48">
        <f>+'ACADEMIC SUPP 4yr'!Q45+'STU SERVICES 4yr'!Q45+'INST SUPPORT 4yr'!Q45</f>
        <v>340303.55600000004</v>
      </c>
      <c r="R45" s="48">
        <f>+'ACADEMIC SUPP 4yr'!R45+'STU SERVICES 4yr'!R45+'INST SUPPORT 4yr'!R45</f>
        <v>361318.288</v>
      </c>
      <c r="S45" s="48">
        <f>+'ACADEMIC SUPP 4yr'!S45+'STU SERVICES 4yr'!S45+'INST SUPPORT 4yr'!S45</f>
        <v>377805.78200000001</v>
      </c>
      <c r="T45" s="48">
        <f>+'ACADEMIC SUPP 4yr'!T45+'STU SERVICES 4yr'!T45+'INST SUPPORT 4yr'!T45</f>
        <v>415693.94199999998</v>
      </c>
      <c r="U45" s="48">
        <f>+'ACADEMIC SUPP 4yr'!U45+'STU SERVICES 4yr'!U45+'INST SUPPORT 4yr'!U45</f>
        <v>456860.82399999996</v>
      </c>
      <c r="V45" s="48">
        <f>+'ACADEMIC SUPP 4yr'!V45+'STU SERVICES 4yr'!V45+'INST SUPPORT 4yr'!V45</f>
        <v>515919.95600000001</v>
      </c>
      <c r="W45" s="48">
        <f>+'ACADEMIC SUPP 4yr'!W45+'STU SERVICES 4yr'!W45+'INST SUPPORT 4yr'!W45</f>
        <v>547154.24100000004</v>
      </c>
      <c r="X45" s="48">
        <f>+'ACADEMIC SUPP 4yr'!X45+'STU SERVICES 4yr'!X45+'INST SUPPORT 4yr'!X45</f>
        <v>584296.22600000002</v>
      </c>
      <c r="Y45" s="48">
        <f>+'ACADEMIC SUPP 4yr'!Y45+'STU SERVICES 4yr'!Y45+'INST SUPPORT 4yr'!Y45</f>
        <v>553480.79399999999</v>
      </c>
      <c r="Z45" s="48">
        <f>+'ACADEMIC SUPP 4yr'!Z45+'STU SERVICES 4yr'!Z45+'INST SUPPORT 4yr'!Z45</f>
        <v>578914.10400000005</v>
      </c>
      <c r="AA45" s="48">
        <f>+'ACADEMIC SUPP 4yr'!AA45+'STU SERVICES 4yr'!AA45+'INST SUPPORT 4yr'!AA45</f>
        <v>603922.97900000005</v>
      </c>
      <c r="AB45" s="48">
        <f>+'ACADEMIC SUPP 4yr'!AB45+'STU SERVICES 4yr'!AB45+'INST SUPPORT 4yr'!AB45</f>
        <v>547968.94400000002</v>
      </c>
      <c r="AC45" s="48">
        <f>+'ACADEMIC SUPP 4yr'!AC45+'STU SERVICES 4yr'!AC45+'INST SUPPORT 4yr'!AC45</f>
        <v>549447.74399999995</v>
      </c>
    </row>
    <row r="46" spans="1:29">
      <c r="A46" s="1" t="s">
        <v>98</v>
      </c>
      <c r="B46" s="48">
        <f>+'ACADEMIC SUPP 4yr'!B46+'STU SERVICES 4yr'!B46+'INST SUPPORT 4yr'!B46</f>
        <v>0</v>
      </c>
      <c r="C46" s="48">
        <f>+'ACADEMIC SUPP 4yr'!C46+'STU SERVICES 4yr'!C46+'INST SUPPORT 4yr'!C46</f>
        <v>0</v>
      </c>
      <c r="D46" s="48">
        <f>+'ACADEMIC SUPP 4yr'!D46+'STU SERVICES 4yr'!D46+'INST SUPPORT 4yr'!D46</f>
        <v>0</v>
      </c>
      <c r="E46" s="48">
        <f>+'ACADEMIC SUPP 4yr'!E46+'STU SERVICES 4yr'!E46+'INST SUPPORT 4yr'!E46</f>
        <v>0</v>
      </c>
      <c r="F46" s="48">
        <f>+'ACADEMIC SUPP 4yr'!F46+'STU SERVICES 4yr'!F46+'INST SUPPORT 4yr'!F46</f>
        <v>664410.77099999995</v>
      </c>
      <c r="G46" s="48">
        <f>+'ACADEMIC SUPP 4yr'!G46+'STU SERVICES 4yr'!G46+'INST SUPPORT 4yr'!G46</f>
        <v>0</v>
      </c>
      <c r="H46" s="48">
        <f>+'ACADEMIC SUPP 4yr'!H46+'STU SERVICES 4yr'!H46+'INST SUPPORT 4yr'!H46</f>
        <v>0</v>
      </c>
      <c r="I46" s="48">
        <f>+'ACADEMIC SUPP 4yr'!I46+'STU SERVICES 4yr'!I46+'INST SUPPORT 4yr'!I46</f>
        <v>737925.68599999999</v>
      </c>
      <c r="J46" s="48">
        <f>+'ACADEMIC SUPP 4yr'!J46+'STU SERVICES 4yr'!J46+'INST SUPPORT 4yr'!J46</f>
        <v>0</v>
      </c>
      <c r="K46" s="48">
        <f>+'ACADEMIC SUPP 4yr'!K46+'STU SERVICES 4yr'!K46+'INST SUPPORT 4yr'!K46</f>
        <v>830118.21600000001</v>
      </c>
      <c r="L46" s="48">
        <f>+'ACADEMIC SUPP 4yr'!L46+'STU SERVICES 4yr'!L46+'INST SUPPORT 4yr'!L46</f>
        <v>1008783.883</v>
      </c>
      <c r="M46" s="48">
        <f>+'ACADEMIC SUPP 4yr'!M46+'STU SERVICES 4yr'!M46+'INST SUPPORT 4yr'!M46</f>
        <v>1096029.1839999999</v>
      </c>
      <c r="N46" s="48">
        <f>+'ACADEMIC SUPP 4yr'!N46+'STU SERVICES 4yr'!N46+'INST SUPPORT 4yr'!N46</f>
        <v>1056977.091</v>
      </c>
      <c r="O46" s="48">
        <f>+'ACADEMIC SUPP 4yr'!O46+'STU SERVICES 4yr'!O46+'INST SUPPORT 4yr'!O46</f>
        <v>1095878.4350000001</v>
      </c>
      <c r="P46" s="48">
        <f>+'ACADEMIC SUPP 4yr'!P46+'STU SERVICES 4yr'!P46+'INST SUPPORT 4yr'!P46</f>
        <v>1076451.7319999998</v>
      </c>
      <c r="Q46" s="48">
        <f>+'ACADEMIC SUPP 4yr'!Q46+'STU SERVICES 4yr'!Q46+'INST SUPPORT 4yr'!Q46</f>
        <v>1115016.7509999999</v>
      </c>
      <c r="R46" s="48">
        <f>+'ACADEMIC SUPP 4yr'!R46+'STU SERVICES 4yr'!R46+'INST SUPPORT 4yr'!R46</f>
        <v>1180547.7220000001</v>
      </c>
      <c r="S46" s="48">
        <f>+'ACADEMIC SUPP 4yr'!S46+'STU SERVICES 4yr'!S46+'INST SUPPORT 4yr'!S46</f>
        <v>1218923.3799999999</v>
      </c>
      <c r="T46" s="48">
        <f>+'ACADEMIC SUPP 4yr'!T46+'STU SERVICES 4yr'!T46+'INST SUPPORT 4yr'!T46</f>
        <v>1622552.4959999998</v>
      </c>
      <c r="U46" s="48">
        <f>+'ACADEMIC SUPP 4yr'!U46+'STU SERVICES 4yr'!U46+'INST SUPPORT 4yr'!U46</f>
        <v>1733723.3289999999</v>
      </c>
      <c r="V46" s="48">
        <f>+'ACADEMIC SUPP 4yr'!V46+'STU SERVICES 4yr'!V46+'INST SUPPORT 4yr'!V46</f>
        <v>1795934.4350000001</v>
      </c>
      <c r="W46" s="48">
        <f>+'ACADEMIC SUPP 4yr'!W46+'STU SERVICES 4yr'!W46+'INST SUPPORT 4yr'!W46</f>
        <v>1822567.15</v>
      </c>
      <c r="X46" s="48">
        <f>+'ACADEMIC SUPP 4yr'!X46+'STU SERVICES 4yr'!X46+'INST SUPPORT 4yr'!X46</f>
        <v>1918149.9300000002</v>
      </c>
      <c r="Y46" s="48">
        <f>+'ACADEMIC SUPP 4yr'!Y46+'STU SERVICES 4yr'!Y46+'INST SUPPORT 4yr'!Y46</f>
        <v>1989130.4270000001</v>
      </c>
      <c r="Z46" s="48">
        <f>+'ACADEMIC SUPP 4yr'!Z46+'STU SERVICES 4yr'!Z46+'INST SUPPORT 4yr'!Z46</f>
        <v>2063417.5750000002</v>
      </c>
      <c r="AA46" s="48">
        <f>+'ACADEMIC SUPP 4yr'!AA46+'STU SERVICES 4yr'!AA46+'INST SUPPORT 4yr'!AA46</f>
        <v>2177279.9720000001</v>
      </c>
      <c r="AB46" s="48">
        <f>+'ACADEMIC SUPP 4yr'!AB46+'STU SERVICES 4yr'!AB46+'INST SUPPORT 4yr'!AB46</f>
        <v>2215475.6359999999</v>
      </c>
      <c r="AC46" s="48">
        <f>+'ACADEMIC SUPP 4yr'!AC46+'STU SERVICES 4yr'!AC46+'INST SUPPORT 4yr'!AC46</f>
        <v>2285235.4079999998</v>
      </c>
    </row>
    <row r="47" spans="1:29">
      <c r="A47" s="1" t="s">
        <v>99</v>
      </c>
      <c r="B47" s="48">
        <f>+'ACADEMIC SUPP 4yr'!B47+'STU SERVICES 4yr'!B47+'INST SUPPORT 4yr'!B47</f>
        <v>0</v>
      </c>
      <c r="C47" s="48">
        <f>+'ACADEMIC SUPP 4yr'!C47+'STU SERVICES 4yr'!C47+'INST SUPPORT 4yr'!C47</f>
        <v>0</v>
      </c>
      <c r="D47" s="48">
        <f>+'ACADEMIC SUPP 4yr'!D47+'STU SERVICES 4yr'!D47+'INST SUPPORT 4yr'!D47</f>
        <v>0</v>
      </c>
      <c r="E47" s="48">
        <f>+'ACADEMIC SUPP 4yr'!E47+'STU SERVICES 4yr'!E47+'INST SUPPORT 4yr'!E47</f>
        <v>0</v>
      </c>
      <c r="F47" s="48">
        <f>+'ACADEMIC SUPP 4yr'!F47+'STU SERVICES 4yr'!F47+'INST SUPPORT 4yr'!F47</f>
        <v>332485.16099999996</v>
      </c>
      <c r="G47" s="48">
        <f>+'ACADEMIC SUPP 4yr'!G47+'STU SERVICES 4yr'!G47+'INST SUPPORT 4yr'!G47</f>
        <v>0</v>
      </c>
      <c r="H47" s="48">
        <f>+'ACADEMIC SUPP 4yr'!H47+'STU SERVICES 4yr'!H47+'INST SUPPORT 4yr'!H47</f>
        <v>0</v>
      </c>
      <c r="I47" s="48">
        <f>+'ACADEMIC SUPP 4yr'!I47+'STU SERVICES 4yr'!I47+'INST SUPPORT 4yr'!I47</f>
        <v>398945.63100000005</v>
      </c>
      <c r="J47" s="48">
        <f>+'ACADEMIC SUPP 4yr'!J47+'STU SERVICES 4yr'!J47+'INST SUPPORT 4yr'!J47</f>
        <v>0</v>
      </c>
      <c r="K47" s="48">
        <f>+'ACADEMIC SUPP 4yr'!K47+'STU SERVICES 4yr'!K47+'INST SUPPORT 4yr'!K47</f>
        <v>430675.7</v>
      </c>
      <c r="L47" s="48">
        <f>+'ACADEMIC SUPP 4yr'!L47+'STU SERVICES 4yr'!L47+'INST SUPPORT 4yr'!L47</f>
        <v>587514.16099999996</v>
      </c>
      <c r="M47" s="48">
        <f>+'ACADEMIC SUPP 4yr'!M47+'STU SERVICES 4yr'!M47+'INST SUPPORT 4yr'!M47</f>
        <v>586031.80200000003</v>
      </c>
      <c r="N47" s="48">
        <f>+'ACADEMIC SUPP 4yr'!N47+'STU SERVICES 4yr'!N47+'INST SUPPORT 4yr'!N47</f>
        <v>605153.70299999998</v>
      </c>
      <c r="O47" s="48">
        <f>+'ACADEMIC SUPP 4yr'!O47+'STU SERVICES 4yr'!O47+'INST SUPPORT 4yr'!O47</f>
        <v>643100.41999999993</v>
      </c>
      <c r="P47" s="48">
        <f>+'ACADEMIC SUPP 4yr'!P47+'STU SERVICES 4yr'!P47+'INST SUPPORT 4yr'!P47</f>
        <v>632060.83799999999</v>
      </c>
      <c r="Q47" s="48">
        <f>+'ACADEMIC SUPP 4yr'!Q47+'STU SERVICES 4yr'!Q47+'INST SUPPORT 4yr'!Q47</f>
        <v>653615.70699999994</v>
      </c>
      <c r="R47" s="48">
        <f>+'ACADEMIC SUPP 4yr'!R47+'STU SERVICES 4yr'!R47+'INST SUPPORT 4yr'!R47</f>
        <v>719529.62</v>
      </c>
      <c r="S47" s="48">
        <f>+'ACADEMIC SUPP 4yr'!S47+'STU SERVICES 4yr'!S47+'INST SUPPORT 4yr'!S47</f>
        <v>810783.11499999999</v>
      </c>
      <c r="T47" s="48">
        <f>+'ACADEMIC SUPP 4yr'!T47+'STU SERVICES 4yr'!T47+'INST SUPPORT 4yr'!T47</f>
        <v>868481.06099999999</v>
      </c>
      <c r="U47" s="48">
        <f>+'ACADEMIC SUPP 4yr'!U47+'STU SERVICES 4yr'!U47+'INST SUPPORT 4yr'!U47</f>
        <v>1115637.632</v>
      </c>
      <c r="V47" s="48">
        <f>+'ACADEMIC SUPP 4yr'!V47+'STU SERVICES 4yr'!V47+'INST SUPPORT 4yr'!V47</f>
        <v>1131814.693</v>
      </c>
      <c r="W47" s="48">
        <f>+'ACADEMIC SUPP 4yr'!W47+'STU SERVICES 4yr'!W47+'INST SUPPORT 4yr'!W47</f>
        <v>1096174.6259999999</v>
      </c>
      <c r="X47" s="48">
        <f>+'ACADEMIC SUPP 4yr'!X47+'STU SERVICES 4yr'!X47+'INST SUPPORT 4yr'!X47</f>
        <v>1103275.111</v>
      </c>
      <c r="Y47" s="48">
        <f>+'ACADEMIC SUPP 4yr'!Y47+'STU SERVICES 4yr'!Y47+'INST SUPPORT 4yr'!Y47</f>
        <v>1140495.03</v>
      </c>
      <c r="Z47" s="48">
        <f>+'ACADEMIC SUPP 4yr'!Z47+'STU SERVICES 4yr'!Z47+'INST SUPPORT 4yr'!Z47</f>
        <v>1264082.611</v>
      </c>
      <c r="AA47" s="48">
        <f>+'ACADEMIC SUPP 4yr'!AA47+'STU SERVICES 4yr'!AA47+'INST SUPPORT 4yr'!AA47</f>
        <v>1233554.6569999999</v>
      </c>
      <c r="AB47" s="48">
        <f>+'ACADEMIC SUPP 4yr'!AB47+'STU SERVICES 4yr'!AB47+'INST SUPPORT 4yr'!AB47</f>
        <v>1263021.389</v>
      </c>
      <c r="AC47" s="48">
        <f>+'ACADEMIC SUPP 4yr'!AC47+'STU SERVICES 4yr'!AC47+'INST SUPPORT 4yr'!AC47</f>
        <v>1317466.5829999999</v>
      </c>
    </row>
    <row r="48" spans="1:29">
      <c r="A48" s="1" t="s">
        <v>59</v>
      </c>
      <c r="B48" s="48">
        <f>+'ACADEMIC SUPP 4yr'!B48+'STU SERVICES 4yr'!B48+'INST SUPPORT 4yr'!B48</f>
        <v>0</v>
      </c>
      <c r="C48" s="48">
        <f>+'ACADEMIC SUPP 4yr'!C48+'STU SERVICES 4yr'!C48+'INST SUPPORT 4yr'!C48</f>
        <v>0</v>
      </c>
      <c r="D48" s="48">
        <f>+'ACADEMIC SUPP 4yr'!D48+'STU SERVICES 4yr'!D48+'INST SUPPORT 4yr'!D48</f>
        <v>0</v>
      </c>
      <c r="E48" s="48">
        <f>+'ACADEMIC SUPP 4yr'!E48+'STU SERVICES 4yr'!E48+'INST SUPPORT 4yr'!E48</f>
        <v>0</v>
      </c>
      <c r="F48" s="48">
        <f>+'ACADEMIC SUPP 4yr'!F48+'STU SERVICES 4yr'!F48+'INST SUPPORT 4yr'!F48</f>
        <v>218127.74700000003</v>
      </c>
      <c r="G48" s="48">
        <f>+'ACADEMIC SUPP 4yr'!G48+'STU SERVICES 4yr'!G48+'INST SUPPORT 4yr'!G48</f>
        <v>0</v>
      </c>
      <c r="H48" s="48">
        <f>+'ACADEMIC SUPP 4yr'!H48+'STU SERVICES 4yr'!H48+'INST SUPPORT 4yr'!H48</f>
        <v>0</v>
      </c>
      <c r="I48" s="48">
        <f>+'ACADEMIC SUPP 4yr'!I48+'STU SERVICES 4yr'!I48+'INST SUPPORT 4yr'!I48</f>
        <v>263624.38199999998</v>
      </c>
      <c r="J48" s="48">
        <f>+'ACADEMIC SUPP 4yr'!J48+'STU SERVICES 4yr'!J48+'INST SUPPORT 4yr'!J48</f>
        <v>0</v>
      </c>
      <c r="K48" s="48">
        <f>+'ACADEMIC SUPP 4yr'!K48+'STU SERVICES 4yr'!K48+'INST SUPPORT 4yr'!K48</f>
        <v>323358.89899999998</v>
      </c>
      <c r="L48" s="48">
        <f>+'ACADEMIC SUPP 4yr'!L48+'STU SERVICES 4yr'!L48+'INST SUPPORT 4yr'!L48</f>
        <v>360631.54600000003</v>
      </c>
      <c r="M48" s="48">
        <f>+'ACADEMIC SUPP 4yr'!M48+'STU SERVICES 4yr'!M48+'INST SUPPORT 4yr'!M48</f>
        <v>511748.91099999996</v>
      </c>
      <c r="N48" s="48">
        <f>+'ACADEMIC SUPP 4yr'!N48+'STU SERVICES 4yr'!N48+'INST SUPPORT 4yr'!N48</f>
        <v>397072.45300000004</v>
      </c>
      <c r="O48" s="48">
        <f>+'ACADEMIC SUPP 4yr'!O48+'STU SERVICES 4yr'!O48+'INST SUPPORT 4yr'!O48</f>
        <v>378191.97200000007</v>
      </c>
      <c r="P48" s="48">
        <f>+'ACADEMIC SUPP 4yr'!P48+'STU SERVICES 4yr'!P48+'INST SUPPORT 4yr'!P48</f>
        <v>412750.88</v>
      </c>
      <c r="Q48" s="48">
        <f>+'ACADEMIC SUPP 4yr'!Q48+'STU SERVICES 4yr'!Q48+'INST SUPPORT 4yr'!Q48</f>
        <v>445123.67500000005</v>
      </c>
      <c r="R48" s="48">
        <f>+'ACADEMIC SUPP 4yr'!R48+'STU SERVICES 4yr'!R48+'INST SUPPORT 4yr'!R48</f>
        <v>450697.34700000001</v>
      </c>
      <c r="S48" s="48">
        <f>+'ACADEMIC SUPP 4yr'!S48+'STU SERVICES 4yr'!S48+'INST SUPPORT 4yr'!S48</f>
        <v>454026.76300000004</v>
      </c>
      <c r="T48" s="48">
        <f>+'ACADEMIC SUPP 4yr'!T48+'STU SERVICES 4yr'!T48+'INST SUPPORT 4yr'!T48</f>
        <v>511633.26300000004</v>
      </c>
      <c r="U48" s="48">
        <f>+'ACADEMIC SUPP 4yr'!U48+'STU SERVICES 4yr'!U48+'INST SUPPORT 4yr'!U48</f>
        <v>529049.902</v>
      </c>
      <c r="V48" s="48">
        <f>+'ACADEMIC SUPP 4yr'!V48+'STU SERVICES 4yr'!V48+'INST SUPPORT 4yr'!V48</f>
        <v>546913.60499999998</v>
      </c>
      <c r="W48" s="48">
        <f>+'ACADEMIC SUPP 4yr'!W48+'STU SERVICES 4yr'!W48+'INST SUPPORT 4yr'!W48</f>
        <v>590797.56099999999</v>
      </c>
      <c r="X48" s="48">
        <f>+'ACADEMIC SUPP 4yr'!X48+'STU SERVICES 4yr'!X48+'INST SUPPORT 4yr'!X48</f>
        <v>624922.43299999996</v>
      </c>
      <c r="Y48" s="48">
        <f>+'ACADEMIC SUPP 4yr'!Y48+'STU SERVICES 4yr'!Y48+'INST SUPPORT 4yr'!Y48</f>
        <v>621704.81200000003</v>
      </c>
      <c r="Z48" s="48">
        <f>+'ACADEMIC SUPP 4yr'!Z48+'STU SERVICES 4yr'!Z48+'INST SUPPORT 4yr'!Z48</f>
        <v>659827.43900000001</v>
      </c>
      <c r="AA48" s="48">
        <f>+'ACADEMIC SUPP 4yr'!AA48+'STU SERVICES 4yr'!AA48+'INST SUPPORT 4yr'!AA48</f>
        <v>704131.31499999994</v>
      </c>
      <c r="AB48" s="48">
        <f>+'ACADEMIC SUPP 4yr'!AB48+'STU SERVICES 4yr'!AB48+'INST SUPPORT 4yr'!AB48</f>
        <v>736053.66399999999</v>
      </c>
      <c r="AC48" s="48">
        <f>+'ACADEMIC SUPP 4yr'!AC48+'STU SERVICES 4yr'!AC48+'INST SUPPORT 4yr'!AC48</f>
        <v>732419.65599999996</v>
      </c>
    </row>
    <row r="49" spans="1:29">
      <c r="A49" s="1" t="s">
        <v>101</v>
      </c>
      <c r="B49" s="48">
        <f>+'ACADEMIC SUPP 4yr'!B49+'STU SERVICES 4yr'!B49+'INST SUPPORT 4yr'!B49</f>
        <v>0</v>
      </c>
      <c r="C49" s="48">
        <f>+'ACADEMIC SUPP 4yr'!C49+'STU SERVICES 4yr'!C49+'INST SUPPORT 4yr'!C49</f>
        <v>0</v>
      </c>
      <c r="D49" s="48">
        <f>+'ACADEMIC SUPP 4yr'!D49+'STU SERVICES 4yr'!D49+'INST SUPPORT 4yr'!D49</f>
        <v>0</v>
      </c>
      <c r="E49" s="48">
        <f>+'ACADEMIC SUPP 4yr'!E49+'STU SERVICES 4yr'!E49+'INST SUPPORT 4yr'!E49</f>
        <v>0</v>
      </c>
      <c r="F49" s="48">
        <f>+'ACADEMIC SUPP 4yr'!F49+'STU SERVICES 4yr'!F49+'INST SUPPORT 4yr'!F49</f>
        <v>111719.201</v>
      </c>
      <c r="G49" s="48">
        <f>+'ACADEMIC SUPP 4yr'!G49+'STU SERVICES 4yr'!G49+'INST SUPPORT 4yr'!G49</f>
        <v>0</v>
      </c>
      <c r="H49" s="48">
        <f>+'ACADEMIC SUPP 4yr'!H49+'STU SERVICES 4yr'!H49+'INST SUPPORT 4yr'!H49</f>
        <v>0</v>
      </c>
      <c r="I49" s="48">
        <f>+'ACADEMIC SUPP 4yr'!I49+'STU SERVICES 4yr'!I49+'INST SUPPORT 4yr'!I49</f>
        <v>124821.448</v>
      </c>
      <c r="J49" s="48">
        <f>+'ACADEMIC SUPP 4yr'!J49+'STU SERVICES 4yr'!J49+'INST SUPPORT 4yr'!J49</f>
        <v>0</v>
      </c>
      <c r="K49" s="48">
        <f>+'ACADEMIC SUPP 4yr'!K49+'STU SERVICES 4yr'!K49+'INST SUPPORT 4yr'!K49</f>
        <v>146638.43599999999</v>
      </c>
      <c r="L49" s="48">
        <f>+'ACADEMIC SUPP 4yr'!L49+'STU SERVICES 4yr'!L49+'INST SUPPORT 4yr'!L49</f>
        <v>159091.79399999999</v>
      </c>
      <c r="M49" s="48">
        <f>+'ACADEMIC SUPP 4yr'!M49+'STU SERVICES 4yr'!M49+'INST SUPPORT 4yr'!M49</f>
        <v>168066.573</v>
      </c>
      <c r="N49" s="48">
        <f>+'ACADEMIC SUPP 4yr'!N49+'STU SERVICES 4yr'!N49+'INST SUPPORT 4yr'!N49</f>
        <v>177342.50299999997</v>
      </c>
      <c r="O49" s="48">
        <f>+'ACADEMIC SUPP 4yr'!O49+'STU SERVICES 4yr'!O49+'INST SUPPORT 4yr'!O49</f>
        <v>180574.50900000002</v>
      </c>
      <c r="P49" s="48">
        <f>+'ACADEMIC SUPP 4yr'!P49+'STU SERVICES 4yr'!P49+'INST SUPPORT 4yr'!P49</f>
        <v>186300.91600000003</v>
      </c>
      <c r="Q49" s="48">
        <f>+'ACADEMIC SUPP 4yr'!Q49+'STU SERVICES 4yr'!Q49+'INST SUPPORT 4yr'!Q49</f>
        <v>199702.022</v>
      </c>
      <c r="R49" s="48">
        <f>+'ACADEMIC SUPP 4yr'!R49+'STU SERVICES 4yr'!R49+'INST SUPPORT 4yr'!R49</f>
        <v>206826.25300000003</v>
      </c>
      <c r="S49" s="48">
        <f>+'ACADEMIC SUPP 4yr'!S49+'STU SERVICES 4yr'!S49+'INST SUPPORT 4yr'!S49</f>
        <v>214627.59500000003</v>
      </c>
      <c r="T49" s="48">
        <f>+'ACADEMIC SUPP 4yr'!T49+'STU SERVICES 4yr'!T49+'INST SUPPORT 4yr'!T49</f>
        <v>236209.85000000003</v>
      </c>
      <c r="U49" s="48">
        <f>+'ACADEMIC SUPP 4yr'!U49+'STU SERVICES 4yr'!U49+'INST SUPPORT 4yr'!U49</f>
        <v>192757.36300000001</v>
      </c>
      <c r="V49" s="48">
        <f>+'ACADEMIC SUPP 4yr'!V49+'STU SERVICES 4yr'!V49+'INST SUPPORT 4yr'!V49</f>
        <v>274664.09900000005</v>
      </c>
      <c r="W49" s="48">
        <f>+'ACADEMIC SUPP 4yr'!W49+'STU SERVICES 4yr'!W49+'INST SUPPORT 4yr'!W49</f>
        <v>297681.24300000002</v>
      </c>
      <c r="X49" s="48">
        <f>+'ACADEMIC SUPP 4yr'!X49+'STU SERVICES 4yr'!X49+'INST SUPPORT 4yr'!X49</f>
        <v>311923.10499999998</v>
      </c>
      <c r="Y49" s="48">
        <f>+'ACADEMIC SUPP 4yr'!Y49+'STU SERVICES 4yr'!Y49+'INST SUPPORT 4yr'!Y49</f>
        <v>318367.255</v>
      </c>
      <c r="Z49" s="48">
        <f>+'ACADEMIC SUPP 4yr'!Z49+'STU SERVICES 4yr'!Z49+'INST SUPPORT 4yr'!Z49</f>
        <v>333082.163</v>
      </c>
      <c r="AA49" s="48">
        <f>+'ACADEMIC SUPP 4yr'!AA49+'STU SERVICES 4yr'!AA49+'INST SUPPORT 4yr'!AA49</f>
        <v>360810.424</v>
      </c>
      <c r="AB49" s="48">
        <f>+'ACADEMIC SUPP 4yr'!AB49+'STU SERVICES 4yr'!AB49+'INST SUPPORT 4yr'!AB49</f>
        <v>359118.02899999998</v>
      </c>
      <c r="AC49" s="48">
        <f>+'ACADEMIC SUPP 4yr'!AC49+'STU SERVICES 4yr'!AC49+'INST SUPPORT 4yr'!AC49</f>
        <v>382684.06700000004</v>
      </c>
    </row>
    <row r="50" spans="1:29">
      <c r="A50" s="1" t="s">
        <v>107</v>
      </c>
      <c r="B50" s="48">
        <f>+'ACADEMIC SUPP 4yr'!B50+'STU SERVICES 4yr'!B50+'INST SUPPORT 4yr'!B50</f>
        <v>0</v>
      </c>
      <c r="C50" s="48">
        <f>+'ACADEMIC SUPP 4yr'!C50+'STU SERVICES 4yr'!C50+'INST SUPPORT 4yr'!C50</f>
        <v>0</v>
      </c>
      <c r="D50" s="48">
        <f>+'ACADEMIC SUPP 4yr'!D50+'STU SERVICES 4yr'!D50+'INST SUPPORT 4yr'!D50</f>
        <v>0</v>
      </c>
      <c r="E50" s="48">
        <f>+'ACADEMIC SUPP 4yr'!E50+'STU SERVICES 4yr'!E50+'INST SUPPORT 4yr'!E50</f>
        <v>0</v>
      </c>
      <c r="F50" s="48">
        <f>+'ACADEMIC SUPP 4yr'!F50+'STU SERVICES 4yr'!F50+'INST SUPPORT 4yr'!F50</f>
        <v>61555.686999999998</v>
      </c>
      <c r="G50" s="48">
        <f>+'ACADEMIC SUPP 4yr'!G50+'STU SERVICES 4yr'!G50+'INST SUPPORT 4yr'!G50</f>
        <v>0</v>
      </c>
      <c r="H50" s="48">
        <f>+'ACADEMIC SUPP 4yr'!H50+'STU SERVICES 4yr'!H50+'INST SUPPORT 4yr'!H50</f>
        <v>0</v>
      </c>
      <c r="I50" s="48">
        <f>+'ACADEMIC SUPP 4yr'!I50+'STU SERVICES 4yr'!I50+'INST SUPPORT 4yr'!I50</f>
        <v>65785.176999999996</v>
      </c>
      <c r="J50" s="48">
        <f>+'ACADEMIC SUPP 4yr'!J50+'STU SERVICES 4yr'!J50+'INST SUPPORT 4yr'!J50</f>
        <v>0</v>
      </c>
      <c r="K50" s="48">
        <f>+'ACADEMIC SUPP 4yr'!K50+'STU SERVICES 4yr'!K50+'INST SUPPORT 4yr'!K50</f>
        <v>72616.019</v>
      </c>
      <c r="L50" s="48">
        <f>+'ACADEMIC SUPP 4yr'!L50+'STU SERVICES 4yr'!L50+'INST SUPPORT 4yr'!L50</f>
        <v>76940.475000000006</v>
      </c>
      <c r="M50" s="48">
        <f>+'ACADEMIC SUPP 4yr'!M50+'STU SERVICES 4yr'!M50+'INST SUPPORT 4yr'!M50</f>
        <v>86194.66</v>
      </c>
      <c r="N50" s="48">
        <f>+'ACADEMIC SUPP 4yr'!N50+'STU SERVICES 4yr'!N50+'INST SUPPORT 4yr'!N50</f>
        <v>92249.19</v>
      </c>
      <c r="O50" s="48">
        <f>+'ACADEMIC SUPP 4yr'!O50+'STU SERVICES 4yr'!O50+'INST SUPPORT 4yr'!O50</f>
        <v>95894.181000000011</v>
      </c>
      <c r="P50" s="48">
        <f>+'ACADEMIC SUPP 4yr'!P50+'STU SERVICES 4yr'!P50+'INST SUPPORT 4yr'!P50</f>
        <v>103018.011</v>
      </c>
      <c r="Q50" s="48">
        <f>+'ACADEMIC SUPP 4yr'!Q50+'STU SERVICES 4yr'!Q50+'INST SUPPORT 4yr'!Q50</f>
        <v>121292.16700000002</v>
      </c>
      <c r="R50" s="48">
        <f>+'ACADEMIC SUPP 4yr'!R50+'STU SERVICES 4yr'!R50+'INST SUPPORT 4yr'!R50</f>
        <v>125168.726</v>
      </c>
      <c r="S50" s="48">
        <f>+'ACADEMIC SUPP 4yr'!S50+'STU SERVICES 4yr'!S50+'INST SUPPORT 4yr'!S50</f>
        <v>131206.59400000001</v>
      </c>
      <c r="T50" s="48">
        <f>+'ACADEMIC SUPP 4yr'!T50+'STU SERVICES 4yr'!T50+'INST SUPPORT 4yr'!T50</f>
        <v>144954.448</v>
      </c>
      <c r="U50" s="48">
        <f>+'ACADEMIC SUPP 4yr'!U50+'STU SERVICES 4yr'!U50+'INST SUPPORT 4yr'!U50</f>
        <v>152367.04300000001</v>
      </c>
      <c r="V50" s="48">
        <f>+'ACADEMIC SUPP 4yr'!V50+'STU SERVICES 4yr'!V50+'INST SUPPORT 4yr'!V50</f>
        <v>173251.87699999998</v>
      </c>
      <c r="W50" s="48">
        <f>+'ACADEMIC SUPP 4yr'!W50+'STU SERVICES 4yr'!W50+'INST SUPPORT 4yr'!W50</f>
        <v>188886.21</v>
      </c>
      <c r="X50" s="48">
        <f>+'ACADEMIC SUPP 4yr'!X50+'STU SERVICES 4yr'!X50+'INST SUPPORT 4yr'!X50</f>
        <v>177368.99799999999</v>
      </c>
      <c r="Y50" s="48">
        <f>+'ACADEMIC SUPP 4yr'!Y50+'STU SERVICES 4yr'!Y50+'INST SUPPORT 4yr'!Y50</f>
        <v>185707.481</v>
      </c>
      <c r="Z50" s="48">
        <f>+'ACADEMIC SUPP 4yr'!Z50+'STU SERVICES 4yr'!Z50+'INST SUPPORT 4yr'!Z50</f>
        <v>231542.82</v>
      </c>
      <c r="AA50" s="48">
        <f>+'ACADEMIC SUPP 4yr'!AA50+'STU SERVICES 4yr'!AA50+'INST SUPPORT 4yr'!AA50</f>
        <v>247742.467</v>
      </c>
      <c r="AB50" s="48">
        <f>+'ACADEMIC SUPP 4yr'!AB50+'STU SERVICES 4yr'!AB50+'INST SUPPORT 4yr'!AB50</f>
        <v>250047.66100000002</v>
      </c>
      <c r="AC50" s="48">
        <f>+'ACADEMIC SUPP 4yr'!AC50+'STU SERVICES 4yr'!AC50+'INST SUPPORT 4yr'!AC50</f>
        <v>250861.88399999999</v>
      </c>
    </row>
    <row r="51" spans="1:29">
      <c r="A51" s="1" t="s">
        <v>108</v>
      </c>
      <c r="B51" s="48">
        <f>+'ACADEMIC SUPP 4yr'!B51+'STU SERVICES 4yr'!B51+'INST SUPPORT 4yr'!B51</f>
        <v>0</v>
      </c>
      <c r="C51" s="48">
        <f>+'ACADEMIC SUPP 4yr'!C51+'STU SERVICES 4yr'!C51+'INST SUPPORT 4yr'!C51</f>
        <v>0</v>
      </c>
      <c r="D51" s="48">
        <f>+'ACADEMIC SUPP 4yr'!D51+'STU SERVICES 4yr'!D51+'INST SUPPORT 4yr'!D51</f>
        <v>0</v>
      </c>
      <c r="E51" s="48">
        <f>+'ACADEMIC SUPP 4yr'!E51+'STU SERVICES 4yr'!E51+'INST SUPPORT 4yr'!E51</f>
        <v>0</v>
      </c>
      <c r="F51" s="48">
        <f>+'ACADEMIC SUPP 4yr'!F51+'STU SERVICES 4yr'!F51+'INST SUPPORT 4yr'!F51</f>
        <v>638792.30599999998</v>
      </c>
      <c r="G51" s="48">
        <f>+'ACADEMIC SUPP 4yr'!G51+'STU SERVICES 4yr'!G51+'INST SUPPORT 4yr'!G51</f>
        <v>0</v>
      </c>
      <c r="H51" s="48">
        <f>+'ACADEMIC SUPP 4yr'!H51+'STU SERVICES 4yr'!H51+'INST SUPPORT 4yr'!H51</f>
        <v>0</v>
      </c>
      <c r="I51" s="48">
        <f>+'ACADEMIC SUPP 4yr'!I51+'STU SERVICES 4yr'!I51+'INST SUPPORT 4yr'!I51</f>
        <v>699923.26600000006</v>
      </c>
      <c r="J51" s="48">
        <f>+'ACADEMIC SUPP 4yr'!J51+'STU SERVICES 4yr'!J51+'INST SUPPORT 4yr'!J51</f>
        <v>0</v>
      </c>
      <c r="K51" s="48">
        <f>+'ACADEMIC SUPP 4yr'!K51+'STU SERVICES 4yr'!K51+'INST SUPPORT 4yr'!K51</f>
        <v>798385.32899999991</v>
      </c>
      <c r="L51" s="48">
        <f>+'ACADEMIC SUPP 4yr'!L51+'STU SERVICES 4yr'!L51+'INST SUPPORT 4yr'!L51</f>
        <v>984073.31099999999</v>
      </c>
      <c r="M51" s="48">
        <f>+'ACADEMIC SUPP 4yr'!M51+'STU SERVICES 4yr'!M51+'INST SUPPORT 4yr'!M51</f>
        <v>1063382.4369999999</v>
      </c>
      <c r="N51" s="48">
        <f>+'ACADEMIC SUPP 4yr'!N51+'STU SERVICES 4yr'!N51+'INST SUPPORT 4yr'!N51</f>
        <v>1041495.586</v>
      </c>
      <c r="O51" s="48">
        <f>+'ACADEMIC SUPP 4yr'!O51+'STU SERVICES 4yr'!O51+'INST SUPPORT 4yr'!O51</f>
        <v>1109858.7830000001</v>
      </c>
      <c r="P51" s="48">
        <f>+'ACADEMIC SUPP 4yr'!P51+'STU SERVICES 4yr'!P51+'INST SUPPORT 4yr'!P51</f>
        <v>1189237.9010000001</v>
      </c>
      <c r="Q51" s="48">
        <f>+'ACADEMIC SUPP 4yr'!Q51+'STU SERVICES 4yr'!Q51+'INST SUPPORT 4yr'!Q51</f>
        <v>1203721.578</v>
      </c>
      <c r="R51" s="48">
        <f>+'ACADEMIC SUPP 4yr'!R51+'STU SERVICES 4yr'!R51+'INST SUPPORT 4yr'!R51</f>
        <v>1310580.246</v>
      </c>
      <c r="S51" s="48">
        <f>+'ACADEMIC SUPP 4yr'!S51+'STU SERVICES 4yr'!S51+'INST SUPPORT 4yr'!S51</f>
        <v>1383190.632</v>
      </c>
      <c r="T51" s="48">
        <f>+'ACADEMIC SUPP 4yr'!T51+'STU SERVICES 4yr'!T51+'INST SUPPORT 4yr'!T51</f>
        <v>1532607.0530000001</v>
      </c>
      <c r="U51" s="48">
        <f>+'ACADEMIC SUPP 4yr'!U51+'STU SERVICES 4yr'!U51+'INST SUPPORT 4yr'!U51</f>
        <v>1499299.4550000001</v>
      </c>
      <c r="V51" s="48">
        <f>+'ACADEMIC SUPP 4yr'!V51+'STU SERVICES 4yr'!V51+'INST SUPPORT 4yr'!V51</f>
        <v>1662802.4909999999</v>
      </c>
      <c r="W51" s="48">
        <f>+'ACADEMIC SUPP 4yr'!W51+'STU SERVICES 4yr'!W51+'INST SUPPORT 4yr'!W51</f>
        <v>1858050.754</v>
      </c>
      <c r="X51" s="48">
        <f>+'ACADEMIC SUPP 4yr'!X51+'STU SERVICES 4yr'!X51+'INST SUPPORT 4yr'!X51</f>
        <v>1849755.216</v>
      </c>
      <c r="Y51" s="48">
        <f>+'ACADEMIC SUPP 4yr'!Y51+'STU SERVICES 4yr'!Y51+'INST SUPPORT 4yr'!Y51</f>
        <v>1950173.9920000001</v>
      </c>
      <c r="Z51" s="48">
        <f>+'ACADEMIC SUPP 4yr'!Z51+'STU SERVICES 4yr'!Z51+'INST SUPPORT 4yr'!Z51</f>
        <v>2014834.497</v>
      </c>
      <c r="AA51" s="48">
        <f>+'ACADEMIC SUPP 4yr'!AA51+'STU SERVICES 4yr'!AA51+'INST SUPPORT 4yr'!AA51</f>
        <v>2012936.0499999998</v>
      </c>
      <c r="AB51" s="48">
        <f>+'ACADEMIC SUPP 4yr'!AB51+'STU SERVICES 4yr'!AB51+'INST SUPPORT 4yr'!AB51</f>
        <v>2138586.8160000001</v>
      </c>
      <c r="AC51" s="48">
        <f>+'ACADEMIC SUPP 4yr'!AC51+'STU SERVICES 4yr'!AC51+'INST SUPPORT 4yr'!AC51</f>
        <v>2317324.7829999998</v>
      </c>
    </row>
    <row r="52" spans="1:29">
      <c r="A52" s="1" t="s">
        <v>112</v>
      </c>
      <c r="B52" s="48">
        <f>+'ACADEMIC SUPP 4yr'!B52+'STU SERVICES 4yr'!B52+'INST SUPPORT 4yr'!B52</f>
        <v>0</v>
      </c>
      <c r="C52" s="48">
        <f>+'ACADEMIC SUPP 4yr'!C52+'STU SERVICES 4yr'!C52+'INST SUPPORT 4yr'!C52</f>
        <v>0</v>
      </c>
      <c r="D52" s="48">
        <f>+'ACADEMIC SUPP 4yr'!D52+'STU SERVICES 4yr'!D52+'INST SUPPORT 4yr'!D52</f>
        <v>0</v>
      </c>
      <c r="E52" s="48">
        <f>+'ACADEMIC SUPP 4yr'!E52+'STU SERVICES 4yr'!E52+'INST SUPPORT 4yr'!E52</f>
        <v>0</v>
      </c>
      <c r="F52" s="48">
        <f>+'ACADEMIC SUPP 4yr'!F52+'STU SERVICES 4yr'!F52+'INST SUPPORT 4yr'!F52</f>
        <v>46147.740999999995</v>
      </c>
      <c r="G52" s="48">
        <f>+'ACADEMIC SUPP 4yr'!G52+'STU SERVICES 4yr'!G52+'INST SUPPORT 4yr'!G52</f>
        <v>0</v>
      </c>
      <c r="H52" s="48">
        <f>+'ACADEMIC SUPP 4yr'!H52+'STU SERVICES 4yr'!H52+'INST SUPPORT 4yr'!H52</f>
        <v>0</v>
      </c>
      <c r="I52" s="48">
        <f>+'ACADEMIC SUPP 4yr'!I52+'STU SERVICES 4yr'!I52+'INST SUPPORT 4yr'!I52</f>
        <v>60515.345000000001</v>
      </c>
      <c r="J52" s="48">
        <f>+'ACADEMIC SUPP 4yr'!J52+'STU SERVICES 4yr'!J52+'INST SUPPORT 4yr'!J52</f>
        <v>0</v>
      </c>
      <c r="K52" s="48">
        <f>+'ACADEMIC SUPP 4yr'!K52+'STU SERVICES 4yr'!K52+'INST SUPPORT 4yr'!K52</f>
        <v>65933.530339999998</v>
      </c>
      <c r="L52" s="48">
        <f>+'ACADEMIC SUPP 4yr'!L52+'STU SERVICES 4yr'!L52+'INST SUPPORT 4yr'!L52</f>
        <v>78344.152000000002</v>
      </c>
      <c r="M52" s="48">
        <f>+'ACADEMIC SUPP 4yr'!M52+'STU SERVICES 4yr'!M52+'INST SUPPORT 4yr'!M52</f>
        <v>83690.801000000007</v>
      </c>
      <c r="N52" s="48">
        <f>+'ACADEMIC SUPP 4yr'!N52+'STU SERVICES 4yr'!N52+'INST SUPPORT 4yr'!N52</f>
        <v>88826.152000000002</v>
      </c>
      <c r="O52" s="48">
        <f>+'ACADEMIC SUPP 4yr'!O52+'STU SERVICES 4yr'!O52+'INST SUPPORT 4yr'!O52</f>
        <v>93572.410999999993</v>
      </c>
      <c r="P52" s="48">
        <f>+'ACADEMIC SUPP 4yr'!P52+'STU SERVICES 4yr'!P52+'INST SUPPORT 4yr'!P52</f>
        <v>96376.866999999998</v>
      </c>
      <c r="Q52" s="48">
        <f>+'ACADEMIC SUPP 4yr'!Q52+'STU SERVICES 4yr'!Q52+'INST SUPPORT 4yr'!Q52</f>
        <v>106768.065</v>
      </c>
      <c r="R52" s="48">
        <f>+'ACADEMIC SUPP 4yr'!R52+'STU SERVICES 4yr'!R52+'INST SUPPORT 4yr'!R52</f>
        <v>107032.822</v>
      </c>
      <c r="S52" s="48">
        <f>+'ACADEMIC SUPP 4yr'!S52+'STU SERVICES 4yr'!S52+'INST SUPPORT 4yr'!S52</f>
        <v>121989.886</v>
      </c>
      <c r="T52" s="48">
        <f>+'ACADEMIC SUPP 4yr'!T52+'STU SERVICES 4yr'!T52+'INST SUPPORT 4yr'!T52</f>
        <v>135935.149</v>
      </c>
      <c r="U52" s="48">
        <f>+'ACADEMIC SUPP 4yr'!U52+'STU SERVICES 4yr'!U52+'INST SUPPORT 4yr'!U52</f>
        <v>132000.291</v>
      </c>
      <c r="V52" s="48">
        <f>+'ACADEMIC SUPP 4yr'!V52+'STU SERVICES 4yr'!V52+'INST SUPPORT 4yr'!V52</f>
        <v>160442.29399999999</v>
      </c>
      <c r="W52" s="48">
        <f>+'ACADEMIC SUPP 4yr'!W52+'STU SERVICES 4yr'!W52+'INST SUPPORT 4yr'!W52</f>
        <v>162198.99599999998</v>
      </c>
      <c r="X52" s="48">
        <f>+'ACADEMIC SUPP 4yr'!X52+'STU SERVICES 4yr'!X52+'INST SUPPORT 4yr'!X52</f>
        <v>181433.19500000001</v>
      </c>
      <c r="Y52" s="48">
        <f>+'ACADEMIC SUPP 4yr'!Y52+'STU SERVICES 4yr'!Y52+'INST SUPPORT 4yr'!Y52</f>
        <v>180253.15299999999</v>
      </c>
      <c r="Z52" s="48">
        <f>+'ACADEMIC SUPP 4yr'!Z52+'STU SERVICES 4yr'!Z52+'INST SUPPORT 4yr'!Z52</f>
        <v>188908.58000000002</v>
      </c>
      <c r="AA52" s="48">
        <f>+'ACADEMIC SUPP 4yr'!AA52+'STU SERVICES 4yr'!AA52+'INST SUPPORT 4yr'!AA52</f>
        <v>191926.00699999998</v>
      </c>
      <c r="AB52" s="48">
        <f>+'ACADEMIC SUPP 4yr'!AB52+'STU SERVICES 4yr'!AB52+'INST SUPPORT 4yr'!AB52</f>
        <v>198747.95300000001</v>
      </c>
      <c r="AC52" s="48">
        <f>+'ACADEMIC SUPP 4yr'!AC52+'STU SERVICES 4yr'!AC52+'INST SUPPORT 4yr'!AC52</f>
        <v>220276.70500000002</v>
      </c>
    </row>
    <row r="53" spans="1:29">
      <c r="A53" s="24" t="s">
        <v>116</v>
      </c>
      <c r="B53" s="50">
        <f>+'ACADEMIC SUPP 4yr'!B53+'STU SERVICES 4yr'!B53+'INST SUPPORT 4yr'!B53</f>
        <v>0</v>
      </c>
      <c r="C53" s="50">
        <f>+'ACADEMIC SUPP 4yr'!C53+'STU SERVICES 4yr'!C53+'INST SUPPORT 4yr'!C53</f>
        <v>0</v>
      </c>
      <c r="D53" s="50">
        <f>+'ACADEMIC SUPP 4yr'!D53+'STU SERVICES 4yr'!D53+'INST SUPPORT 4yr'!D53</f>
        <v>0</v>
      </c>
      <c r="E53" s="50">
        <f>+'ACADEMIC SUPP 4yr'!E53+'STU SERVICES 4yr'!E53+'INST SUPPORT 4yr'!E53</f>
        <v>0</v>
      </c>
      <c r="F53" s="50">
        <f>+'ACADEMIC SUPP 4yr'!F53+'STU SERVICES 4yr'!F53+'INST SUPPORT 4yr'!F53</f>
        <v>384294.86499999999</v>
      </c>
      <c r="G53" s="50">
        <f>+'ACADEMIC SUPP 4yr'!G53+'STU SERVICES 4yr'!G53+'INST SUPPORT 4yr'!G53</f>
        <v>0</v>
      </c>
      <c r="H53" s="50">
        <f>+'ACADEMIC SUPP 4yr'!H53+'STU SERVICES 4yr'!H53+'INST SUPPORT 4yr'!H53</f>
        <v>0</v>
      </c>
      <c r="I53" s="50">
        <f>+'ACADEMIC SUPP 4yr'!I53+'STU SERVICES 4yr'!I53+'INST SUPPORT 4yr'!I53</f>
        <v>414735.34899999999</v>
      </c>
      <c r="J53" s="50">
        <f>+'ACADEMIC SUPP 4yr'!J53+'STU SERVICES 4yr'!J53+'INST SUPPORT 4yr'!J53</f>
        <v>0</v>
      </c>
      <c r="K53" s="50">
        <f>+'ACADEMIC SUPP 4yr'!K53+'STU SERVICES 4yr'!K53+'INST SUPPORT 4yr'!K53</f>
        <v>462048.57400000002</v>
      </c>
      <c r="L53" s="50">
        <f>+'ACADEMIC SUPP 4yr'!L53+'STU SERVICES 4yr'!L53+'INST SUPPORT 4yr'!L53</f>
        <v>540239.24699999997</v>
      </c>
      <c r="M53" s="50">
        <f>+'ACADEMIC SUPP 4yr'!M53+'STU SERVICES 4yr'!M53+'INST SUPPORT 4yr'!M53</f>
        <v>605969.06000000006</v>
      </c>
      <c r="N53" s="50">
        <f>+'ACADEMIC SUPP 4yr'!N53+'STU SERVICES 4yr'!N53+'INST SUPPORT 4yr'!N53</f>
        <v>596777.87600000005</v>
      </c>
      <c r="O53" s="50">
        <f>+'ACADEMIC SUPP 4yr'!O53+'STU SERVICES 4yr'!O53+'INST SUPPORT 4yr'!O53</f>
        <v>632110.85</v>
      </c>
      <c r="P53" s="50">
        <f>+'ACADEMIC SUPP 4yr'!P53+'STU SERVICES 4yr'!P53+'INST SUPPORT 4yr'!P53</f>
        <v>652301.20500000007</v>
      </c>
      <c r="Q53" s="50">
        <f>+'ACADEMIC SUPP 4yr'!Q53+'STU SERVICES 4yr'!Q53+'INST SUPPORT 4yr'!Q53</f>
        <v>650392.80700000003</v>
      </c>
      <c r="R53" s="50">
        <f>+'ACADEMIC SUPP 4yr'!R53+'STU SERVICES 4yr'!R53+'INST SUPPORT 4yr'!R53</f>
        <v>662665.09899999993</v>
      </c>
      <c r="S53" s="50">
        <f>+'ACADEMIC SUPP 4yr'!S53+'STU SERVICES 4yr'!S53+'INST SUPPORT 4yr'!S53</f>
        <v>717816.29399999999</v>
      </c>
      <c r="T53" s="50">
        <f>+'ACADEMIC SUPP 4yr'!T53+'STU SERVICES 4yr'!T53+'INST SUPPORT 4yr'!T53</f>
        <v>743449.89500000002</v>
      </c>
      <c r="U53" s="50">
        <f>+'ACADEMIC SUPP 4yr'!U53+'STU SERVICES 4yr'!U53+'INST SUPPORT 4yr'!U53</f>
        <v>797007.47900000005</v>
      </c>
      <c r="V53" s="50">
        <f>+'ACADEMIC SUPP 4yr'!V53+'STU SERVICES 4yr'!V53+'INST SUPPORT 4yr'!V53</f>
        <v>880514.12899999996</v>
      </c>
      <c r="W53" s="50">
        <f>+'ACADEMIC SUPP 4yr'!W53+'STU SERVICES 4yr'!W53+'INST SUPPORT 4yr'!W53</f>
        <v>921231.75600000005</v>
      </c>
      <c r="X53" s="50">
        <f>+'ACADEMIC SUPP 4yr'!X53+'STU SERVICES 4yr'!X53+'INST SUPPORT 4yr'!X53</f>
        <v>963487.24099999992</v>
      </c>
      <c r="Y53" s="50">
        <f>+'ACADEMIC SUPP 4yr'!Y53+'STU SERVICES 4yr'!Y53+'INST SUPPORT 4yr'!Y53</f>
        <v>994178.54099999997</v>
      </c>
      <c r="Z53" s="50">
        <f>+'ACADEMIC SUPP 4yr'!Z53+'STU SERVICES 4yr'!Z53+'INST SUPPORT 4yr'!Z53</f>
        <v>1056809.4070000001</v>
      </c>
      <c r="AA53" s="50">
        <f>+'ACADEMIC SUPP 4yr'!AA53+'STU SERVICES 4yr'!AA53+'INST SUPPORT 4yr'!AA53</f>
        <v>1084673.3740000001</v>
      </c>
      <c r="AB53" s="50">
        <f>+'ACADEMIC SUPP 4yr'!AB53+'STU SERVICES 4yr'!AB53+'INST SUPPORT 4yr'!AB53</f>
        <v>1039212.297</v>
      </c>
      <c r="AC53" s="50">
        <f>+'ACADEMIC SUPP 4yr'!AC53+'STU SERVICES 4yr'!AC53+'INST SUPPORT 4yr'!AC53</f>
        <v>1050364.905</v>
      </c>
    </row>
    <row r="54" spans="1:29">
      <c r="A54" s="7" t="s">
        <v>122</v>
      </c>
      <c r="B54" s="48">
        <f>+'ACADEMIC SUPP 4yr'!B54+'STU SERVICES 4yr'!B54+'INST SUPPORT 4yr'!B54</f>
        <v>0</v>
      </c>
      <c r="C54" s="48">
        <f>+'ACADEMIC SUPP 4yr'!C54+'STU SERVICES 4yr'!C54+'INST SUPPORT 4yr'!C54</f>
        <v>0</v>
      </c>
      <c r="D54" s="48">
        <f>+'ACADEMIC SUPP 4yr'!D54+'STU SERVICES 4yr'!D54+'INST SUPPORT 4yr'!D54</f>
        <v>0</v>
      </c>
      <c r="E54" s="48">
        <f>+'ACADEMIC SUPP 4yr'!E54+'STU SERVICES 4yr'!E54+'INST SUPPORT 4yr'!E54</f>
        <v>0</v>
      </c>
      <c r="F54" s="48">
        <f>+'ACADEMIC SUPP 4yr'!F54+'STU SERVICES 4yr'!F54+'INST SUPPORT 4yr'!F54</f>
        <v>2417934.5080000004</v>
      </c>
      <c r="G54" s="48">
        <f>+'ACADEMIC SUPP 4yr'!G54+'STU SERVICES 4yr'!G54+'INST SUPPORT 4yr'!G54</f>
        <v>0</v>
      </c>
      <c r="H54" s="48">
        <f>+'ACADEMIC SUPP 4yr'!H54+'STU SERVICES 4yr'!H54+'INST SUPPORT 4yr'!H54</f>
        <v>0</v>
      </c>
      <c r="I54" s="48">
        <f>+'ACADEMIC SUPP 4yr'!I54+'STU SERVICES 4yr'!I54+'INST SUPPORT 4yr'!I54</f>
        <v>2840333.5389999999</v>
      </c>
      <c r="J54" s="48">
        <f>+'ACADEMIC SUPP 4yr'!J54+'STU SERVICES 4yr'!J54+'INST SUPPORT 4yr'!J54</f>
        <v>0</v>
      </c>
      <c r="K54" s="48">
        <f>+'ACADEMIC SUPP 4yr'!K54+'STU SERVICES 4yr'!K54+'INST SUPPORT 4yr'!K54</f>
        <v>3445790.1710000001</v>
      </c>
      <c r="L54" s="48">
        <f>+'ACADEMIC SUPP 4yr'!L54+'STU SERVICES 4yr'!L54+'INST SUPPORT 4yr'!L54</f>
        <v>3703836.0619999999</v>
      </c>
      <c r="M54" s="48">
        <f>+'ACADEMIC SUPP 4yr'!M54+'STU SERVICES 4yr'!M54+'INST SUPPORT 4yr'!M54</f>
        <v>3716609.6869999999</v>
      </c>
      <c r="N54" s="48">
        <f>+'ACADEMIC SUPP 4yr'!N54+'STU SERVICES 4yr'!N54+'INST SUPPORT 4yr'!N54</f>
        <v>3537366.6560000004</v>
      </c>
      <c r="O54" s="48">
        <f>+'ACADEMIC SUPP 4yr'!O54+'STU SERVICES 4yr'!O54+'INST SUPPORT 4yr'!O54</f>
        <v>3254534.1469999999</v>
      </c>
      <c r="P54" s="48">
        <f>+'ACADEMIC SUPP 4yr'!P54+'STU SERVICES 4yr'!P54+'INST SUPPORT 4yr'!P54</f>
        <v>3452140.57</v>
      </c>
      <c r="Q54" s="48">
        <f>+'ACADEMIC SUPP 4yr'!Q54+'STU SERVICES 4yr'!Q54+'INST SUPPORT 4yr'!Q54</f>
        <v>4229958.3550000004</v>
      </c>
      <c r="R54" s="48">
        <f>+'ACADEMIC SUPP 4yr'!R54+'STU SERVICES 4yr'!R54+'INST SUPPORT 4yr'!R54</f>
        <v>4177120.8770000003</v>
      </c>
      <c r="S54" s="48">
        <f>+'ACADEMIC SUPP 4yr'!S54+'STU SERVICES 4yr'!S54+'INST SUPPORT 4yr'!S54</f>
        <v>4534481.8159999996</v>
      </c>
      <c r="T54" s="48">
        <f>+'ACADEMIC SUPP 4yr'!T54+'STU SERVICES 4yr'!T54+'INST SUPPORT 4yr'!T54</f>
        <v>5181500.7569999993</v>
      </c>
      <c r="U54" s="48">
        <f>+'ACADEMIC SUPP 4yr'!U54+'STU SERVICES 4yr'!U54+'INST SUPPORT 4yr'!U54</f>
        <v>5095534.08</v>
      </c>
      <c r="V54" s="48">
        <f>+'ACADEMIC SUPP 4yr'!V54+'STU SERVICES 4yr'!V54+'INST SUPPORT 4yr'!V54</f>
        <v>6459678.334999999</v>
      </c>
      <c r="W54" s="48">
        <f>+'ACADEMIC SUPP 4yr'!W54+'STU SERVICES 4yr'!W54+'INST SUPPORT 4yr'!W54</f>
        <v>6743226.5329999998</v>
      </c>
      <c r="X54" s="48">
        <f>+'ACADEMIC SUPP 4yr'!X54+'STU SERVICES 4yr'!X54+'INST SUPPORT 4yr'!X54</f>
        <v>6962262.8809999991</v>
      </c>
      <c r="Y54" s="48">
        <f>+'ACADEMIC SUPP 4yr'!Y54+'STU SERVICES 4yr'!Y54+'INST SUPPORT 4yr'!Y54</f>
        <v>6903847.686999999</v>
      </c>
      <c r="Z54" s="48">
        <f>+'ACADEMIC SUPP 4yr'!Z54+'STU SERVICES 4yr'!Z54+'INST SUPPORT 4yr'!Z54</f>
        <v>7421577.8149999995</v>
      </c>
      <c r="AA54" s="48">
        <f>+'ACADEMIC SUPP 4yr'!AA54+'STU SERVICES 4yr'!AA54+'INST SUPPORT 4yr'!AA54</f>
        <v>7401935.7670000009</v>
      </c>
      <c r="AB54" s="48">
        <f>+'ACADEMIC SUPP 4yr'!AB54+'STU SERVICES 4yr'!AB54+'INST SUPPORT 4yr'!AB54</f>
        <v>8095212.6809999999</v>
      </c>
      <c r="AC54" s="48">
        <f>+'ACADEMIC SUPP 4yr'!AC54+'STU SERVICES 4yr'!AC54+'INST SUPPORT 4yr'!AC54</f>
        <v>8505385.1659999993</v>
      </c>
    </row>
    <row r="55" spans="1:29">
      <c r="A55" s="7" t="s">
        <v>119</v>
      </c>
      <c r="B55" s="48">
        <f>+'ACADEMIC SUPP 4yr'!B55+'STU SERVICES 4yr'!B55+'INST SUPPORT 4yr'!B55</f>
        <v>0</v>
      </c>
      <c r="C55" s="48">
        <f>+'ACADEMIC SUPP 4yr'!C55+'STU SERVICES 4yr'!C55+'INST SUPPORT 4yr'!C55</f>
        <v>0</v>
      </c>
      <c r="D55" s="48">
        <f>+'ACADEMIC SUPP 4yr'!D55+'STU SERVICES 4yr'!D55+'INST SUPPORT 4yr'!D55</f>
        <v>0</v>
      </c>
      <c r="E55" s="48">
        <f>+'ACADEMIC SUPP 4yr'!E55+'STU SERVICES 4yr'!E55+'INST SUPPORT 4yr'!E55</f>
        <v>0</v>
      </c>
      <c r="F55" s="48">
        <f>+'ACADEMIC SUPP 4yr'!F55+'STU SERVICES 4yr'!F55+'INST SUPPORT 4yr'!F55</f>
        <v>0</v>
      </c>
      <c r="G55" s="48">
        <f>+'ACADEMIC SUPP 4yr'!G55+'STU SERVICES 4yr'!G55+'INST SUPPORT 4yr'!G55</f>
        <v>0</v>
      </c>
      <c r="H55" s="48">
        <f>+'ACADEMIC SUPP 4yr'!H55+'STU SERVICES 4yr'!H55+'INST SUPPORT 4yr'!H55</f>
        <v>0</v>
      </c>
      <c r="I55" s="48">
        <f>+'ACADEMIC SUPP 4yr'!I55+'STU SERVICES 4yr'!I55+'INST SUPPORT 4yr'!I55</f>
        <v>0</v>
      </c>
      <c r="J55" s="48">
        <f>+'ACADEMIC SUPP 4yr'!J55+'STU SERVICES 4yr'!J55+'INST SUPPORT 4yr'!J55</f>
        <v>0</v>
      </c>
      <c r="K55" s="48">
        <f>+'ACADEMIC SUPP 4yr'!K55+'STU SERVICES 4yr'!K55+'INST SUPPORT 4yr'!K55</f>
        <v>0</v>
      </c>
      <c r="L55" s="48">
        <f>+'ACADEMIC SUPP 4yr'!L55+'STU SERVICES 4yr'!L55+'INST SUPPORT 4yr'!L55</f>
        <v>0</v>
      </c>
      <c r="M55" s="48">
        <f>+'ACADEMIC SUPP 4yr'!M55+'STU SERVICES 4yr'!M55+'INST SUPPORT 4yr'!M55</f>
        <v>0</v>
      </c>
      <c r="N55" s="48">
        <f>+'ACADEMIC SUPP 4yr'!N55+'STU SERVICES 4yr'!N55+'INST SUPPORT 4yr'!N55</f>
        <v>0</v>
      </c>
      <c r="O55" s="48">
        <f>+'ACADEMIC SUPP 4yr'!O55+'STU SERVICES 4yr'!O55+'INST SUPPORT 4yr'!O55</f>
        <v>0</v>
      </c>
      <c r="P55" s="48">
        <f>+'ACADEMIC SUPP 4yr'!P55+'STU SERVICES 4yr'!P55+'INST SUPPORT 4yr'!P55</f>
        <v>0</v>
      </c>
      <c r="Q55" s="48">
        <f>+'ACADEMIC SUPP 4yr'!Q55+'STU SERVICES 4yr'!Q55+'INST SUPPORT 4yr'!Q55</f>
        <v>0</v>
      </c>
      <c r="R55" s="48">
        <f>+'ACADEMIC SUPP 4yr'!R55+'STU SERVICES 4yr'!R55+'INST SUPPORT 4yr'!R55</f>
        <v>0</v>
      </c>
      <c r="S55" s="48">
        <f>+'ACADEMIC SUPP 4yr'!S55+'STU SERVICES 4yr'!S55+'INST SUPPORT 4yr'!S55</f>
        <v>0</v>
      </c>
      <c r="T55" s="48">
        <f>+'ACADEMIC SUPP 4yr'!T55+'STU SERVICES 4yr'!T55+'INST SUPPORT 4yr'!T55</f>
        <v>0</v>
      </c>
      <c r="U55" s="48">
        <f>+'ACADEMIC SUPP 4yr'!U55+'STU SERVICES 4yr'!U55+'INST SUPPORT 4yr'!U55</f>
        <v>0</v>
      </c>
      <c r="V55" s="48">
        <f>+'ACADEMIC SUPP 4yr'!V55+'STU SERVICES 4yr'!V55+'INST SUPPORT 4yr'!V55</f>
        <v>0</v>
      </c>
      <c r="W55" s="48">
        <f>+'ACADEMIC SUPP 4yr'!W55+'STU SERVICES 4yr'!W55+'INST SUPPORT 4yr'!W55</f>
        <v>0</v>
      </c>
      <c r="X55" s="48">
        <f>+'ACADEMIC SUPP 4yr'!X55+'STU SERVICES 4yr'!X55+'INST SUPPORT 4yr'!X55</f>
        <v>0</v>
      </c>
      <c r="Y55" s="48"/>
      <c r="Z55" s="48"/>
      <c r="AA55" s="48"/>
      <c r="AB55" s="48"/>
      <c r="AC55" s="48"/>
    </row>
    <row r="56" spans="1:29">
      <c r="A56" s="1" t="s">
        <v>89</v>
      </c>
      <c r="B56" s="48">
        <f>+'ACADEMIC SUPP 4yr'!B56+'STU SERVICES 4yr'!B56+'INST SUPPORT 4yr'!B56</f>
        <v>0</v>
      </c>
      <c r="C56" s="48">
        <f>+'ACADEMIC SUPP 4yr'!C56+'STU SERVICES 4yr'!C56+'INST SUPPORT 4yr'!C56</f>
        <v>0</v>
      </c>
      <c r="D56" s="48">
        <f>+'ACADEMIC SUPP 4yr'!D56+'STU SERVICES 4yr'!D56+'INST SUPPORT 4yr'!D56</f>
        <v>0</v>
      </c>
      <c r="E56" s="48">
        <f>+'ACADEMIC SUPP 4yr'!E56+'STU SERVICES 4yr'!E56+'INST SUPPORT 4yr'!E56</f>
        <v>0</v>
      </c>
      <c r="F56" s="48">
        <f>+'ACADEMIC SUPP 4yr'!F56+'STU SERVICES 4yr'!F56+'INST SUPPORT 4yr'!F56</f>
        <v>187518.70300000001</v>
      </c>
      <c r="G56" s="48"/>
      <c r="H56" s="48">
        <f>+'ACADEMIC SUPP 4yr'!H56+'STU SERVICES 4yr'!H56+'INST SUPPORT 4yr'!H56</f>
        <v>0</v>
      </c>
      <c r="I56" s="48">
        <f>+'ACADEMIC SUPP 4yr'!I56+'STU SERVICES 4yr'!I56+'INST SUPPORT 4yr'!I56</f>
        <v>202237.44199999998</v>
      </c>
      <c r="J56" s="48">
        <f>+'ACADEMIC SUPP 4yr'!J56+'STU SERVICES 4yr'!J56+'INST SUPPORT 4yr'!J56</f>
        <v>0</v>
      </c>
      <c r="K56" s="48">
        <f>+'ACADEMIC SUPP 4yr'!K56+'STU SERVICES 4yr'!K56+'INST SUPPORT 4yr'!K56</f>
        <v>225983.24900000001</v>
      </c>
      <c r="L56" s="48">
        <f>+'ACADEMIC SUPP 4yr'!L56+'STU SERVICES 4yr'!L56+'INST SUPPORT 4yr'!L56</f>
        <v>295751.48</v>
      </c>
      <c r="M56" s="48">
        <f>+'ACADEMIC SUPP 4yr'!M56+'STU SERVICES 4yr'!M56+'INST SUPPORT 4yr'!M56</f>
        <v>294953.98099999997</v>
      </c>
      <c r="N56" s="48">
        <f>+'ACADEMIC SUPP 4yr'!N56+'STU SERVICES 4yr'!N56+'INST SUPPORT 4yr'!N56</f>
        <v>332423.179</v>
      </c>
      <c r="O56" s="48">
        <f>+'ACADEMIC SUPP 4yr'!O56+'STU SERVICES 4yr'!O56+'INST SUPPORT 4yr'!O56</f>
        <v>340701.554</v>
      </c>
      <c r="P56" s="48">
        <f>+'ACADEMIC SUPP 4yr'!P56+'STU SERVICES 4yr'!P56+'INST SUPPORT 4yr'!P56</f>
        <v>357777.13799999998</v>
      </c>
      <c r="Q56" s="48">
        <f>+'ACADEMIC SUPP 4yr'!Q56+'STU SERVICES 4yr'!Q56+'INST SUPPORT 4yr'!Q56</f>
        <v>414972.37699999998</v>
      </c>
      <c r="R56" s="48">
        <f>+'ACADEMIC SUPP 4yr'!R56+'STU SERVICES 4yr'!R56+'INST SUPPORT 4yr'!R56</f>
        <v>409573.47100000002</v>
      </c>
      <c r="S56" s="48">
        <f>+'ACADEMIC SUPP 4yr'!S56+'STU SERVICES 4yr'!S56+'INST SUPPORT 4yr'!S56</f>
        <v>445977.97900000005</v>
      </c>
      <c r="T56" s="48">
        <f>+'ACADEMIC SUPP 4yr'!T56+'STU SERVICES 4yr'!T56+'INST SUPPORT 4yr'!T56</f>
        <v>518981.82500000007</v>
      </c>
      <c r="U56" s="48">
        <f>+'ACADEMIC SUPP 4yr'!U56+'STU SERVICES 4yr'!U56+'INST SUPPORT 4yr'!U56</f>
        <v>575088.51500000001</v>
      </c>
      <c r="V56" s="48">
        <f>+'ACADEMIC SUPP 4yr'!V56+'STU SERVICES 4yr'!V56+'INST SUPPORT 4yr'!V56</f>
        <v>614587.81299999997</v>
      </c>
      <c r="W56" s="48">
        <f>+'ACADEMIC SUPP 4yr'!W56+'STU SERVICES 4yr'!W56+'INST SUPPORT 4yr'!W56</f>
        <v>643485.01600000006</v>
      </c>
      <c r="X56" s="48">
        <f>+'ACADEMIC SUPP 4yr'!X56+'STU SERVICES 4yr'!X56+'INST SUPPORT 4yr'!X56</f>
        <v>624765.12299999991</v>
      </c>
      <c r="Y56" s="48">
        <f>+'ACADEMIC SUPP 4yr'!Y56+'STU SERVICES 4yr'!Y56+'INST SUPPORT 4yr'!Y56</f>
        <v>621049.47699999996</v>
      </c>
      <c r="Z56" s="48">
        <f>+'ACADEMIC SUPP 4yr'!Z56+'STU SERVICES 4yr'!Z56+'INST SUPPORT 4yr'!Z56</f>
        <v>665741.85600000003</v>
      </c>
      <c r="AA56" s="48">
        <f>+'ACADEMIC SUPP 4yr'!AA56+'STU SERVICES 4yr'!AA56+'INST SUPPORT 4yr'!AA56</f>
        <v>741329.91299999994</v>
      </c>
      <c r="AB56" s="48">
        <f>+'ACADEMIC SUPP 4yr'!AB56+'STU SERVICES 4yr'!AB56+'INST SUPPORT 4yr'!AB56</f>
        <v>761861.91399999987</v>
      </c>
      <c r="AC56" s="48">
        <f>+'ACADEMIC SUPP 4yr'!AC56+'STU SERVICES 4yr'!AC56+'INST SUPPORT 4yr'!AC56</f>
        <v>648850.32900000003</v>
      </c>
    </row>
    <row r="57" spans="1:29">
      <c r="A57" s="1" t="s">
        <v>96</v>
      </c>
      <c r="B57" s="48">
        <f>+'ACADEMIC SUPP 4yr'!B57+'STU SERVICES 4yr'!B57+'INST SUPPORT 4yr'!B57</f>
        <v>0</v>
      </c>
      <c r="C57" s="48">
        <f>+'ACADEMIC SUPP 4yr'!C57+'STU SERVICES 4yr'!C57+'INST SUPPORT 4yr'!C57</f>
        <v>0</v>
      </c>
      <c r="D57" s="48">
        <f>+'ACADEMIC SUPP 4yr'!D57+'STU SERVICES 4yr'!D57+'INST SUPPORT 4yr'!D57</f>
        <v>0</v>
      </c>
      <c r="E57" s="48">
        <f>+'ACADEMIC SUPP 4yr'!E57+'STU SERVICES 4yr'!E57+'INST SUPPORT 4yr'!E57</f>
        <v>0</v>
      </c>
      <c r="F57" s="48">
        <f>+'ACADEMIC SUPP 4yr'!F57+'STU SERVICES 4yr'!F57+'INST SUPPORT 4yr'!F57</f>
        <v>74092.464000000007</v>
      </c>
      <c r="G57" s="48">
        <f>+'ACADEMIC SUPP 4yr'!G57+'STU SERVICES 4yr'!G57+'INST SUPPORT 4yr'!G57</f>
        <v>0</v>
      </c>
      <c r="H57" s="48">
        <f>+'ACADEMIC SUPP 4yr'!H57+'STU SERVICES 4yr'!H57+'INST SUPPORT 4yr'!H57</f>
        <v>0</v>
      </c>
      <c r="I57" s="48">
        <f>+'ACADEMIC SUPP 4yr'!I57+'STU SERVICES 4yr'!I57+'INST SUPPORT 4yr'!I57</f>
        <v>78577.027000000002</v>
      </c>
      <c r="J57" s="48">
        <f>+'ACADEMIC SUPP 4yr'!J57+'STU SERVICES 4yr'!J57+'INST SUPPORT 4yr'!J57</f>
        <v>0</v>
      </c>
      <c r="K57" s="48">
        <f>+'ACADEMIC SUPP 4yr'!K57+'STU SERVICES 4yr'!K57+'INST SUPPORT 4yr'!K57</f>
        <v>103913.372</v>
      </c>
      <c r="L57" s="48">
        <f>+'ACADEMIC SUPP 4yr'!L57+'STU SERVICES 4yr'!L57+'INST SUPPORT 4yr'!L57</f>
        <v>99171.974999999991</v>
      </c>
      <c r="M57" s="48">
        <f>+'ACADEMIC SUPP 4yr'!M57+'STU SERVICES 4yr'!M57+'INST SUPPORT 4yr'!M57</f>
        <v>107677.30800000002</v>
      </c>
      <c r="N57" s="48">
        <f>+'ACADEMIC SUPP 4yr'!N57+'STU SERVICES 4yr'!N57+'INST SUPPORT 4yr'!N57</f>
        <v>114098.67599999999</v>
      </c>
      <c r="O57" s="48">
        <f>+'ACADEMIC SUPP 4yr'!O57+'STU SERVICES 4yr'!O57+'INST SUPPORT 4yr'!O57</f>
        <v>120638.042</v>
      </c>
      <c r="P57" s="48">
        <f>+'ACADEMIC SUPP 4yr'!P57+'STU SERVICES 4yr'!P57+'INST SUPPORT 4yr'!P57</f>
        <v>133477.568</v>
      </c>
      <c r="Q57" s="48">
        <f>+'ACADEMIC SUPP 4yr'!Q57+'STU SERVICES 4yr'!Q57+'INST SUPPORT 4yr'!Q57</f>
        <v>137141.88999999998</v>
      </c>
      <c r="R57" s="48">
        <f>+'ACADEMIC SUPP 4yr'!R57+'STU SERVICES 4yr'!R57+'INST SUPPORT 4yr'!R57</f>
        <v>136412.745</v>
      </c>
      <c r="S57" s="48">
        <f>+'ACADEMIC SUPP 4yr'!S57+'STU SERVICES 4yr'!S57+'INST SUPPORT 4yr'!S57</f>
        <v>146999.984</v>
      </c>
      <c r="T57" s="48">
        <f>+'ACADEMIC SUPP 4yr'!T57+'STU SERVICES 4yr'!T57+'INST SUPPORT 4yr'!T57</f>
        <v>157884.22</v>
      </c>
      <c r="U57" s="48">
        <f>+'ACADEMIC SUPP 4yr'!U57+'STU SERVICES 4yr'!U57+'INST SUPPORT 4yr'!U57</f>
        <v>163516.95799999998</v>
      </c>
      <c r="V57" s="48">
        <f>+'ACADEMIC SUPP 4yr'!V57+'STU SERVICES 4yr'!V57+'INST SUPPORT 4yr'!V57</f>
        <v>188817.44999999998</v>
      </c>
      <c r="W57" s="48">
        <f>+'ACADEMIC SUPP 4yr'!W57+'STU SERVICES 4yr'!W57+'INST SUPPORT 4yr'!W57</f>
        <v>193123.98799999998</v>
      </c>
      <c r="X57" s="48">
        <f>+'ACADEMIC SUPP 4yr'!X57+'STU SERVICES 4yr'!X57+'INST SUPPORT 4yr'!X57</f>
        <v>198196.663</v>
      </c>
      <c r="Y57" s="48">
        <f>+'ACADEMIC SUPP 4yr'!Y57+'STU SERVICES 4yr'!Y57+'INST SUPPORT 4yr'!Y57</f>
        <v>201067.995</v>
      </c>
      <c r="Z57" s="48">
        <f>+'ACADEMIC SUPP 4yr'!Z57+'STU SERVICES 4yr'!Z57+'INST SUPPORT 4yr'!Z57</f>
        <v>200568.163</v>
      </c>
      <c r="AA57" s="48">
        <f>+'ACADEMIC SUPP 4yr'!AA57+'STU SERVICES 4yr'!AA57+'INST SUPPORT 4yr'!AA57</f>
        <v>202856.75399999996</v>
      </c>
      <c r="AB57" s="48">
        <f>+'ACADEMIC SUPP 4yr'!AB57+'STU SERVICES 4yr'!AB57+'INST SUPPORT 4yr'!AB57</f>
        <v>216121.09299999999</v>
      </c>
      <c r="AC57" s="48">
        <f>+'ACADEMIC SUPP 4yr'!AC57+'STU SERVICES 4yr'!AC57+'INST SUPPORT 4yr'!AC57</f>
        <v>227438.74800000002</v>
      </c>
    </row>
    <row r="58" spans="1:29" s="11" customFormat="1">
      <c r="A58" s="1" t="s">
        <v>97</v>
      </c>
      <c r="B58" s="48">
        <f>+'ACADEMIC SUPP 4yr'!B58+'STU SERVICES 4yr'!B58+'INST SUPPORT 4yr'!B58</f>
        <v>0</v>
      </c>
      <c r="C58" s="48">
        <f>+'ACADEMIC SUPP 4yr'!C58+'STU SERVICES 4yr'!C58+'INST SUPPORT 4yr'!C58</f>
        <v>0</v>
      </c>
      <c r="D58" s="48">
        <f>+'ACADEMIC SUPP 4yr'!D58+'STU SERVICES 4yr'!D58+'INST SUPPORT 4yr'!D58</f>
        <v>0</v>
      </c>
      <c r="E58" s="48">
        <f>+'ACADEMIC SUPP 4yr'!E58+'STU SERVICES 4yr'!E58+'INST SUPPORT 4yr'!E58</f>
        <v>0</v>
      </c>
      <c r="F58" s="48">
        <f>+'ACADEMIC SUPP 4yr'!F58+'STU SERVICES 4yr'!F58+'INST SUPPORT 4yr'!F58</f>
        <v>222564.26799999998</v>
      </c>
      <c r="G58" s="48">
        <f>+'ACADEMIC SUPP 4yr'!G58+'STU SERVICES 4yr'!G58+'INST SUPPORT 4yr'!G58</f>
        <v>0</v>
      </c>
      <c r="H58" s="48">
        <f>+'ACADEMIC SUPP 4yr'!H58+'STU SERVICES 4yr'!H58+'INST SUPPORT 4yr'!H58</f>
        <v>0</v>
      </c>
      <c r="I58" s="48">
        <f>+'ACADEMIC SUPP 4yr'!I58+'STU SERVICES 4yr'!I58+'INST SUPPORT 4yr'!I58</f>
        <v>299403.37700000004</v>
      </c>
      <c r="J58" s="48">
        <f>+'ACADEMIC SUPP 4yr'!J58+'STU SERVICES 4yr'!J58+'INST SUPPORT 4yr'!J58</f>
        <v>0</v>
      </c>
      <c r="K58" s="48">
        <f>+'ACADEMIC SUPP 4yr'!K58+'STU SERVICES 4yr'!K58+'INST SUPPORT 4yr'!K58</f>
        <v>353045.20499999996</v>
      </c>
      <c r="L58" s="48">
        <f>+'ACADEMIC SUPP 4yr'!L58+'STU SERVICES 4yr'!L58+'INST SUPPORT 4yr'!L58</f>
        <v>411288.33699999994</v>
      </c>
      <c r="M58" s="48">
        <f>+'ACADEMIC SUPP 4yr'!M58+'STU SERVICES 4yr'!M58+'INST SUPPORT 4yr'!M58</f>
        <v>436659.71400000004</v>
      </c>
      <c r="N58" s="48">
        <f>+'ACADEMIC SUPP 4yr'!N58+'STU SERVICES 4yr'!N58+'INST SUPPORT 4yr'!N58</f>
        <v>423381.56</v>
      </c>
      <c r="O58" s="48">
        <f>+'ACADEMIC SUPP 4yr'!O58+'STU SERVICES 4yr'!O58+'INST SUPPORT 4yr'!O58</f>
        <v>417152.92700000003</v>
      </c>
      <c r="P58" s="48">
        <f>+'ACADEMIC SUPP 4yr'!P58+'STU SERVICES 4yr'!P58+'INST SUPPORT 4yr'!P58</f>
        <v>430114.83799999999</v>
      </c>
      <c r="Q58" s="48">
        <f>+'ACADEMIC SUPP 4yr'!Q58+'STU SERVICES 4yr'!Q58+'INST SUPPORT 4yr'!Q58</f>
        <v>491568.22199999995</v>
      </c>
      <c r="R58" s="48">
        <f>+'ACADEMIC SUPP 4yr'!R58+'STU SERVICES 4yr'!R58+'INST SUPPORT 4yr'!R58</f>
        <v>528015.91</v>
      </c>
      <c r="S58" s="48">
        <f>+'ACADEMIC SUPP 4yr'!S58+'STU SERVICES 4yr'!S58+'INST SUPPORT 4yr'!S58</f>
        <v>570635.40599999996</v>
      </c>
      <c r="T58" s="48">
        <f>+'ACADEMIC SUPP 4yr'!T58+'STU SERVICES 4yr'!T58+'INST SUPPORT 4yr'!T58</f>
        <v>622255.76500000001</v>
      </c>
      <c r="U58" s="48">
        <f>+'ACADEMIC SUPP 4yr'!U58+'STU SERVICES 4yr'!U58+'INST SUPPORT 4yr'!U58</f>
        <v>501960.14299999998</v>
      </c>
      <c r="V58" s="48">
        <f>+'ACADEMIC SUPP 4yr'!V58+'STU SERVICES 4yr'!V58+'INST SUPPORT 4yr'!V58</f>
        <v>711834.647</v>
      </c>
      <c r="W58" s="48">
        <f>+'ACADEMIC SUPP 4yr'!W58+'STU SERVICES 4yr'!W58+'INST SUPPORT 4yr'!W58</f>
        <v>776384.76300000004</v>
      </c>
      <c r="X58" s="48">
        <f>+'ACADEMIC SUPP 4yr'!X58+'STU SERVICES 4yr'!X58+'INST SUPPORT 4yr'!X58</f>
        <v>835997.87100000004</v>
      </c>
      <c r="Y58" s="48">
        <f>+'ACADEMIC SUPP 4yr'!Y58+'STU SERVICES 4yr'!Y58+'INST SUPPORT 4yr'!Y58</f>
        <v>851038.55700000003</v>
      </c>
      <c r="Z58" s="48">
        <f>+'ACADEMIC SUPP 4yr'!Z58+'STU SERVICES 4yr'!Z58+'INST SUPPORT 4yr'!Z58</f>
        <v>915020.78300000005</v>
      </c>
      <c r="AA58" s="48">
        <f>+'ACADEMIC SUPP 4yr'!AA58+'STU SERVICES 4yr'!AA58+'INST SUPPORT 4yr'!AA58</f>
        <v>986314.777</v>
      </c>
      <c r="AB58" s="48">
        <f>+'ACADEMIC SUPP 4yr'!AB58+'STU SERVICES 4yr'!AB58+'INST SUPPORT 4yr'!AB58</f>
        <v>1039842.768</v>
      </c>
      <c r="AC58" s="48">
        <f>+'ACADEMIC SUPP 4yr'!AC58+'STU SERVICES 4yr'!AC58+'INST SUPPORT 4yr'!AC58</f>
        <v>1068059.3689999999</v>
      </c>
    </row>
    <row r="59" spans="1:29">
      <c r="A59" s="1" t="s">
        <v>103</v>
      </c>
      <c r="B59" s="48">
        <f>+'ACADEMIC SUPP 4yr'!B59+'STU SERVICES 4yr'!B59+'INST SUPPORT 4yr'!B59</f>
        <v>0</v>
      </c>
      <c r="C59" s="48">
        <f>+'ACADEMIC SUPP 4yr'!C59+'STU SERVICES 4yr'!C59+'INST SUPPORT 4yr'!C59</f>
        <v>0</v>
      </c>
      <c r="D59" s="48">
        <f>+'ACADEMIC SUPP 4yr'!D59+'STU SERVICES 4yr'!D59+'INST SUPPORT 4yr'!D59</f>
        <v>0</v>
      </c>
      <c r="E59" s="48">
        <f>+'ACADEMIC SUPP 4yr'!E59+'STU SERVICES 4yr'!E59+'INST SUPPORT 4yr'!E59</f>
        <v>0</v>
      </c>
      <c r="F59" s="48">
        <f>+'ACADEMIC SUPP 4yr'!F59+'STU SERVICES 4yr'!F59+'INST SUPPORT 4yr'!F59</f>
        <v>57029.687999999995</v>
      </c>
      <c r="G59" s="48">
        <f>+'ACADEMIC SUPP 4yr'!G59+'STU SERVICES 4yr'!G59+'INST SUPPORT 4yr'!G59</f>
        <v>0</v>
      </c>
      <c r="H59" s="48">
        <f>+'ACADEMIC SUPP 4yr'!H59+'STU SERVICES 4yr'!H59+'INST SUPPORT 4yr'!H59</f>
        <v>0</v>
      </c>
      <c r="I59" s="48">
        <f>+'ACADEMIC SUPP 4yr'!I59+'STU SERVICES 4yr'!I59+'INST SUPPORT 4yr'!I59</f>
        <v>63353.940999999992</v>
      </c>
      <c r="J59" s="48">
        <f>+'ACADEMIC SUPP 4yr'!J59+'STU SERVICES 4yr'!J59+'INST SUPPORT 4yr'!J59</f>
        <v>0</v>
      </c>
      <c r="K59" s="48">
        <f>+'ACADEMIC SUPP 4yr'!K59+'STU SERVICES 4yr'!K59+'INST SUPPORT 4yr'!K59</f>
        <v>70748.885000000009</v>
      </c>
      <c r="L59" s="48">
        <f>+'ACADEMIC SUPP 4yr'!L59+'STU SERVICES 4yr'!L59+'INST SUPPORT 4yr'!L59</f>
        <v>77093.133000000002</v>
      </c>
      <c r="M59" s="48">
        <f>+'ACADEMIC SUPP 4yr'!M59+'STU SERVICES 4yr'!M59+'INST SUPPORT 4yr'!M59</f>
        <v>79956.997000000003</v>
      </c>
      <c r="N59" s="48">
        <f>+'ACADEMIC SUPP 4yr'!N59+'STU SERVICES 4yr'!N59+'INST SUPPORT 4yr'!N59</f>
        <v>90486.010000000009</v>
      </c>
      <c r="O59" s="48">
        <f>+'ACADEMIC SUPP 4yr'!O59+'STU SERVICES 4yr'!O59+'INST SUPPORT 4yr'!O59</f>
        <v>99712.933000000005</v>
      </c>
      <c r="P59" s="48">
        <f>+'ACADEMIC SUPP 4yr'!P59+'STU SERVICES 4yr'!P59+'INST SUPPORT 4yr'!P59</f>
        <v>104895.117</v>
      </c>
      <c r="Q59" s="48">
        <f>+'ACADEMIC SUPP 4yr'!Q59+'STU SERVICES 4yr'!Q59+'INST SUPPORT 4yr'!Q59</f>
        <v>109810.30299999999</v>
      </c>
      <c r="R59" s="48">
        <f>+'ACADEMIC SUPP 4yr'!R59+'STU SERVICES 4yr'!R59+'INST SUPPORT 4yr'!R59</f>
        <v>113808.96300000002</v>
      </c>
      <c r="S59" s="48">
        <f>+'ACADEMIC SUPP 4yr'!S59+'STU SERVICES 4yr'!S59+'INST SUPPORT 4yr'!S59</f>
        <v>114048.62700000001</v>
      </c>
      <c r="T59" s="48">
        <f>+'ACADEMIC SUPP 4yr'!T59+'STU SERVICES 4yr'!T59+'INST SUPPORT 4yr'!T59</f>
        <v>140664.37199999997</v>
      </c>
      <c r="U59" s="48">
        <f>+'ACADEMIC SUPP 4yr'!U59+'STU SERVICES 4yr'!U59+'INST SUPPORT 4yr'!U59</f>
        <v>150755.07799999998</v>
      </c>
      <c r="V59" s="48">
        <f>+'ACADEMIC SUPP 4yr'!V59+'STU SERVICES 4yr'!V59+'INST SUPPORT 4yr'!V59</f>
        <v>154096.92600000001</v>
      </c>
      <c r="W59" s="48">
        <f>+'ACADEMIC SUPP 4yr'!W59+'STU SERVICES 4yr'!W59+'INST SUPPORT 4yr'!W59</f>
        <v>160049.394</v>
      </c>
      <c r="X59" s="48">
        <f>+'ACADEMIC SUPP 4yr'!X59+'STU SERVICES 4yr'!X59+'INST SUPPORT 4yr'!X59</f>
        <v>156607.62099999998</v>
      </c>
      <c r="Y59" s="48">
        <f>+'ACADEMIC SUPP 4yr'!Y59+'STU SERVICES 4yr'!Y59+'INST SUPPORT 4yr'!Y59</f>
        <v>168646.85100000002</v>
      </c>
      <c r="Z59" s="48">
        <f>+'ACADEMIC SUPP 4yr'!Z59+'STU SERVICES 4yr'!Z59+'INST SUPPORT 4yr'!Z59</f>
        <v>169109.742</v>
      </c>
      <c r="AA59" s="48">
        <f>+'ACADEMIC SUPP 4yr'!AA59+'STU SERVICES 4yr'!AA59+'INST SUPPORT 4yr'!AA59</f>
        <v>180800.55300000001</v>
      </c>
      <c r="AB59" s="48">
        <f>+'ACADEMIC SUPP 4yr'!AB59+'STU SERVICES 4yr'!AB59+'INST SUPPORT 4yr'!AB59</f>
        <v>199728.27599999998</v>
      </c>
      <c r="AC59" s="48">
        <f>+'ACADEMIC SUPP 4yr'!AC59+'STU SERVICES 4yr'!AC59+'INST SUPPORT 4yr'!AC59</f>
        <v>204387.022</v>
      </c>
    </row>
    <row r="60" spans="1:29">
      <c r="A60" s="1" t="s">
        <v>104</v>
      </c>
      <c r="B60" s="48">
        <f>+'ACADEMIC SUPP 4yr'!B60+'STU SERVICES 4yr'!B60+'INST SUPPORT 4yr'!B60</f>
        <v>0</v>
      </c>
      <c r="C60" s="48">
        <f>+'ACADEMIC SUPP 4yr'!C60+'STU SERVICES 4yr'!C60+'INST SUPPORT 4yr'!C60</f>
        <v>0</v>
      </c>
      <c r="D60" s="48">
        <f>+'ACADEMIC SUPP 4yr'!D60+'STU SERVICES 4yr'!D60+'INST SUPPORT 4yr'!D60</f>
        <v>0</v>
      </c>
      <c r="E60" s="48">
        <f>+'ACADEMIC SUPP 4yr'!E60+'STU SERVICES 4yr'!E60+'INST SUPPORT 4yr'!E60</f>
        <v>0</v>
      </c>
      <c r="F60" s="48">
        <f>+'ACADEMIC SUPP 4yr'!F60+'STU SERVICES 4yr'!F60+'INST SUPPORT 4yr'!F60</f>
        <v>245351.399</v>
      </c>
      <c r="G60" s="48">
        <f>+'ACADEMIC SUPP 4yr'!G60+'STU SERVICES 4yr'!G60+'INST SUPPORT 4yr'!G60</f>
        <v>0</v>
      </c>
      <c r="H60" s="48">
        <f>+'ACADEMIC SUPP 4yr'!H60+'STU SERVICES 4yr'!H60+'INST SUPPORT 4yr'!H60</f>
        <v>0</v>
      </c>
      <c r="I60" s="48">
        <f>+'ACADEMIC SUPP 4yr'!I60+'STU SERVICES 4yr'!I60+'INST SUPPORT 4yr'!I60</f>
        <v>284486.65399999998</v>
      </c>
      <c r="J60" s="48">
        <f>+'ACADEMIC SUPP 4yr'!J60+'STU SERVICES 4yr'!J60+'INST SUPPORT 4yr'!J60</f>
        <v>0</v>
      </c>
      <c r="K60" s="48">
        <f>+'ACADEMIC SUPP 4yr'!K60+'STU SERVICES 4yr'!K60+'INST SUPPORT 4yr'!K60</f>
        <v>494899.97899999999</v>
      </c>
      <c r="L60" s="48">
        <f>+'ACADEMIC SUPP 4yr'!L60+'STU SERVICES 4yr'!L60+'INST SUPPORT 4yr'!L60</f>
        <v>409543.451</v>
      </c>
      <c r="M60" s="48">
        <f>+'ACADEMIC SUPP 4yr'!M60+'STU SERVICES 4yr'!M60+'INST SUPPORT 4yr'!M60</f>
        <v>424651.38</v>
      </c>
      <c r="N60" s="48">
        <f>+'ACADEMIC SUPP 4yr'!N60+'STU SERVICES 4yr'!N60+'INST SUPPORT 4yr'!N60</f>
        <v>446303.39600000001</v>
      </c>
      <c r="O60" s="48">
        <f>+'ACADEMIC SUPP 4yr'!O60+'STU SERVICES 4yr'!O60+'INST SUPPORT 4yr'!O60</f>
        <v>445101.33</v>
      </c>
      <c r="P60" s="48">
        <f>+'ACADEMIC SUPP 4yr'!P60+'STU SERVICES 4yr'!P60+'INST SUPPORT 4yr'!P60</f>
        <v>485751.67300000001</v>
      </c>
      <c r="Q60" s="48">
        <f>+'ACADEMIC SUPP 4yr'!Q60+'STU SERVICES 4yr'!Q60+'INST SUPPORT 4yr'!Q60</f>
        <v>807455.60499999998</v>
      </c>
      <c r="R60" s="48">
        <f>+'ACADEMIC SUPP 4yr'!R60+'STU SERVICES 4yr'!R60+'INST SUPPORT 4yr'!R60</f>
        <v>807065.049</v>
      </c>
      <c r="S60" s="48">
        <f>+'ACADEMIC SUPP 4yr'!S60+'STU SERVICES 4yr'!S60+'INST SUPPORT 4yr'!S60</f>
        <v>848327.59900000005</v>
      </c>
      <c r="T60" s="48">
        <f>+'ACADEMIC SUPP 4yr'!T60+'STU SERVICES 4yr'!T60+'INST SUPPORT 4yr'!T60</f>
        <v>1073725.1310000001</v>
      </c>
      <c r="U60" s="48">
        <f>+'ACADEMIC SUPP 4yr'!U60+'STU SERVICES 4yr'!U60+'INST SUPPORT 4yr'!U60</f>
        <v>849941.50200000009</v>
      </c>
      <c r="V60" s="48">
        <f>+'ACADEMIC SUPP 4yr'!V60+'STU SERVICES 4yr'!V60+'INST SUPPORT 4yr'!V60</f>
        <v>1099695.0550000002</v>
      </c>
      <c r="W60" s="48">
        <f>+'ACADEMIC SUPP 4yr'!W60+'STU SERVICES 4yr'!W60+'INST SUPPORT 4yr'!W60</f>
        <v>1129235.9129999999</v>
      </c>
      <c r="X60" s="48">
        <f>+'ACADEMIC SUPP 4yr'!X60+'STU SERVICES 4yr'!X60+'INST SUPPORT 4yr'!X60</f>
        <v>1217546.0249999999</v>
      </c>
      <c r="Y60" s="48">
        <f>+'ACADEMIC SUPP 4yr'!Y60+'STU SERVICES 4yr'!Y60+'INST SUPPORT 4yr'!Y60</f>
        <v>1135674.3389999999</v>
      </c>
      <c r="Z60" s="48">
        <f>+'ACADEMIC SUPP 4yr'!Z60+'STU SERVICES 4yr'!Z60+'INST SUPPORT 4yr'!Z60</f>
        <v>1427577.5970000001</v>
      </c>
      <c r="AA60" s="48">
        <f>+'ACADEMIC SUPP 4yr'!AA60+'STU SERVICES 4yr'!AA60+'INST SUPPORT 4yr'!AA60</f>
        <v>1412534.92</v>
      </c>
      <c r="AB60" s="48">
        <f>+'ACADEMIC SUPP 4yr'!AB60+'STU SERVICES 4yr'!AB60+'INST SUPPORT 4yr'!AB60</f>
        <v>1523163.3939999999</v>
      </c>
      <c r="AC60" s="48">
        <f>+'ACADEMIC SUPP 4yr'!AC60+'STU SERVICES 4yr'!AC60+'INST SUPPORT 4yr'!AC60</f>
        <v>1913462.3149999999</v>
      </c>
    </row>
    <row r="61" spans="1:29">
      <c r="A61" s="1" t="s">
        <v>106</v>
      </c>
      <c r="B61" s="48">
        <f>+'ACADEMIC SUPP 4yr'!B61+'STU SERVICES 4yr'!B61+'INST SUPPORT 4yr'!B61</f>
        <v>0</v>
      </c>
      <c r="C61" s="48">
        <f>+'ACADEMIC SUPP 4yr'!C61+'STU SERVICES 4yr'!C61+'INST SUPPORT 4yr'!C61</f>
        <v>0</v>
      </c>
      <c r="D61" s="48">
        <f>+'ACADEMIC SUPP 4yr'!D61+'STU SERVICES 4yr'!D61+'INST SUPPORT 4yr'!D61</f>
        <v>0</v>
      </c>
      <c r="E61" s="48">
        <f>+'ACADEMIC SUPP 4yr'!E61+'STU SERVICES 4yr'!E61+'INST SUPPORT 4yr'!E61</f>
        <v>0</v>
      </c>
      <c r="F61" s="48">
        <f>+'ACADEMIC SUPP 4yr'!F61+'STU SERVICES 4yr'!F61+'INST SUPPORT 4yr'!F61</f>
        <v>794102.21799999999</v>
      </c>
      <c r="G61" s="48">
        <f>+'ACADEMIC SUPP 4yr'!G61+'STU SERVICES 4yr'!G61+'INST SUPPORT 4yr'!G61</f>
        <v>0</v>
      </c>
      <c r="H61" s="48">
        <f>+'ACADEMIC SUPP 4yr'!H61+'STU SERVICES 4yr'!H61+'INST SUPPORT 4yr'!H61</f>
        <v>0</v>
      </c>
      <c r="I61" s="48">
        <f>+'ACADEMIC SUPP 4yr'!I61+'STU SERVICES 4yr'!I61+'INST SUPPORT 4yr'!I61</f>
        <v>935283.13</v>
      </c>
      <c r="J61" s="48">
        <f>+'ACADEMIC SUPP 4yr'!J61+'STU SERVICES 4yr'!J61+'INST SUPPORT 4yr'!J61</f>
        <v>0</v>
      </c>
      <c r="K61" s="48">
        <f>+'ACADEMIC SUPP 4yr'!K61+'STU SERVICES 4yr'!K61+'INST SUPPORT 4yr'!K61</f>
        <v>1115389.301</v>
      </c>
      <c r="L61" s="48">
        <f>+'ACADEMIC SUPP 4yr'!L61+'STU SERVICES 4yr'!L61+'INST SUPPORT 4yr'!L61</f>
        <v>1106549.5389999999</v>
      </c>
      <c r="M61" s="48">
        <f>+'ACADEMIC SUPP 4yr'!M61+'STU SERVICES 4yr'!M61+'INST SUPPORT 4yr'!M61</f>
        <v>1208986.466</v>
      </c>
      <c r="N61" s="48">
        <f>+'ACADEMIC SUPP 4yr'!N61+'STU SERVICES 4yr'!N61+'INST SUPPORT 4yr'!N61</f>
        <v>1302843.3900000001</v>
      </c>
      <c r="O61" s="48">
        <f>+'ACADEMIC SUPP 4yr'!O61+'STU SERVICES 4yr'!O61+'INST SUPPORT 4yr'!O61</f>
        <v>1233171.5560000001</v>
      </c>
      <c r="P61" s="48">
        <f>+'ACADEMIC SUPP 4yr'!P61+'STU SERVICES 4yr'!P61+'INST SUPPORT 4yr'!P61</f>
        <v>1267440.2450000001</v>
      </c>
      <c r="Q61" s="48">
        <f>+'ACADEMIC SUPP 4yr'!Q61+'STU SERVICES 4yr'!Q61+'INST SUPPORT 4yr'!Q61</f>
        <v>1589455.6880000001</v>
      </c>
      <c r="R61" s="48">
        <f>+'ACADEMIC SUPP 4yr'!R61+'STU SERVICES 4yr'!R61+'INST SUPPORT 4yr'!R61</f>
        <v>1475984.1600000001</v>
      </c>
      <c r="S61" s="48">
        <f>+'ACADEMIC SUPP 4yr'!S61+'STU SERVICES 4yr'!S61+'INST SUPPORT 4yr'!S61</f>
        <v>1646668.7680000002</v>
      </c>
      <c r="T61" s="48">
        <f>+'ACADEMIC SUPP 4yr'!T61+'STU SERVICES 4yr'!T61+'INST SUPPORT 4yr'!T61</f>
        <v>1815901.709</v>
      </c>
      <c r="U61" s="48">
        <f>+'ACADEMIC SUPP 4yr'!U61+'STU SERVICES 4yr'!U61+'INST SUPPORT 4yr'!U61</f>
        <v>2000662.4709999999</v>
      </c>
      <c r="V61" s="48">
        <f>+'ACADEMIC SUPP 4yr'!V61+'STU SERVICES 4yr'!V61+'INST SUPPORT 4yr'!V61</f>
        <v>2648438.4879999999</v>
      </c>
      <c r="W61" s="48">
        <f>+'ACADEMIC SUPP 4yr'!W61+'STU SERVICES 4yr'!W61+'INST SUPPORT 4yr'!W61</f>
        <v>2788256.0759999999</v>
      </c>
      <c r="X61" s="48">
        <f>+'ACADEMIC SUPP 4yr'!X61+'STU SERVICES 4yr'!X61+'INST SUPPORT 4yr'!X61</f>
        <v>2848809.9160000002</v>
      </c>
      <c r="Y61" s="48">
        <f>+'ACADEMIC SUPP 4yr'!Y61+'STU SERVICES 4yr'!Y61+'INST SUPPORT 4yr'!Y61</f>
        <v>2833228.9680000003</v>
      </c>
      <c r="Z61" s="48">
        <f>+'ACADEMIC SUPP 4yr'!Z61+'STU SERVICES 4yr'!Z61+'INST SUPPORT 4yr'!Z61</f>
        <v>2916139.122</v>
      </c>
      <c r="AA61" s="48">
        <f>+'ACADEMIC SUPP 4yr'!AA61+'STU SERVICES 4yr'!AA61+'INST SUPPORT 4yr'!AA61</f>
        <v>2765189.1009999998</v>
      </c>
      <c r="AB61" s="48">
        <f>+'ACADEMIC SUPP 4yr'!AB61+'STU SERVICES 4yr'!AB61+'INST SUPPORT 4yr'!AB61</f>
        <v>3191538.5190000003</v>
      </c>
      <c r="AC61" s="48">
        <f>+'ACADEMIC SUPP 4yr'!AC61+'STU SERVICES 4yr'!AC61+'INST SUPPORT 4yr'!AC61</f>
        <v>3258428.4350000001</v>
      </c>
    </row>
    <row r="62" spans="1:29">
      <c r="A62" s="1" t="s">
        <v>110</v>
      </c>
      <c r="B62" s="48">
        <f>+'ACADEMIC SUPP 4yr'!B62+'STU SERVICES 4yr'!B62+'INST SUPPORT 4yr'!B62</f>
        <v>0</v>
      </c>
      <c r="C62" s="48">
        <f>+'ACADEMIC SUPP 4yr'!C62+'STU SERVICES 4yr'!C62+'INST SUPPORT 4yr'!C62</f>
        <v>0</v>
      </c>
      <c r="D62" s="48">
        <f>+'ACADEMIC SUPP 4yr'!D62+'STU SERVICES 4yr'!D62+'INST SUPPORT 4yr'!D62</f>
        <v>0</v>
      </c>
      <c r="E62" s="48">
        <f>+'ACADEMIC SUPP 4yr'!E62+'STU SERVICES 4yr'!E62+'INST SUPPORT 4yr'!E62</f>
        <v>0</v>
      </c>
      <c r="F62" s="48">
        <f>+'ACADEMIC SUPP 4yr'!F62+'STU SERVICES 4yr'!F62+'INST SUPPORT 4yr'!F62</f>
        <v>711432.28700000001</v>
      </c>
      <c r="G62" s="48">
        <f>+'ACADEMIC SUPP 4yr'!G62+'STU SERVICES 4yr'!G62+'INST SUPPORT 4yr'!G62</f>
        <v>0</v>
      </c>
      <c r="H62" s="48">
        <f>+'ACADEMIC SUPP 4yr'!H62+'STU SERVICES 4yr'!H62+'INST SUPPORT 4yr'!H62</f>
        <v>0</v>
      </c>
      <c r="I62" s="48">
        <f>+'ACADEMIC SUPP 4yr'!I62+'STU SERVICES 4yr'!I62+'INST SUPPORT 4yr'!I62</f>
        <v>834927.05499999993</v>
      </c>
      <c r="J62" s="48">
        <f>+'ACADEMIC SUPP 4yr'!J62+'STU SERVICES 4yr'!J62+'INST SUPPORT 4yr'!J62</f>
        <v>0</v>
      </c>
      <c r="K62" s="48">
        <f>+'ACADEMIC SUPP 4yr'!K62+'STU SERVICES 4yr'!K62+'INST SUPPORT 4yr'!K62</f>
        <v>912716.31900000002</v>
      </c>
      <c r="L62" s="48">
        <f>+'ACADEMIC SUPP 4yr'!L62+'STU SERVICES 4yr'!L62+'INST SUPPORT 4yr'!L62</f>
        <v>1105200.598</v>
      </c>
      <c r="M62" s="48">
        <f>+'ACADEMIC SUPP 4yr'!M62+'STU SERVICES 4yr'!M62+'INST SUPPORT 4yr'!M62</f>
        <v>973125.04799999995</v>
      </c>
      <c r="N62" s="48">
        <f>+'ACADEMIC SUPP 4yr'!N62+'STU SERVICES 4yr'!N62+'INST SUPPORT 4yr'!N62</f>
        <v>626527.88199999998</v>
      </c>
      <c r="O62" s="48">
        <f>+'ACADEMIC SUPP 4yr'!O62+'STU SERVICES 4yr'!O62+'INST SUPPORT 4yr'!O62</f>
        <v>413703.29800000001</v>
      </c>
      <c r="P62" s="48">
        <f>+'ACADEMIC SUPP 4yr'!P62+'STU SERVICES 4yr'!P62+'INST SUPPORT 4yr'!P62</f>
        <v>439884.47100000002</v>
      </c>
      <c r="Q62" s="48">
        <f>+'ACADEMIC SUPP 4yr'!Q62+'STU SERVICES 4yr'!Q62+'INST SUPPORT 4yr'!Q62</f>
        <v>428650.72600000002</v>
      </c>
      <c r="R62" s="48">
        <f>+'ACADEMIC SUPP 4yr'!R62+'STU SERVICES 4yr'!R62+'INST SUPPORT 4yr'!R62</f>
        <v>446337.228</v>
      </c>
      <c r="S62" s="48">
        <f>+'ACADEMIC SUPP 4yr'!S62+'STU SERVICES 4yr'!S62+'INST SUPPORT 4yr'!S62</f>
        <v>481041.86399999994</v>
      </c>
      <c r="T62" s="48">
        <f>+'ACADEMIC SUPP 4yr'!T62+'STU SERVICES 4yr'!T62+'INST SUPPORT 4yr'!T62</f>
        <v>521145.24699999997</v>
      </c>
      <c r="U62" s="48">
        <f>+'ACADEMIC SUPP 4yr'!U62+'STU SERVICES 4yr'!U62+'INST SUPPORT 4yr'!U62</f>
        <v>546725.00199999998</v>
      </c>
      <c r="V62" s="48">
        <f>+'ACADEMIC SUPP 4yr'!V62+'STU SERVICES 4yr'!V62+'INST SUPPORT 4yr'!V62</f>
        <v>663404.995</v>
      </c>
      <c r="W62" s="48">
        <f>+'ACADEMIC SUPP 4yr'!W62+'STU SERVICES 4yr'!W62+'INST SUPPORT 4yr'!W62</f>
        <v>668082.41599999997</v>
      </c>
      <c r="X62" s="48">
        <f>+'ACADEMIC SUPP 4yr'!X62+'STU SERVICES 4yr'!X62+'INST SUPPORT 4yr'!X62</f>
        <v>682257.38699999999</v>
      </c>
      <c r="Y62" s="48">
        <f>+'ACADEMIC SUPP 4yr'!Y62+'STU SERVICES 4yr'!Y62+'INST SUPPORT 4yr'!Y62</f>
        <v>709128.80899999989</v>
      </c>
      <c r="Z62" s="48">
        <f>+'ACADEMIC SUPP 4yr'!Z62+'STU SERVICES 4yr'!Z62+'INST SUPPORT 4yr'!Z62</f>
        <v>727330.87399999995</v>
      </c>
      <c r="AA62" s="48">
        <f>+'ACADEMIC SUPP 4yr'!AA62+'STU SERVICES 4yr'!AA62+'INST SUPPORT 4yr'!AA62</f>
        <v>722804.23699999996</v>
      </c>
      <c r="AB62" s="48">
        <f>+'ACADEMIC SUPP 4yr'!AB62+'STU SERVICES 4yr'!AB62+'INST SUPPORT 4yr'!AB62</f>
        <v>744158.94800000009</v>
      </c>
      <c r="AC62" s="48">
        <f>+'ACADEMIC SUPP 4yr'!AC62+'STU SERVICES 4yr'!AC62+'INST SUPPORT 4yr'!AC62</f>
        <v>752093.35</v>
      </c>
    </row>
    <row r="63" spans="1:29">
      <c r="A63" s="1" t="s">
        <v>111</v>
      </c>
      <c r="B63" s="48">
        <f>+'ACADEMIC SUPP 4yr'!B63+'STU SERVICES 4yr'!B63+'INST SUPPORT 4yr'!B63</f>
        <v>0</v>
      </c>
      <c r="C63" s="48">
        <f>+'ACADEMIC SUPP 4yr'!C63+'STU SERVICES 4yr'!C63+'INST SUPPORT 4yr'!C63</f>
        <v>0</v>
      </c>
      <c r="D63" s="48">
        <f>+'ACADEMIC SUPP 4yr'!D63+'STU SERVICES 4yr'!D63+'INST SUPPORT 4yr'!D63</f>
        <v>0</v>
      </c>
      <c r="E63" s="48">
        <f>+'ACADEMIC SUPP 4yr'!E63+'STU SERVICES 4yr'!E63+'INST SUPPORT 4yr'!E63</f>
        <v>0</v>
      </c>
      <c r="F63" s="48">
        <f>+'ACADEMIC SUPP 4yr'!F63+'STU SERVICES 4yr'!F63+'INST SUPPORT 4yr'!F63</f>
        <v>63892.110999999997</v>
      </c>
      <c r="G63" s="48">
        <f>+'ACADEMIC SUPP 4yr'!G63+'STU SERVICES 4yr'!G63+'INST SUPPORT 4yr'!G63</f>
        <v>0</v>
      </c>
      <c r="H63" s="48">
        <f>+'ACADEMIC SUPP 4yr'!H63+'STU SERVICES 4yr'!H63+'INST SUPPORT 4yr'!H63</f>
        <v>0</v>
      </c>
      <c r="I63" s="48">
        <f>+'ACADEMIC SUPP 4yr'!I63+'STU SERVICES 4yr'!I63+'INST SUPPORT 4yr'!I63</f>
        <v>69938.016000000003</v>
      </c>
      <c r="J63" s="48">
        <f>+'ACADEMIC SUPP 4yr'!J63+'STU SERVICES 4yr'!J63+'INST SUPPORT 4yr'!J63</f>
        <v>0</v>
      </c>
      <c r="K63" s="48">
        <f>+'ACADEMIC SUPP 4yr'!K63+'STU SERVICES 4yr'!K63+'INST SUPPORT 4yr'!K63</f>
        <v>81611.686000000002</v>
      </c>
      <c r="L63" s="48">
        <f>+'ACADEMIC SUPP 4yr'!L63+'STU SERVICES 4yr'!L63+'INST SUPPORT 4yr'!L63</f>
        <v>95689.515000000014</v>
      </c>
      <c r="M63" s="48">
        <f>+'ACADEMIC SUPP 4yr'!M63+'STU SERVICES 4yr'!M63+'INST SUPPORT 4yr'!M63</f>
        <v>97529.788</v>
      </c>
      <c r="N63" s="48">
        <f>+'ACADEMIC SUPP 4yr'!N63+'STU SERVICES 4yr'!N63+'INST SUPPORT 4yr'!N63</f>
        <v>98166.991000000009</v>
      </c>
      <c r="O63" s="48">
        <f>+'ACADEMIC SUPP 4yr'!O63+'STU SERVICES 4yr'!O63+'INST SUPPORT 4yr'!O63</f>
        <v>106805.503</v>
      </c>
      <c r="P63" s="48">
        <f>+'ACADEMIC SUPP 4yr'!P63+'STU SERVICES 4yr'!P63+'INST SUPPORT 4yr'!P63</f>
        <v>115416.63400000001</v>
      </c>
      <c r="Q63" s="48">
        <f>+'ACADEMIC SUPP 4yr'!Q63+'STU SERVICES 4yr'!Q63+'INST SUPPORT 4yr'!Q63</f>
        <v>125262.579</v>
      </c>
      <c r="R63" s="48">
        <f>+'ACADEMIC SUPP 4yr'!R63+'STU SERVICES 4yr'!R63+'INST SUPPORT 4yr'!R63</f>
        <v>127472.97900000001</v>
      </c>
      <c r="S63" s="48">
        <f>+'ACADEMIC SUPP 4yr'!S63+'STU SERVICES 4yr'!S63+'INST SUPPORT 4yr'!S63</f>
        <v>132539.842</v>
      </c>
      <c r="T63" s="48">
        <f>+'ACADEMIC SUPP 4yr'!T63+'STU SERVICES 4yr'!T63+'INST SUPPORT 4yr'!T63</f>
        <v>144787.261</v>
      </c>
      <c r="U63" s="48">
        <f>+'ACADEMIC SUPP 4yr'!U63+'STU SERVICES 4yr'!U63+'INST SUPPORT 4yr'!U63</f>
        <v>140875.05600000001</v>
      </c>
      <c r="V63" s="48">
        <f>+'ACADEMIC SUPP 4yr'!V63+'STU SERVICES 4yr'!V63+'INST SUPPORT 4yr'!V63</f>
        <v>166457.34399999998</v>
      </c>
      <c r="W63" s="48">
        <f>+'ACADEMIC SUPP 4yr'!W63+'STU SERVICES 4yr'!W63+'INST SUPPORT 4yr'!W63</f>
        <v>168943.06200000001</v>
      </c>
      <c r="X63" s="48">
        <f>+'ACADEMIC SUPP 4yr'!X63+'STU SERVICES 4yr'!X63+'INST SUPPORT 4yr'!X63</f>
        <v>178021.68699999998</v>
      </c>
      <c r="Y63" s="48">
        <f>+'ACADEMIC SUPP 4yr'!Y63+'STU SERVICES 4yr'!Y63+'INST SUPPORT 4yr'!Y63</f>
        <v>176796.391</v>
      </c>
      <c r="Z63" s="48">
        <f>+'ACADEMIC SUPP 4yr'!Z63+'STU SERVICES 4yr'!Z63+'INST SUPPORT 4yr'!Z63</f>
        <v>178008.348</v>
      </c>
      <c r="AA63" s="48">
        <f>+'ACADEMIC SUPP 4yr'!AA63+'STU SERVICES 4yr'!AA63+'INST SUPPORT 4yr'!AA63</f>
        <v>172724.09</v>
      </c>
      <c r="AB63" s="48">
        <f>+'ACADEMIC SUPP 4yr'!AB63+'STU SERVICES 4yr'!AB63+'INST SUPPORT 4yr'!AB63</f>
        <v>190902.20399999997</v>
      </c>
      <c r="AC63" s="48">
        <f>+'ACADEMIC SUPP 4yr'!AC63+'STU SERVICES 4yr'!AC63+'INST SUPPORT 4yr'!AC63</f>
        <v>197052.36599999998</v>
      </c>
    </row>
    <row r="64" spans="1:29">
      <c r="A64" s="24" t="s">
        <v>114</v>
      </c>
      <c r="B64" s="50">
        <f>+'ACADEMIC SUPP 4yr'!B64+'STU SERVICES 4yr'!B64+'INST SUPPORT 4yr'!B64</f>
        <v>0</v>
      </c>
      <c r="C64" s="50">
        <f>+'ACADEMIC SUPP 4yr'!C64+'STU SERVICES 4yr'!C64+'INST SUPPORT 4yr'!C64</f>
        <v>0</v>
      </c>
      <c r="D64" s="50">
        <f>+'ACADEMIC SUPP 4yr'!D64+'STU SERVICES 4yr'!D64+'INST SUPPORT 4yr'!D64</f>
        <v>0</v>
      </c>
      <c r="E64" s="50">
        <f>+'ACADEMIC SUPP 4yr'!E64+'STU SERVICES 4yr'!E64+'INST SUPPORT 4yr'!E64</f>
        <v>0</v>
      </c>
      <c r="F64" s="50">
        <f>+'ACADEMIC SUPP 4yr'!F64+'STU SERVICES 4yr'!F64+'INST SUPPORT 4yr'!F64</f>
        <v>61951.37</v>
      </c>
      <c r="G64" s="50">
        <f>+'ACADEMIC SUPP 4yr'!G64+'STU SERVICES 4yr'!G64+'INST SUPPORT 4yr'!G64</f>
        <v>0</v>
      </c>
      <c r="H64" s="50">
        <f>+'ACADEMIC SUPP 4yr'!H64+'STU SERVICES 4yr'!H64+'INST SUPPORT 4yr'!H64</f>
        <v>0</v>
      </c>
      <c r="I64" s="50">
        <f>+'ACADEMIC SUPP 4yr'!I64+'STU SERVICES 4yr'!I64+'INST SUPPORT 4yr'!I64</f>
        <v>72126.896999999997</v>
      </c>
      <c r="J64" s="50">
        <f>+'ACADEMIC SUPP 4yr'!J64+'STU SERVICES 4yr'!J64+'INST SUPPORT 4yr'!J64</f>
        <v>0</v>
      </c>
      <c r="K64" s="50">
        <f>+'ACADEMIC SUPP 4yr'!K64+'STU SERVICES 4yr'!K64+'INST SUPPORT 4yr'!K64</f>
        <v>87482.175000000003</v>
      </c>
      <c r="L64" s="50">
        <f>+'ACADEMIC SUPP 4yr'!L64+'STU SERVICES 4yr'!L64+'INST SUPPORT 4yr'!L64</f>
        <v>103548.034</v>
      </c>
      <c r="M64" s="50">
        <f>+'ACADEMIC SUPP 4yr'!M64+'STU SERVICES 4yr'!M64+'INST SUPPORT 4yr'!M64</f>
        <v>93069.005000000005</v>
      </c>
      <c r="N64" s="50">
        <f>+'ACADEMIC SUPP 4yr'!N64+'STU SERVICES 4yr'!N64+'INST SUPPORT 4yr'!N64</f>
        <v>103135.57199999999</v>
      </c>
      <c r="O64" s="50">
        <f>+'ACADEMIC SUPP 4yr'!O64+'STU SERVICES 4yr'!O64+'INST SUPPORT 4yr'!O64</f>
        <v>77547.004000000001</v>
      </c>
      <c r="P64" s="50">
        <f>+'ACADEMIC SUPP 4yr'!P64+'STU SERVICES 4yr'!P64+'INST SUPPORT 4yr'!P64</f>
        <v>117382.886</v>
      </c>
      <c r="Q64" s="50">
        <f>+'ACADEMIC SUPP 4yr'!Q64+'STU SERVICES 4yr'!Q64+'INST SUPPORT 4yr'!Q64</f>
        <v>125640.965</v>
      </c>
      <c r="R64" s="50">
        <f>+'ACADEMIC SUPP 4yr'!R64+'STU SERVICES 4yr'!R64+'INST SUPPORT 4yr'!R64</f>
        <v>132450.372</v>
      </c>
      <c r="S64" s="50">
        <f>+'ACADEMIC SUPP 4yr'!S64+'STU SERVICES 4yr'!S64+'INST SUPPORT 4yr'!S64</f>
        <v>148241.74699999997</v>
      </c>
      <c r="T64" s="50">
        <f>+'ACADEMIC SUPP 4yr'!T64+'STU SERVICES 4yr'!T64+'INST SUPPORT 4yr'!T64</f>
        <v>186155.22700000001</v>
      </c>
      <c r="U64" s="50">
        <f>+'ACADEMIC SUPP 4yr'!U64+'STU SERVICES 4yr'!U64+'INST SUPPORT 4yr'!U64</f>
        <v>166009.35499999998</v>
      </c>
      <c r="V64" s="50">
        <f>+'ACADEMIC SUPP 4yr'!V64+'STU SERVICES 4yr'!V64+'INST SUPPORT 4yr'!V64</f>
        <v>212345.617</v>
      </c>
      <c r="W64" s="50">
        <f>+'ACADEMIC SUPP 4yr'!W64+'STU SERVICES 4yr'!W64+'INST SUPPORT 4yr'!W64</f>
        <v>215665.90499999997</v>
      </c>
      <c r="X64" s="50">
        <f>+'ACADEMIC SUPP 4yr'!X64+'STU SERVICES 4yr'!X64+'INST SUPPORT 4yr'!X64</f>
        <v>220060.58799999999</v>
      </c>
      <c r="Y64" s="50">
        <f>+'ACADEMIC SUPP 4yr'!Y64+'STU SERVICES 4yr'!Y64+'INST SUPPORT 4yr'!Y64</f>
        <v>207216.3</v>
      </c>
      <c r="Z64" s="50">
        <f>+'ACADEMIC SUPP 4yr'!Z64+'STU SERVICES 4yr'!Z64+'INST SUPPORT 4yr'!Z64</f>
        <v>222081.33000000002</v>
      </c>
      <c r="AA64" s="50">
        <f>+'ACADEMIC SUPP 4yr'!AA64+'STU SERVICES 4yr'!AA64+'INST SUPPORT 4yr'!AA64</f>
        <v>217381.42200000002</v>
      </c>
      <c r="AB64" s="50">
        <f>+'ACADEMIC SUPP 4yr'!AB64+'STU SERVICES 4yr'!AB64+'INST SUPPORT 4yr'!AB64</f>
        <v>227895.565</v>
      </c>
      <c r="AC64" s="50">
        <f>+'ACADEMIC SUPP 4yr'!AC64+'STU SERVICES 4yr'!AC64+'INST SUPPORT 4yr'!AC64</f>
        <v>235613.23199999999</v>
      </c>
    </row>
    <row r="65" spans="1:29">
      <c r="A65" s="46" t="s">
        <v>90</v>
      </c>
      <c r="B65" s="51">
        <f>+'ACADEMIC SUPP 4yr'!B65+'STU SERVICES 4yr'!B65+'INST SUPPORT 4yr'!B65</f>
        <v>0</v>
      </c>
      <c r="C65" s="51">
        <f>+'ACADEMIC SUPP 4yr'!C65+'STU SERVICES 4yr'!C65+'INST SUPPORT 4yr'!C65</f>
        <v>0</v>
      </c>
      <c r="D65" s="51">
        <f>+'ACADEMIC SUPP 4yr'!D65+'STU SERVICES 4yr'!D65+'INST SUPPORT 4yr'!D65</f>
        <v>0</v>
      </c>
      <c r="E65" s="51">
        <f>+'ACADEMIC SUPP 4yr'!E65+'STU SERVICES 4yr'!E65+'INST SUPPORT 4yr'!E65</f>
        <v>0</v>
      </c>
      <c r="F65" s="51">
        <f>+'ACADEMIC SUPP 4yr'!F65+'STU SERVICES 4yr'!F65+'INST SUPPORT 4yr'!F65</f>
        <v>37951.983999999997</v>
      </c>
      <c r="G65" s="51">
        <f>+'ACADEMIC SUPP 4yr'!G65+'STU SERVICES 4yr'!G65+'INST SUPPORT 4yr'!G65</f>
        <v>0</v>
      </c>
      <c r="H65" s="51">
        <f>+'ACADEMIC SUPP 4yr'!H65+'STU SERVICES 4yr'!H65+'INST SUPPORT 4yr'!H65</f>
        <v>0</v>
      </c>
      <c r="I65" s="51">
        <f>+'ACADEMIC SUPP 4yr'!I65+'STU SERVICES 4yr'!I65+'INST SUPPORT 4yr'!I65</f>
        <v>22890.483</v>
      </c>
      <c r="J65" s="51">
        <f>+'ACADEMIC SUPP 4yr'!J65+'STU SERVICES 4yr'!J65+'INST SUPPORT 4yr'!J65</f>
        <v>0</v>
      </c>
      <c r="K65" s="51">
        <f>+'ACADEMIC SUPP 4yr'!K65+'STU SERVICES 4yr'!K65+'INST SUPPORT 4yr'!K65</f>
        <v>26590.244140000003</v>
      </c>
      <c r="L65" s="51">
        <f>+'ACADEMIC SUPP 4yr'!L65+'STU SERVICES 4yr'!L65+'INST SUPPORT 4yr'!L65</f>
        <v>31861.194</v>
      </c>
      <c r="M65" s="51">
        <f>+'ACADEMIC SUPP 4yr'!M65+'STU SERVICES 4yr'!M65+'INST SUPPORT 4yr'!M65</f>
        <v>33133.017999999996</v>
      </c>
      <c r="N65" s="51">
        <f>+'ACADEMIC SUPP 4yr'!N65+'STU SERVICES 4yr'!N65+'INST SUPPORT 4yr'!N65</f>
        <v>34492.665999999997</v>
      </c>
      <c r="O65" s="51">
        <f>+'ACADEMIC SUPP 4yr'!O65+'STU SERVICES 4yr'!O65+'INST SUPPORT 4yr'!O65</f>
        <v>37342.918000000005</v>
      </c>
      <c r="P65" s="51">
        <f>+'ACADEMIC SUPP 4yr'!P65+'STU SERVICES 4yr'!P65+'INST SUPPORT 4yr'!P65</f>
        <v>31443.593999999997</v>
      </c>
      <c r="Q65" s="51">
        <f>+'ACADEMIC SUPP 4yr'!Q65+'STU SERVICES 4yr'!Q65+'INST SUPPORT 4yr'!Q65</f>
        <v>30523.652999999998</v>
      </c>
      <c r="R65" s="51">
        <f>+'ACADEMIC SUPP 4yr'!R65+'STU SERVICES 4yr'!R65+'INST SUPPORT 4yr'!R65</f>
        <v>43765.770000000004</v>
      </c>
      <c r="S65" s="51">
        <f>+'ACADEMIC SUPP 4yr'!S65+'STU SERVICES 4yr'!S65+'INST SUPPORT 4yr'!S65</f>
        <v>45967.834999999999</v>
      </c>
      <c r="T65" s="51">
        <f>+'ACADEMIC SUPP 4yr'!T65+'STU SERVICES 4yr'!T65+'INST SUPPORT 4yr'!T65</f>
        <v>51217.588499999998</v>
      </c>
      <c r="U65" s="51">
        <f>+'ACADEMIC SUPP 4yr'!U65+'STU SERVICES 4yr'!U65+'INST SUPPORT 4yr'!U65</f>
        <v>43885.665999999997</v>
      </c>
      <c r="V65" s="51">
        <f>+'ACADEMIC SUPP 4yr'!V65+'STU SERVICES 4yr'!V65+'INST SUPPORT 4yr'!V65</f>
        <v>48992</v>
      </c>
      <c r="W65" s="51">
        <f>+'ACADEMIC SUPP 4yr'!W65+'STU SERVICES 4yr'!W65+'INST SUPPORT 4yr'!W65</f>
        <v>54667.047000000006</v>
      </c>
      <c r="X65" s="51">
        <f>+'ACADEMIC SUPP 4yr'!X65+'STU SERVICES 4yr'!X65+'INST SUPPORT 4yr'!X65</f>
        <v>46493.322</v>
      </c>
      <c r="Y65" s="51">
        <f>+'ACADEMIC SUPP 4yr'!Y65+'STU SERVICES 4yr'!Y65+'INST SUPPORT 4yr'!Y65</f>
        <v>53895.373999999996</v>
      </c>
      <c r="Z65" s="51">
        <f>+'ACADEMIC SUPP 4yr'!Z65+'STU SERVICES 4yr'!Z65+'INST SUPPORT 4yr'!Z65</f>
        <v>43709.917000000001</v>
      </c>
      <c r="AA65" s="51">
        <f>+'ACADEMIC SUPP 4yr'!AA65+'STU SERVICES 4yr'!AA65+'INST SUPPORT 4yr'!AA65</f>
        <v>47797.368000000002</v>
      </c>
      <c r="AB65" s="51">
        <f>+'ACADEMIC SUPP 4yr'!AB65+'STU SERVICES 4yr'!AB65+'INST SUPPORT 4yr'!AB65</f>
        <v>53513.769</v>
      </c>
      <c r="AC65" s="51">
        <f>+'ACADEMIC SUPP 4yr'!AC65+'STU SERVICES 4yr'!AC65+'INST SUPPORT 4yr'!AC65</f>
        <v>52803.076000000001</v>
      </c>
    </row>
    <row r="67" spans="1:29">
      <c r="I67" s="1" t="s">
        <v>78</v>
      </c>
      <c r="P67" s="1" t="s">
        <v>78</v>
      </c>
      <c r="Q67" s="1" t="s">
        <v>78</v>
      </c>
      <c r="R67" s="1" t="s">
        <v>78</v>
      </c>
      <c r="S67" s="1" t="s">
        <v>78</v>
      </c>
      <c r="T67" s="1" t="s">
        <v>78</v>
      </c>
    </row>
    <row r="68" spans="1:29">
      <c r="I68" s="1" t="s">
        <v>79</v>
      </c>
      <c r="P68" s="1" t="s">
        <v>79</v>
      </c>
      <c r="Q68" s="1" t="s">
        <v>79</v>
      </c>
      <c r="R68" s="1" t="s">
        <v>79</v>
      </c>
      <c r="S68" s="1" t="s">
        <v>79</v>
      </c>
      <c r="T68" s="1" t="s">
        <v>79</v>
      </c>
    </row>
    <row r="69" spans="1:29">
      <c r="I69" s="1" t="s">
        <v>80</v>
      </c>
      <c r="P69" s="1" t="s">
        <v>80</v>
      </c>
      <c r="Q69" s="1" t="s">
        <v>80</v>
      </c>
      <c r="R69" s="1" t="s">
        <v>80</v>
      </c>
      <c r="S69" s="1" t="s">
        <v>80</v>
      </c>
      <c r="T69" s="1" t="s">
        <v>80</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6">
    <tabColor indexed="58"/>
  </sheetPr>
  <dimension ref="A1:AC69"/>
  <sheetViews>
    <sheetView showZeros="0" zoomScale="80" zoomScaleNormal="80" workbookViewId="0">
      <pane xSplit="1" ySplit="5" topLeftCell="T18" activePane="bottomRight" state="frozen"/>
      <selection activeCell="B52" sqref="B52"/>
      <selection pane="topRight" activeCell="B52" sqref="B52"/>
      <selection pane="bottomLeft" activeCell="B52" sqref="B52"/>
      <selection pane="bottomRight" activeCell="AC46" sqref="AC46"/>
    </sheetView>
  </sheetViews>
  <sheetFormatPr defaultColWidth="9.7109375" defaultRowHeight="12.75"/>
  <cols>
    <col min="1" max="1" width="23.42578125" style="44" customWidth="1"/>
    <col min="2" max="20" width="12.42578125" style="1" customWidth="1"/>
    <col min="21" max="21" width="12.5703125" style="1" customWidth="1"/>
    <col min="22" max="25" width="11.5703125" style="1" bestFit="1" customWidth="1"/>
    <col min="26" max="27" width="11.5703125" style="1" customWidth="1"/>
    <col min="28" max="16384" width="9.7109375" style="1"/>
  </cols>
  <sheetData>
    <row r="1" spans="1:29">
      <c r="A1" s="7" t="s">
        <v>39</v>
      </c>
      <c r="B1"/>
      <c r="C1"/>
      <c r="D1"/>
      <c r="E1"/>
      <c r="F1"/>
      <c r="G1"/>
      <c r="H1"/>
      <c r="I1"/>
      <c r="J1"/>
      <c r="K1"/>
      <c r="L1"/>
      <c r="M1"/>
      <c r="N1"/>
      <c r="O1"/>
      <c r="P1"/>
      <c r="Q1"/>
      <c r="R1"/>
      <c r="S1"/>
      <c r="T1"/>
    </row>
    <row r="2" spans="1:29">
      <c r="A2" s="7" t="s">
        <v>62</v>
      </c>
      <c r="C2" s="9"/>
      <c r="D2" s="9"/>
      <c r="E2" s="9"/>
      <c r="F2" s="9"/>
    </row>
    <row r="3" spans="1:29">
      <c r="A3" s="1" t="s">
        <v>61</v>
      </c>
    </row>
    <row r="4" spans="1:29" s="33" customFormat="1">
      <c r="A4" s="34" t="s">
        <v>60</v>
      </c>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52">
        <f>'ACADEMIC SUPP 2yr'!B6+'STU SERVICES 2yr'!B6+'INST SUPPORT 2yr'!B6</f>
        <v>2787252</v>
      </c>
      <c r="C6" s="52">
        <f>'ACADEMIC SUPP 2yr'!C6+'STU SERVICES 2yr'!C6+'INST SUPPORT 2yr'!C6</f>
        <v>3053627</v>
      </c>
      <c r="D6" s="52">
        <f>'ACADEMIC SUPP 2yr'!D6+'STU SERVICES 2yr'!D6+'INST SUPPORT 2yr'!D6</f>
        <v>3339217</v>
      </c>
      <c r="E6" s="52">
        <f>'ACADEMIC SUPP 2yr'!E6+'STU SERVICES 2yr'!E6+'INST SUPPORT 2yr'!E6</f>
        <v>5132308.8670000006</v>
      </c>
      <c r="F6" s="52">
        <f>'ACADEMIC SUPP 2yr'!F6+'STU SERVICES 2yr'!F6+'INST SUPPORT 2yr'!F6</f>
        <v>5214282.0650000013</v>
      </c>
      <c r="G6" s="52">
        <f>'ACADEMIC SUPP 2yr'!G6+'STU SERVICES 2yr'!G6+'INST SUPPORT 2yr'!G6</f>
        <v>5787215.5019999994</v>
      </c>
      <c r="H6" s="52">
        <f>'ACADEMIC SUPP 2yr'!H6+'STU SERVICES 2yr'!H6+'INST SUPPORT 2yr'!H6</f>
        <v>6189371.7060000002</v>
      </c>
      <c r="I6" s="52">
        <f>'ACADEMIC SUPP 2yr'!I6+'STU SERVICES 2yr'!I6+'INST SUPPORT 2yr'!I6</f>
        <v>6128270.6939999992</v>
      </c>
      <c r="J6" s="52">
        <f>'ACADEMIC SUPP 2yr'!J6+'STU SERVICES 2yr'!J6+'INST SUPPORT 2yr'!J6</f>
        <v>6996385.0970000001</v>
      </c>
      <c r="K6" s="52">
        <f>'ACADEMIC SUPP 2yr'!K6+'STU SERVICES 2yr'!K6+'INST SUPPORT 2yr'!K6</f>
        <v>7429471.3381200004</v>
      </c>
      <c r="L6" s="52">
        <f>'ACADEMIC SUPP 2yr'!L6+'STU SERVICES 2yr'!L6+'INST SUPPORT 2yr'!L6</f>
        <v>8437518.9019999988</v>
      </c>
      <c r="M6" s="52">
        <f>'ACADEMIC SUPP 2yr'!M6+'STU SERVICES 2yr'!M6+'INST SUPPORT 2yr'!M6</f>
        <v>9268626.2359999996</v>
      </c>
      <c r="N6" s="52">
        <f>'ACADEMIC SUPP 2yr'!N6+'STU SERVICES 2yr'!N6+'INST SUPPORT 2yr'!N6</f>
        <v>9409403.0780000016</v>
      </c>
      <c r="O6" s="52">
        <f>'ACADEMIC SUPP 2yr'!O6+'STU SERVICES 2yr'!O6+'INST SUPPORT 2yr'!O6</f>
        <v>9487852.9459999986</v>
      </c>
      <c r="P6" s="52">
        <f>'ACADEMIC SUPP 2yr'!P6+'STU SERVICES 2yr'!P6+'INST SUPPORT 2yr'!P6</f>
        <v>9913356.7170000002</v>
      </c>
      <c r="Q6" s="52">
        <f>'ACADEMIC SUPP 2yr'!Q6+'STU SERVICES 2yr'!Q6+'INST SUPPORT 2yr'!Q6</f>
        <v>11015688.735000001</v>
      </c>
      <c r="R6" s="52">
        <f>'ACADEMIC SUPP 2yr'!R6+'STU SERVICES 2yr'!R6+'INST SUPPORT 2yr'!R6</f>
        <v>11671747.359999999</v>
      </c>
      <c r="S6" s="52">
        <f>'ACADEMIC SUPP 2yr'!S6+'STU SERVICES 2yr'!S6+'INST SUPPORT 2yr'!S6</f>
        <v>12493130.104</v>
      </c>
      <c r="T6" s="52">
        <f>'ACADEMIC SUPP 2yr'!T6+'STU SERVICES 2yr'!T6+'INST SUPPORT 2yr'!T6</f>
        <v>13803569.07</v>
      </c>
      <c r="U6" s="52">
        <f>'ACADEMIC SUPP 2yr'!U6+'STU SERVICES 2yr'!U6+'INST SUPPORT 2yr'!U6</f>
        <v>15142029.221999999</v>
      </c>
      <c r="V6" s="52">
        <f>'ACADEMIC SUPP 2yr'!V6+'STU SERVICES 2yr'!V6+'INST SUPPORT 2yr'!V6</f>
        <v>17577328.846999999</v>
      </c>
      <c r="W6" s="52">
        <f>'ACADEMIC SUPP 2yr'!W6+'STU SERVICES 2yr'!W6+'INST SUPPORT 2yr'!W6</f>
        <v>18459798.427999999</v>
      </c>
      <c r="X6" s="52">
        <f>'ACADEMIC SUPP 2yr'!X6+'STU SERVICES 2yr'!X6+'INST SUPPORT 2yr'!X6</f>
        <v>18866601.881999999</v>
      </c>
      <c r="Y6" s="52">
        <f>'ACADEMIC SUPP 2yr'!Y6+'STU SERVICES 2yr'!Y6+'INST SUPPORT 2yr'!Y6</f>
        <v>16465393.261</v>
      </c>
      <c r="Z6" s="52">
        <f>'ACADEMIC SUPP 2yr'!Z6+'STU SERVICES 2yr'!Z6+'INST SUPPORT 2yr'!Z6</f>
        <v>17201668.078000002</v>
      </c>
      <c r="AA6" s="52">
        <f>'ACADEMIC SUPP 2yr'!AA6+'STU SERVICES 2yr'!AA6+'INST SUPPORT 2yr'!AA6</f>
        <v>17519576.095999997</v>
      </c>
      <c r="AB6" s="52">
        <f>'ACADEMIC SUPP 2yr'!AB6+'STU SERVICES 2yr'!AB6+'INST SUPPORT 2yr'!AB6</f>
        <v>21036333.013</v>
      </c>
      <c r="AC6" s="52">
        <f>'ACADEMIC SUPP 2yr'!AC6+'STU SERVICES 2yr'!AC6+'INST SUPPORT 2yr'!AC6</f>
        <v>21384630.829999998</v>
      </c>
    </row>
    <row r="7" spans="1:29">
      <c r="A7" s="1" t="s">
        <v>56</v>
      </c>
      <c r="B7" s="48">
        <f>'ACADEMIC SUPP 2yr'!B7+'STU SERVICES 2yr'!B7+'INST SUPPORT 2yr'!B7</f>
        <v>843581</v>
      </c>
      <c r="C7" s="48">
        <f>'ACADEMIC SUPP 2yr'!C7+'STU SERVICES 2yr'!C7+'INST SUPPORT 2yr'!C7</f>
        <v>927311</v>
      </c>
      <c r="D7" s="48">
        <f>'ACADEMIC SUPP 2yr'!D7+'STU SERVICES 2yr'!D7+'INST SUPPORT 2yr'!D7</f>
        <v>994871</v>
      </c>
      <c r="E7" s="48">
        <f>'ACADEMIC SUPP 2yr'!E7+'STU SERVICES 2yr'!E7+'INST SUPPORT 2yr'!E7</f>
        <v>1536749.8310000002</v>
      </c>
      <c r="F7" s="48">
        <f>'ACADEMIC SUPP 2yr'!F7+'STU SERVICES 2yr'!F7+'INST SUPPORT 2yr'!F7</f>
        <v>1564985.9120000002</v>
      </c>
      <c r="G7" s="48">
        <f>'ACADEMIC SUPP 2yr'!G7+'STU SERVICES 2yr'!G7+'INST SUPPORT 2yr'!G7</f>
        <v>1686210.1410000001</v>
      </c>
      <c r="H7" s="48">
        <f>'ACADEMIC SUPP 2yr'!H7+'STU SERVICES 2yr'!H7+'INST SUPPORT 2yr'!H7</f>
        <v>1835494.4800000002</v>
      </c>
      <c r="I7" s="48">
        <f>'ACADEMIC SUPP 2yr'!I7+'STU SERVICES 2yr'!I7+'INST SUPPORT 2yr'!I7</f>
        <v>1915316.06</v>
      </c>
      <c r="J7" s="48">
        <f>'ACADEMIC SUPP 2yr'!J7+'STU SERVICES 2yr'!J7+'INST SUPPORT 2yr'!J7</f>
        <v>2047141.0729999999</v>
      </c>
      <c r="K7" s="48">
        <f>'ACADEMIC SUPP 2yr'!K7+'STU SERVICES 2yr'!K7+'INST SUPPORT 2yr'!K7</f>
        <v>2147628.9709100001</v>
      </c>
      <c r="L7" s="48">
        <f>'ACADEMIC SUPP 2yr'!L7+'STU SERVICES 2yr'!L7+'INST SUPPORT 2yr'!L7</f>
        <v>2714539.3669999996</v>
      </c>
      <c r="M7" s="48">
        <f>'ACADEMIC SUPP 2yr'!M7+'STU SERVICES 2yr'!M7+'INST SUPPORT 2yr'!M7</f>
        <v>3057998.3569999998</v>
      </c>
      <c r="N7" s="48">
        <f>'ACADEMIC SUPP 2yr'!N7+'STU SERVICES 2yr'!N7+'INST SUPPORT 2yr'!N7</f>
        <v>2961333.7009999999</v>
      </c>
      <c r="O7" s="48">
        <f>'ACADEMIC SUPP 2yr'!O7+'STU SERVICES 2yr'!O7+'INST SUPPORT 2yr'!O7</f>
        <v>3006436.3480000002</v>
      </c>
      <c r="P7" s="48">
        <f>'ACADEMIC SUPP 2yr'!P7+'STU SERVICES 2yr'!P7+'INST SUPPORT 2yr'!P7</f>
        <v>3162518.8509999998</v>
      </c>
      <c r="Q7" s="48">
        <f>'ACADEMIC SUPP 2yr'!Q7+'STU SERVICES 2yr'!Q7+'INST SUPPORT 2yr'!Q7</f>
        <v>3501683.827</v>
      </c>
      <c r="R7" s="48">
        <f>'ACADEMIC SUPP 2yr'!R7+'STU SERVICES 2yr'!R7+'INST SUPPORT 2yr'!R7</f>
        <v>3702903.4399999995</v>
      </c>
      <c r="S7" s="48">
        <f>'ACADEMIC SUPP 2yr'!S7+'STU SERVICES 2yr'!S7+'INST SUPPORT 2yr'!S7</f>
        <v>4044443.531</v>
      </c>
      <c r="T7" s="48">
        <f>'ACADEMIC SUPP 2yr'!T7+'STU SERVICES 2yr'!T7+'INST SUPPORT 2yr'!T7</f>
        <v>4486109.8229999999</v>
      </c>
      <c r="U7" s="48">
        <f>'ACADEMIC SUPP 2yr'!U7+'STU SERVICES 2yr'!U7+'INST SUPPORT 2yr'!U7</f>
        <v>4921304.5389999999</v>
      </c>
      <c r="V7" s="48">
        <f>'ACADEMIC SUPP 2yr'!V7+'STU SERVICES 2yr'!V7+'INST SUPPORT 2yr'!V7</f>
        <v>5861889.0879999995</v>
      </c>
      <c r="W7" s="48">
        <f>'ACADEMIC SUPP 2yr'!W7+'STU SERVICES 2yr'!W7+'INST SUPPORT 2yr'!W7</f>
        <v>6215543.3229999999</v>
      </c>
      <c r="X7" s="48">
        <f>'ACADEMIC SUPP 2yr'!X7+'STU SERVICES 2yr'!X7+'INST SUPPORT 2yr'!X7</f>
        <v>6396906.1799999997</v>
      </c>
      <c r="Y7" s="48">
        <f>'ACADEMIC SUPP 2yr'!Y7+'STU SERVICES 2yr'!Y7+'INST SUPPORT 2yr'!Y7</f>
        <v>6232584.5989999995</v>
      </c>
      <c r="Z7" s="48">
        <f>'ACADEMIC SUPP 2yr'!Z7+'STU SERVICES 2yr'!Z7+'INST SUPPORT 2yr'!Z7</f>
        <v>6515607.0640000002</v>
      </c>
      <c r="AA7" s="48">
        <f>'ACADEMIC SUPP 2yr'!AA7+'STU SERVICES 2yr'!AA7+'INST SUPPORT 2yr'!AA7</f>
        <v>6589801.6729999986</v>
      </c>
      <c r="AB7" s="48">
        <f>'ACADEMIC SUPP 2yr'!AB7+'STU SERVICES 2yr'!AB7+'INST SUPPORT 2yr'!AB7</f>
        <v>7050353.3180000009</v>
      </c>
      <c r="AC7" s="48">
        <f>'ACADEMIC SUPP 2yr'!AC7+'STU SERVICES 2yr'!AC7+'INST SUPPORT 2yr'!AC7</f>
        <v>6825215.5690000001</v>
      </c>
    </row>
    <row r="8" spans="1:29">
      <c r="A8" s="7" t="s">
        <v>119</v>
      </c>
      <c r="B8" s="48">
        <f>'ACADEMIC SUPP 2yr'!B8+'STU SERVICES 2yr'!B8+'INST SUPPORT 2yr'!B8</f>
        <v>0</v>
      </c>
      <c r="C8" s="48">
        <f>'ACADEMIC SUPP 2yr'!C8+'STU SERVICES 2yr'!C8+'INST SUPPORT 2yr'!C8</f>
        <v>0</v>
      </c>
      <c r="D8" s="48">
        <f>'ACADEMIC SUPP 2yr'!D8+'STU SERVICES 2yr'!D8+'INST SUPPORT 2yr'!D8</f>
        <v>0</v>
      </c>
      <c r="E8" s="48">
        <f>'ACADEMIC SUPP 2yr'!E8+'STU SERVICES 2yr'!E8+'INST SUPPORT 2yr'!E8</f>
        <v>0</v>
      </c>
      <c r="F8" s="48">
        <f>'ACADEMIC SUPP 2yr'!F8+'STU SERVICES 2yr'!F8+'INST SUPPORT 2yr'!F8</f>
        <v>0</v>
      </c>
      <c r="G8" s="48">
        <f>'ACADEMIC SUPP 2yr'!G8+'STU SERVICES 2yr'!G8+'INST SUPPORT 2yr'!G8</f>
        <v>0</v>
      </c>
      <c r="H8" s="48">
        <f>'ACADEMIC SUPP 2yr'!H8+'STU SERVICES 2yr'!H8+'INST SUPPORT 2yr'!H8</f>
        <v>0</v>
      </c>
      <c r="I8" s="48">
        <f>'ACADEMIC SUPP 2yr'!I8+'STU SERVICES 2yr'!I8+'INST SUPPORT 2yr'!I8</f>
        <v>0</v>
      </c>
      <c r="J8" s="48">
        <f>'ACADEMIC SUPP 2yr'!J8+'STU SERVICES 2yr'!J8+'INST SUPPORT 2yr'!J8</f>
        <v>0</v>
      </c>
      <c r="K8" s="48">
        <f>'ACADEMIC SUPP 2yr'!K8+'STU SERVICES 2yr'!K8+'INST SUPPORT 2yr'!K8</f>
        <v>0</v>
      </c>
      <c r="L8" s="48">
        <f>'ACADEMIC SUPP 2yr'!L8+'STU SERVICES 2yr'!L8+'INST SUPPORT 2yr'!L8</f>
        <v>0</v>
      </c>
      <c r="M8" s="48">
        <f>'ACADEMIC SUPP 2yr'!M8+'STU SERVICES 2yr'!M8+'INST SUPPORT 2yr'!M8</f>
        <v>0</v>
      </c>
      <c r="N8" s="48">
        <f>'ACADEMIC SUPP 2yr'!N8+'STU SERVICES 2yr'!N8+'INST SUPPORT 2yr'!N8</f>
        <v>0</v>
      </c>
      <c r="O8" s="48">
        <f>'ACADEMIC SUPP 2yr'!O8+'STU SERVICES 2yr'!O8+'INST SUPPORT 2yr'!O8</f>
        <v>0</v>
      </c>
      <c r="P8" s="48">
        <f>'ACADEMIC SUPP 2yr'!P8+'STU SERVICES 2yr'!P8+'INST SUPPORT 2yr'!P8</f>
        <v>0</v>
      </c>
      <c r="Q8" s="48">
        <f>'ACADEMIC SUPP 2yr'!Q8+'STU SERVICES 2yr'!Q8+'INST SUPPORT 2yr'!Q8</f>
        <v>0</v>
      </c>
      <c r="R8" s="48">
        <f>'ACADEMIC SUPP 2yr'!R8+'STU SERVICES 2yr'!R8+'INST SUPPORT 2yr'!R8</f>
        <v>0</v>
      </c>
      <c r="S8" s="48">
        <f>'ACADEMIC SUPP 2yr'!S8+'STU SERVICES 2yr'!S8+'INST SUPPORT 2yr'!S8</f>
        <v>0</v>
      </c>
      <c r="T8" s="48">
        <f>'ACADEMIC SUPP 2yr'!T8+'STU SERVICES 2yr'!T8+'INST SUPPORT 2yr'!T8</f>
        <v>0</v>
      </c>
      <c r="U8" s="48">
        <f>'ACADEMIC SUPP 2yr'!U8+'STU SERVICES 2yr'!U8+'INST SUPPORT 2yr'!U8</f>
        <v>0</v>
      </c>
      <c r="V8" s="48">
        <f>'ACADEMIC SUPP 2yr'!V8+'STU SERVICES 2yr'!V8+'INST SUPPORT 2yr'!V8</f>
        <v>0</v>
      </c>
      <c r="W8" s="48">
        <f>'ACADEMIC SUPP 2yr'!W8+'STU SERVICES 2yr'!W8+'INST SUPPORT 2yr'!W8</f>
        <v>0</v>
      </c>
      <c r="X8" s="48">
        <f>'ACADEMIC SUPP 2yr'!X8+'STU SERVICES 2yr'!X8+'INST SUPPORT 2yr'!X8</f>
        <v>0</v>
      </c>
      <c r="Y8" s="48">
        <f>'ACADEMIC SUPP 2yr'!Y8+'STU SERVICES 2yr'!Y8+'INST SUPPORT 2yr'!Y8</f>
        <v>0</v>
      </c>
      <c r="Z8" s="48">
        <f>'ACADEMIC SUPP 2yr'!Z8+'STU SERVICES 2yr'!Z8+'INST SUPPORT 2yr'!Z8</f>
        <v>0</v>
      </c>
      <c r="AA8" s="48">
        <f>'ACADEMIC SUPP 2yr'!AA8+'STU SERVICES 2yr'!AA8+'INST SUPPORT 2yr'!AA8</f>
        <v>0</v>
      </c>
      <c r="AB8" s="48">
        <f>'ACADEMIC SUPP 2yr'!AB8+'STU SERVICES 2yr'!AB8+'INST SUPPORT 2yr'!AB8</f>
        <v>0</v>
      </c>
      <c r="AC8" s="48">
        <f>'ACADEMIC SUPP 2yr'!AC8+'STU SERVICES 2yr'!AC8+'INST SUPPORT 2yr'!AC8</f>
        <v>0</v>
      </c>
    </row>
    <row r="9" spans="1:29">
      <c r="A9" s="1" t="s">
        <v>3</v>
      </c>
      <c r="B9" s="48">
        <f>'ACADEMIC SUPP 2yr'!B9+'STU SERVICES 2yr'!B9+'INST SUPPORT 2yr'!B9</f>
        <v>30675</v>
      </c>
      <c r="C9" s="48">
        <f>'ACADEMIC SUPP 2yr'!C9+'STU SERVICES 2yr'!C9+'INST SUPPORT 2yr'!C9</f>
        <v>40774</v>
      </c>
      <c r="D9" s="48">
        <f>'ACADEMIC SUPP 2yr'!D9+'STU SERVICES 2yr'!D9+'INST SUPPORT 2yr'!D9</f>
        <v>48430</v>
      </c>
      <c r="E9" s="48">
        <f>'ACADEMIC SUPP 2yr'!E9+'STU SERVICES 2yr'!E9+'INST SUPPORT 2yr'!E9</f>
        <v>76591.108999999997</v>
      </c>
      <c r="F9" s="48">
        <f>'ACADEMIC SUPP 2yr'!F9+'STU SERVICES 2yr'!F9+'INST SUPPORT 2yr'!F9</f>
        <v>76455.417000000001</v>
      </c>
      <c r="G9" s="48">
        <f>'ACADEMIC SUPP 2yr'!G9+'STU SERVICES 2yr'!G9+'INST SUPPORT 2yr'!G9</f>
        <v>85746.786999999997</v>
      </c>
      <c r="H9" s="48">
        <f>'ACADEMIC SUPP 2yr'!H9+'STU SERVICES 2yr'!H9+'INST SUPPORT 2yr'!H9</f>
        <v>96011.627999999997</v>
      </c>
      <c r="I9" s="48">
        <f>'ACADEMIC SUPP 2yr'!I9+'STU SERVICES 2yr'!I9+'INST SUPPORT 2yr'!I9</f>
        <v>96734.657000000007</v>
      </c>
      <c r="J9" s="48">
        <f>'ACADEMIC SUPP 2yr'!J9+'STU SERVICES 2yr'!J9+'INST SUPPORT 2yr'!J9</f>
        <v>101311.315</v>
      </c>
      <c r="K9" s="48">
        <f>'ACADEMIC SUPP 2yr'!K9+'STU SERVICES 2yr'!K9+'INST SUPPORT 2yr'!K9</f>
        <v>100103.79354000001</v>
      </c>
      <c r="L9" s="48">
        <f>'ACADEMIC SUPP 2yr'!L9+'STU SERVICES 2yr'!L9+'INST SUPPORT 2yr'!L9</f>
        <v>124625.39500000002</v>
      </c>
      <c r="M9" s="48">
        <f>'ACADEMIC SUPP 2yr'!M9+'STU SERVICES 2yr'!M9+'INST SUPPORT 2yr'!M9</f>
        <v>132675.84</v>
      </c>
      <c r="N9" s="48">
        <f>'ACADEMIC SUPP 2yr'!N9+'STU SERVICES 2yr'!N9+'INST SUPPORT 2yr'!N9</f>
        <v>131429.33000000002</v>
      </c>
      <c r="O9" s="48">
        <f>'ACADEMIC SUPP 2yr'!O9+'STU SERVICES 2yr'!O9+'INST SUPPORT 2yr'!O9</f>
        <v>141433.25599999999</v>
      </c>
      <c r="P9" s="48">
        <f>'ACADEMIC SUPP 2yr'!P9+'STU SERVICES 2yr'!P9+'INST SUPPORT 2yr'!P9</f>
        <v>144492.995</v>
      </c>
      <c r="Q9" s="48">
        <f>'ACADEMIC SUPP 2yr'!Q9+'STU SERVICES 2yr'!Q9+'INST SUPPORT 2yr'!Q9</f>
        <v>157034.53999999998</v>
      </c>
      <c r="R9" s="48">
        <f>'ACADEMIC SUPP 2yr'!R9+'STU SERVICES 2yr'!R9+'INST SUPPORT 2yr'!R9</f>
        <v>173834.47</v>
      </c>
      <c r="S9" s="48">
        <f>'ACADEMIC SUPP 2yr'!S9+'STU SERVICES 2yr'!S9+'INST SUPPORT 2yr'!S9</f>
        <v>187566.821</v>
      </c>
      <c r="T9" s="48">
        <f>'ACADEMIC SUPP 2yr'!T9+'STU SERVICES 2yr'!T9+'INST SUPPORT 2yr'!T9</f>
        <v>248733.44400000002</v>
      </c>
      <c r="U9" s="48">
        <f>'ACADEMIC SUPP 2yr'!U9+'STU SERVICES 2yr'!U9+'INST SUPPORT 2yr'!U9</f>
        <v>229801.291</v>
      </c>
      <c r="V9" s="48">
        <f>'ACADEMIC SUPP 2yr'!V9+'STU SERVICES 2yr'!V9+'INST SUPPORT 2yr'!V9</f>
        <v>259334.09100000001</v>
      </c>
      <c r="W9" s="48">
        <f>'ACADEMIC SUPP 2yr'!W9+'STU SERVICES 2yr'!W9+'INST SUPPORT 2yr'!W9</f>
        <v>263577.57</v>
      </c>
      <c r="X9" s="48">
        <f>'ACADEMIC SUPP 2yr'!X9+'STU SERVICES 2yr'!X9+'INST SUPPORT 2yr'!X9</f>
        <v>261672.65000000002</v>
      </c>
      <c r="Y9" s="48">
        <f>'ACADEMIC SUPP 2yr'!Y9+'STU SERVICES 2yr'!Y9+'INST SUPPORT 2yr'!Y9</f>
        <v>252673.79600000003</v>
      </c>
      <c r="Z9" s="48">
        <f>'ACADEMIC SUPP 2yr'!Z9+'STU SERVICES 2yr'!Z9+'INST SUPPORT 2yr'!Z9</f>
        <v>257997.00599999999</v>
      </c>
      <c r="AA9" s="48">
        <f>'ACADEMIC SUPP 2yr'!AA9+'STU SERVICES 2yr'!AA9+'INST SUPPORT 2yr'!AA9</f>
        <v>260201.709</v>
      </c>
      <c r="AB9" s="48">
        <f>'ACADEMIC SUPP 2yr'!AB9+'STU SERVICES 2yr'!AB9+'INST SUPPORT 2yr'!AB9</f>
        <v>261183.43099999998</v>
      </c>
      <c r="AC9" s="48">
        <f>'ACADEMIC SUPP 2yr'!AC9+'STU SERVICES 2yr'!AC9+'INST SUPPORT 2yr'!AC9</f>
        <v>248101.38399999999</v>
      </c>
    </row>
    <row r="10" spans="1:29">
      <c r="A10" s="1" t="s">
        <v>4</v>
      </c>
      <c r="B10" s="48">
        <f>'ACADEMIC SUPP 2yr'!B10+'STU SERVICES 2yr'!B10+'INST SUPPORT 2yr'!B10</f>
        <v>10589</v>
      </c>
      <c r="C10" s="48">
        <f>'ACADEMIC SUPP 2yr'!C10+'STU SERVICES 2yr'!C10+'INST SUPPORT 2yr'!C10</f>
        <v>11935</v>
      </c>
      <c r="D10" s="48">
        <f>'ACADEMIC SUPP 2yr'!D10+'STU SERVICES 2yr'!D10+'INST SUPPORT 2yr'!D10</f>
        <v>13374</v>
      </c>
      <c r="E10" s="48">
        <f>'ACADEMIC SUPP 2yr'!E10+'STU SERVICES 2yr'!E10+'INST SUPPORT 2yr'!E10</f>
        <v>17215.648999999998</v>
      </c>
      <c r="F10" s="48">
        <f>'ACADEMIC SUPP 2yr'!F10+'STU SERVICES 2yr'!F10+'INST SUPPORT 2yr'!F10</f>
        <v>20001.353000000003</v>
      </c>
      <c r="G10" s="48">
        <f>'ACADEMIC SUPP 2yr'!G10+'STU SERVICES 2yr'!G10+'INST SUPPORT 2yr'!G10</f>
        <v>24892.997000000003</v>
      </c>
      <c r="H10" s="48">
        <f>'ACADEMIC SUPP 2yr'!H10+'STU SERVICES 2yr'!H10+'INST SUPPORT 2yr'!H10</f>
        <v>28210.932999999997</v>
      </c>
      <c r="I10" s="48">
        <f>'ACADEMIC SUPP 2yr'!I10+'STU SERVICES 2yr'!I10+'INST SUPPORT 2yr'!I10</f>
        <v>32051.107</v>
      </c>
      <c r="J10" s="48">
        <f>'ACADEMIC SUPP 2yr'!J10+'STU SERVICES 2yr'!J10+'INST SUPPORT 2yr'!J10</f>
        <v>45417.91</v>
      </c>
      <c r="K10" s="48">
        <f>'ACADEMIC SUPP 2yr'!K10+'STU SERVICES 2yr'!K10+'INST SUPPORT 2yr'!K10</f>
        <v>41427.921999999999</v>
      </c>
      <c r="L10" s="48">
        <f>'ACADEMIC SUPP 2yr'!L10+'STU SERVICES 2yr'!L10+'INST SUPPORT 2yr'!L10</f>
        <v>59882.127</v>
      </c>
      <c r="M10" s="48">
        <f>'ACADEMIC SUPP 2yr'!M10+'STU SERVICES 2yr'!M10+'INST SUPPORT 2yr'!M10</f>
        <v>67542.790999999997</v>
      </c>
      <c r="N10" s="48">
        <f>'ACADEMIC SUPP 2yr'!N10+'STU SERVICES 2yr'!N10+'INST SUPPORT 2yr'!N10</f>
        <v>65058.625</v>
      </c>
      <c r="O10" s="48">
        <f>'ACADEMIC SUPP 2yr'!O10+'STU SERVICES 2yr'!O10+'INST SUPPORT 2yr'!O10</f>
        <v>68843.255000000005</v>
      </c>
      <c r="P10" s="48">
        <f>'ACADEMIC SUPP 2yr'!P10+'STU SERVICES 2yr'!P10+'INST SUPPORT 2yr'!P10</f>
        <v>77688.417000000001</v>
      </c>
      <c r="Q10" s="48">
        <f>'ACADEMIC SUPP 2yr'!Q10+'STU SERVICES 2yr'!Q10+'INST SUPPORT 2yr'!Q10</f>
        <v>82072.524999999994</v>
      </c>
      <c r="R10" s="48">
        <f>'ACADEMIC SUPP 2yr'!R10+'STU SERVICES 2yr'!R10+'INST SUPPORT 2yr'!R10</f>
        <v>95709.851999999999</v>
      </c>
      <c r="S10" s="48">
        <f>'ACADEMIC SUPP 2yr'!S10+'STU SERVICES 2yr'!S10+'INST SUPPORT 2yr'!S10</f>
        <v>117289.697</v>
      </c>
      <c r="T10" s="48">
        <f>'ACADEMIC SUPP 2yr'!T10+'STU SERVICES 2yr'!T10+'INST SUPPORT 2yr'!T10</f>
        <v>132207.37299999999</v>
      </c>
      <c r="U10" s="48">
        <f>'ACADEMIC SUPP 2yr'!U10+'STU SERVICES 2yr'!U10+'INST SUPPORT 2yr'!U10</f>
        <v>128536.16999999998</v>
      </c>
      <c r="V10" s="48">
        <f>'ACADEMIC SUPP 2yr'!V10+'STU SERVICES 2yr'!V10+'INST SUPPORT 2yr'!V10</f>
        <v>162444.14600000001</v>
      </c>
      <c r="W10" s="48">
        <f>'ACADEMIC SUPP 2yr'!W10+'STU SERVICES 2yr'!W10+'INST SUPPORT 2yr'!W10</f>
        <v>173794.261</v>
      </c>
      <c r="X10" s="48">
        <f>'ACADEMIC SUPP 2yr'!X10+'STU SERVICES 2yr'!X10+'INST SUPPORT 2yr'!X10</f>
        <v>180448.231</v>
      </c>
      <c r="Y10" s="48">
        <f>'ACADEMIC SUPP 2yr'!Y10+'STU SERVICES 2yr'!Y10+'INST SUPPORT 2yr'!Y10</f>
        <v>181109.079</v>
      </c>
      <c r="Z10" s="48">
        <f>'ACADEMIC SUPP 2yr'!Z10+'STU SERVICES 2yr'!Z10+'INST SUPPORT 2yr'!Z10</f>
        <v>183753.08100000001</v>
      </c>
      <c r="AA10" s="48">
        <f>'ACADEMIC SUPP 2yr'!AA10+'STU SERVICES 2yr'!AA10+'INST SUPPORT 2yr'!AA10</f>
        <v>180327.29200000002</v>
      </c>
      <c r="AB10" s="48">
        <f>'ACADEMIC SUPP 2yr'!AB10+'STU SERVICES 2yr'!AB10+'INST SUPPORT 2yr'!AB10</f>
        <v>170428.40700000001</v>
      </c>
      <c r="AC10" s="48">
        <f>'ACADEMIC SUPP 2yr'!AC10+'STU SERVICES 2yr'!AC10+'INST SUPPORT 2yr'!AC10</f>
        <v>169611.20699999999</v>
      </c>
    </row>
    <row r="11" spans="1:29">
      <c r="A11" s="1" t="s">
        <v>52</v>
      </c>
      <c r="B11" s="48">
        <f>'ACADEMIC SUPP 2yr'!B11+'STU SERVICES 2yr'!B11+'INST SUPPORT 2yr'!B11</f>
        <v>0</v>
      </c>
      <c r="C11" s="48">
        <f>'ACADEMIC SUPP 2yr'!C11+'STU SERVICES 2yr'!C11+'INST SUPPORT 2yr'!C11</f>
        <v>0</v>
      </c>
      <c r="D11" s="48">
        <f>'ACADEMIC SUPP 2yr'!D11+'STU SERVICES 2yr'!D11+'INST SUPPORT 2yr'!D11</f>
        <v>7549</v>
      </c>
      <c r="E11" s="48">
        <f>'ACADEMIC SUPP 2yr'!E11+'STU SERVICES 2yr'!E11+'INST SUPPORT 2yr'!E11</f>
        <v>15829.564</v>
      </c>
      <c r="F11" s="48">
        <f>'ACADEMIC SUPP 2yr'!F11+'STU SERVICES 2yr'!F11+'INST SUPPORT 2yr'!F11</f>
        <v>17414.596000000001</v>
      </c>
      <c r="G11" s="48">
        <f>'ACADEMIC SUPP 2yr'!G11+'STU SERVICES 2yr'!G11+'INST SUPPORT 2yr'!G11</f>
        <v>0</v>
      </c>
      <c r="H11" s="48">
        <f>'ACADEMIC SUPP 2yr'!H11+'STU SERVICES 2yr'!H11+'INST SUPPORT 2yr'!H11</f>
        <v>0</v>
      </c>
      <c r="I11" s="48">
        <f>'ACADEMIC SUPP 2yr'!I11+'STU SERVICES 2yr'!I11+'INST SUPPORT 2yr'!I11</f>
        <v>32607.612000000001</v>
      </c>
      <c r="J11" s="48">
        <f>'ACADEMIC SUPP 2yr'!J11+'STU SERVICES 2yr'!J11+'INST SUPPORT 2yr'!J11</f>
        <v>25579.523000000001</v>
      </c>
      <c r="K11" s="48">
        <f>'ACADEMIC SUPP 2yr'!K11+'STU SERVICES 2yr'!K11+'INST SUPPORT 2yr'!K11</f>
        <v>25309.901000000002</v>
      </c>
      <c r="L11" s="48">
        <f>'ACADEMIC SUPP 2yr'!L11+'STU SERVICES 2yr'!L11+'INST SUPPORT 2yr'!L11</f>
        <v>22136.955000000002</v>
      </c>
      <c r="M11" s="48">
        <f>'ACADEMIC SUPP 2yr'!M11+'STU SERVICES 2yr'!M11+'INST SUPPORT 2yr'!M11</f>
        <v>25002.440999999999</v>
      </c>
      <c r="N11" s="48">
        <f>'ACADEMIC SUPP 2yr'!N11+'STU SERVICES 2yr'!N11+'INST SUPPORT 2yr'!N11</f>
        <v>24366.258999999998</v>
      </c>
      <c r="O11" s="48">
        <f>'ACADEMIC SUPP 2yr'!O11+'STU SERVICES 2yr'!O11+'INST SUPPORT 2yr'!O11</f>
        <v>26432.953000000001</v>
      </c>
      <c r="P11" s="48">
        <f>'ACADEMIC SUPP 2yr'!P11+'STU SERVICES 2yr'!P11+'INST SUPPORT 2yr'!P11</f>
        <v>27233.620999999999</v>
      </c>
      <c r="Q11" s="48">
        <f>'ACADEMIC SUPP 2yr'!Q11+'STU SERVICES 2yr'!Q11+'INST SUPPORT 2yr'!Q11</f>
        <v>30342.202000000001</v>
      </c>
      <c r="R11" s="48">
        <f>'ACADEMIC SUPP 2yr'!R11+'STU SERVICES 2yr'!R11+'INST SUPPORT 2yr'!R11</f>
        <v>33758.373999999996</v>
      </c>
      <c r="S11" s="48">
        <f>'ACADEMIC SUPP 2yr'!S11+'STU SERVICES 2yr'!S11+'INST SUPPORT 2yr'!S11</f>
        <v>33202.809000000001</v>
      </c>
      <c r="T11" s="48">
        <f>'ACADEMIC SUPP 2yr'!T11+'STU SERVICES 2yr'!T11+'INST SUPPORT 2yr'!T11</f>
        <v>37216.883000000002</v>
      </c>
      <c r="U11" s="48">
        <f>'ACADEMIC SUPP 2yr'!U11+'STU SERVICES 2yr'!U11+'INST SUPPORT 2yr'!U11</f>
        <v>35338.426000000007</v>
      </c>
      <c r="V11" s="48">
        <f>'ACADEMIC SUPP 2yr'!V11+'STU SERVICES 2yr'!V11+'INST SUPPORT 2yr'!V11</f>
        <v>39788.565000000002</v>
      </c>
      <c r="W11" s="48">
        <f>'ACADEMIC SUPP 2yr'!W11+'STU SERVICES 2yr'!W11+'INST SUPPORT 2yr'!W11</f>
        <v>44567.251000000004</v>
      </c>
      <c r="X11" s="48">
        <f>'ACADEMIC SUPP 2yr'!X11+'STU SERVICES 2yr'!X11+'INST SUPPORT 2yr'!X11</f>
        <v>45874.103999999999</v>
      </c>
      <c r="Y11" s="48">
        <f>'ACADEMIC SUPP 2yr'!Y11+'STU SERVICES 2yr'!Y11+'INST SUPPORT 2yr'!Y11</f>
        <v>47653.913</v>
      </c>
      <c r="Z11" s="48">
        <f>'ACADEMIC SUPP 2yr'!Z11+'STU SERVICES 2yr'!Z11+'INST SUPPORT 2yr'!Z11</f>
        <v>51816.004999999997</v>
      </c>
      <c r="AA11" s="48">
        <f>'ACADEMIC SUPP 2yr'!AA11+'STU SERVICES 2yr'!AA11+'INST SUPPORT 2yr'!AA11</f>
        <v>49178.703999999998</v>
      </c>
      <c r="AB11" s="48">
        <f>'ACADEMIC SUPP 2yr'!AB11+'STU SERVICES 2yr'!AB11+'INST SUPPORT 2yr'!AB11</f>
        <v>52168.981</v>
      </c>
      <c r="AC11" s="48">
        <f>'ACADEMIC SUPP 2yr'!AC11+'STU SERVICES 2yr'!AC11+'INST SUPPORT 2yr'!AC11</f>
        <v>50605.195000000007</v>
      </c>
    </row>
    <row r="12" spans="1:29">
      <c r="A12" s="1" t="s">
        <v>5</v>
      </c>
      <c r="B12" s="48">
        <f>'ACADEMIC SUPP 2yr'!B12+'STU SERVICES 2yr'!B12+'INST SUPPORT 2yr'!B12</f>
        <v>175899</v>
      </c>
      <c r="C12" s="48">
        <f>'ACADEMIC SUPP 2yr'!C12+'STU SERVICES 2yr'!C12+'INST SUPPORT 2yr'!C12</f>
        <v>185355</v>
      </c>
      <c r="D12" s="48">
        <f>'ACADEMIC SUPP 2yr'!D12+'STU SERVICES 2yr'!D12+'INST SUPPORT 2yr'!D12</f>
        <v>196267</v>
      </c>
      <c r="E12" s="48">
        <f>'ACADEMIC SUPP 2yr'!E12+'STU SERVICES 2yr'!E12+'INST SUPPORT 2yr'!E12</f>
        <v>319972.92</v>
      </c>
      <c r="F12" s="48">
        <f>'ACADEMIC SUPP 2yr'!F12+'STU SERVICES 2yr'!F12+'INST SUPPORT 2yr'!F12</f>
        <v>329182.14500000002</v>
      </c>
      <c r="G12" s="48">
        <f>'ACADEMIC SUPP 2yr'!G12+'STU SERVICES 2yr'!G12+'INST SUPPORT 2yr'!G12</f>
        <v>360460.50600000005</v>
      </c>
      <c r="H12" s="48">
        <f>'ACADEMIC SUPP 2yr'!H12+'STU SERVICES 2yr'!H12+'INST SUPPORT 2yr'!H12</f>
        <v>382362.36699999997</v>
      </c>
      <c r="I12" s="48">
        <f>'ACADEMIC SUPP 2yr'!I12+'STU SERVICES 2yr'!I12+'INST SUPPORT 2yr'!I12</f>
        <v>393498.24599999998</v>
      </c>
      <c r="J12" s="48">
        <f>'ACADEMIC SUPP 2yr'!J12+'STU SERVICES 2yr'!J12+'INST SUPPORT 2yr'!J12</f>
        <v>398599.18099999998</v>
      </c>
      <c r="K12" s="48">
        <f>'ACADEMIC SUPP 2yr'!K12+'STU SERVICES 2yr'!K12+'INST SUPPORT 2yr'!K12</f>
        <v>420291.93000000005</v>
      </c>
      <c r="L12" s="48">
        <f>'ACADEMIC SUPP 2yr'!L12+'STU SERVICES 2yr'!L12+'INST SUPPORT 2yr'!L12</f>
        <v>555272.78599999996</v>
      </c>
      <c r="M12" s="48">
        <f>'ACADEMIC SUPP 2yr'!M12+'STU SERVICES 2yr'!M12+'INST SUPPORT 2yr'!M12</f>
        <v>636421.39400000009</v>
      </c>
      <c r="N12" s="48">
        <f>'ACADEMIC SUPP 2yr'!N12+'STU SERVICES 2yr'!N12+'INST SUPPORT 2yr'!N12</f>
        <v>574681.56700000004</v>
      </c>
      <c r="O12" s="48">
        <f>'ACADEMIC SUPP 2yr'!O12+'STU SERVICES 2yr'!O12+'INST SUPPORT 2yr'!O12</f>
        <v>475229.01500000001</v>
      </c>
      <c r="P12" s="48">
        <f>'ACADEMIC SUPP 2yr'!P12+'STU SERVICES 2yr'!P12+'INST SUPPORT 2yr'!P12</f>
        <v>504021.29300000006</v>
      </c>
      <c r="Q12" s="48">
        <f>'ACADEMIC SUPP 2yr'!Q12+'STU SERVICES 2yr'!Q12+'INST SUPPORT 2yr'!Q12</f>
        <v>530911.36899999995</v>
      </c>
      <c r="R12" s="48">
        <f>'ACADEMIC SUPP 2yr'!R12+'STU SERVICES 2yr'!R12+'INST SUPPORT 2yr'!R12</f>
        <v>551539.95799999998</v>
      </c>
      <c r="S12" s="48">
        <f>'ACADEMIC SUPP 2yr'!S12+'STU SERVICES 2yr'!S12+'INST SUPPORT 2yr'!S12</f>
        <v>667559.19700000004</v>
      </c>
      <c r="T12" s="48">
        <f>'ACADEMIC SUPP 2yr'!T12+'STU SERVICES 2yr'!T12+'INST SUPPORT 2yr'!T12</f>
        <v>675933.39500000002</v>
      </c>
      <c r="U12" s="48">
        <f>'ACADEMIC SUPP 2yr'!U12+'STU SERVICES 2yr'!U12+'INST SUPPORT 2yr'!U12</f>
        <v>1049072.6969999999</v>
      </c>
      <c r="V12" s="48">
        <f>'ACADEMIC SUPP 2yr'!V12+'STU SERVICES 2yr'!V12+'INST SUPPORT 2yr'!V12</f>
        <v>1053245.8470000001</v>
      </c>
      <c r="W12" s="48">
        <f>'ACADEMIC SUPP 2yr'!W12+'STU SERVICES 2yr'!W12+'INST SUPPORT 2yr'!W12</f>
        <v>1147347.615</v>
      </c>
      <c r="X12" s="48">
        <f>'ACADEMIC SUPP 2yr'!X12+'STU SERVICES 2yr'!X12+'INST SUPPORT 2yr'!X12</f>
        <v>1149135.632</v>
      </c>
      <c r="Y12" s="48">
        <f>'ACADEMIC SUPP 2yr'!Y12+'STU SERVICES 2yr'!Y12+'INST SUPPORT 2yr'!Y12</f>
        <v>1164165.3030000001</v>
      </c>
      <c r="Z12" s="48">
        <f>'ACADEMIC SUPP 2yr'!Z12+'STU SERVICES 2yr'!Z12+'INST SUPPORT 2yr'!Z12</f>
        <v>1234007.8290000001</v>
      </c>
      <c r="AA12" s="48">
        <f>'ACADEMIC SUPP 2yr'!AA12+'STU SERVICES 2yr'!AA12+'INST SUPPORT 2yr'!AA12</f>
        <v>1248568.625</v>
      </c>
      <c r="AB12" s="48">
        <f>'ACADEMIC SUPP 2yr'!AB12+'STU SERVICES 2yr'!AB12+'INST SUPPORT 2yr'!AB12</f>
        <v>1300605.794</v>
      </c>
      <c r="AC12" s="48">
        <f>'ACADEMIC SUPP 2yr'!AC12+'STU SERVICES 2yr'!AC12+'INST SUPPORT 2yr'!AC12</f>
        <v>1329468.716</v>
      </c>
    </row>
    <row r="13" spans="1:29">
      <c r="A13" s="1" t="s">
        <v>6</v>
      </c>
      <c r="B13" s="48">
        <f>'ACADEMIC SUPP 2yr'!B13+'STU SERVICES 2yr'!B13+'INST SUPPORT 2yr'!B13</f>
        <v>34701</v>
      </c>
      <c r="C13" s="48">
        <f>'ACADEMIC SUPP 2yr'!C13+'STU SERVICES 2yr'!C13+'INST SUPPORT 2yr'!C13</f>
        <v>37433</v>
      </c>
      <c r="D13" s="48">
        <f>'ACADEMIC SUPP 2yr'!D13+'STU SERVICES 2yr'!D13+'INST SUPPORT 2yr'!D13</f>
        <v>33651</v>
      </c>
      <c r="E13" s="48">
        <f>'ACADEMIC SUPP 2yr'!E13+'STU SERVICES 2yr'!E13+'INST SUPPORT 2yr'!E13</f>
        <v>73067.526000000013</v>
      </c>
      <c r="F13" s="48">
        <f>'ACADEMIC SUPP 2yr'!F13+'STU SERVICES 2yr'!F13+'INST SUPPORT 2yr'!F13</f>
        <v>87513.212</v>
      </c>
      <c r="G13" s="48">
        <f>'ACADEMIC SUPP 2yr'!G13+'STU SERVICES 2yr'!G13+'INST SUPPORT 2yr'!G13</f>
        <v>100707.784</v>
      </c>
      <c r="H13" s="48">
        <f>'ACADEMIC SUPP 2yr'!H13+'STU SERVICES 2yr'!H13+'INST SUPPORT 2yr'!H13</f>
        <v>114022.69899999999</v>
      </c>
      <c r="I13" s="48">
        <f>'ACADEMIC SUPP 2yr'!I13+'STU SERVICES 2yr'!I13+'INST SUPPORT 2yr'!I13</f>
        <v>133175.274</v>
      </c>
      <c r="J13" s="48">
        <f>'ACADEMIC SUPP 2yr'!J13+'STU SERVICES 2yr'!J13+'INST SUPPORT 2yr'!J13</f>
        <v>108426.62299999999</v>
      </c>
      <c r="K13" s="48">
        <f>'ACADEMIC SUPP 2yr'!K13+'STU SERVICES 2yr'!K13+'INST SUPPORT 2yr'!K13</f>
        <v>119904.83007999997</v>
      </c>
      <c r="L13" s="48">
        <f>'ACADEMIC SUPP 2yr'!L13+'STU SERVICES 2yr'!L13+'INST SUPPORT 2yr'!L13</f>
        <v>203956.70799999998</v>
      </c>
      <c r="M13" s="48">
        <f>'ACADEMIC SUPP 2yr'!M13+'STU SERVICES 2yr'!M13+'INST SUPPORT 2yr'!M13</f>
        <v>228795.60800000001</v>
      </c>
      <c r="N13" s="48">
        <f>'ACADEMIC SUPP 2yr'!N13+'STU SERVICES 2yr'!N13+'INST SUPPORT 2yr'!N13</f>
        <v>252711.18599999999</v>
      </c>
      <c r="O13" s="48">
        <f>'ACADEMIC SUPP 2yr'!O13+'STU SERVICES 2yr'!O13+'INST SUPPORT 2yr'!O13</f>
        <v>247985.91100000002</v>
      </c>
      <c r="P13" s="48">
        <f>'ACADEMIC SUPP 2yr'!P13+'STU SERVICES 2yr'!P13+'INST SUPPORT 2yr'!P13</f>
        <v>259260.86300000001</v>
      </c>
      <c r="Q13" s="48">
        <f>'ACADEMIC SUPP 2yr'!Q13+'STU SERVICES 2yr'!Q13+'INST SUPPORT 2yr'!Q13</f>
        <v>274358.489</v>
      </c>
      <c r="R13" s="48">
        <f>'ACADEMIC SUPP 2yr'!R13+'STU SERVICES 2yr'!R13+'INST SUPPORT 2yr'!R13</f>
        <v>291041.78399999999</v>
      </c>
      <c r="S13" s="48">
        <f>'ACADEMIC SUPP 2yr'!S13+'STU SERVICES 2yr'!S13+'INST SUPPORT 2yr'!S13</f>
        <v>295605.065</v>
      </c>
      <c r="T13" s="48">
        <f>'ACADEMIC SUPP 2yr'!T13+'STU SERVICES 2yr'!T13+'INST SUPPORT 2yr'!T13</f>
        <v>316562.15500000003</v>
      </c>
      <c r="U13" s="48">
        <f>'ACADEMIC SUPP 2yr'!U13+'STU SERVICES 2yr'!U13+'INST SUPPORT 2yr'!U13</f>
        <v>163322.851</v>
      </c>
      <c r="V13" s="48">
        <f>'ACADEMIC SUPP 2yr'!V13+'STU SERVICES 2yr'!V13+'INST SUPPORT 2yr'!V13</f>
        <v>437352.75600000005</v>
      </c>
      <c r="W13" s="48">
        <f>'ACADEMIC SUPP 2yr'!W13+'STU SERVICES 2yr'!W13+'INST SUPPORT 2yr'!W13</f>
        <v>472373.70399999997</v>
      </c>
      <c r="X13" s="48">
        <f>'ACADEMIC SUPP 2yr'!X13+'STU SERVICES 2yr'!X13+'INST SUPPORT 2yr'!X13</f>
        <v>514765.76199999999</v>
      </c>
      <c r="Y13" s="48">
        <f>'ACADEMIC SUPP 2yr'!Y13+'STU SERVICES 2yr'!Y13+'INST SUPPORT 2yr'!Y13</f>
        <v>164960.747</v>
      </c>
      <c r="Z13" s="48">
        <f>'ACADEMIC SUPP 2yr'!Z13+'STU SERVICES 2yr'!Z13+'INST SUPPORT 2yr'!Z13</f>
        <v>190954.87</v>
      </c>
      <c r="AA13" s="48">
        <f>'ACADEMIC SUPP 2yr'!AA13+'STU SERVICES 2yr'!AA13+'INST SUPPORT 2yr'!AA13</f>
        <v>192020.52900000001</v>
      </c>
      <c r="AB13" s="48">
        <f>'ACADEMIC SUPP 2yr'!AB13+'STU SERVICES 2yr'!AB13+'INST SUPPORT 2yr'!AB13</f>
        <v>488037.31499999994</v>
      </c>
      <c r="AC13" s="48">
        <f>'ACADEMIC SUPP 2yr'!AC13+'STU SERVICES 2yr'!AC13+'INST SUPPORT 2yr'!AC13</f>
        <v>152849.65399999998</v>
      </c>
    </row>
    <row r="14" spans="1:29">
      <c r="A14" s="1" t="s">
        <v>7</v>
      </c>
      <c r="B14" s="48">
        <f>'ACADEMIC SUPP 2yr'!B14+'STU SERVICES 2yr'!B14+'INST SUPPORT 2yr'!B14</f>
        <v>12072</v>
      </c>
      <c r="C14" s="48">
        <f>'ACADEMIC SUPP 2yr'!C14+'STU SERVICES 2yr'!C14+'INST SUPPORT 2yr'!C14</f>
        <v>10350</v>
      </c>
      <c r="D14" s="48">
        <f>'ACADEMIC SUPP 2yr'!D14+'STU SERVICES 2yr'!D14+'INST SUPPORT 2yr'!D14</f>
        <v>8749</v>
      </c>
      <c r="E14" s="48">
        <f>'ACADEMIC SUPP 2yr'!E14+'STU SERVICES 2yr'!E14+'INST SUPPORT 2yr'!E14</f>
        <v>20084.343000000001</v>
      </c>
      <c r="F14" s="48">
        <f>'ACADEMIC SUPP 2yr'!F14+'STU SERVICES 2yr'!F14+'INST SUPPORT 2yr'!F14</f>
        <v>23893.904000000002</v>
      </c>
      <c r="G14" s="48">
        <f>'ACADEMIC SUPP 2yr'!G14+'STU SERVICES 2yr'!G14+'INST SUPPORT 2yr'!G14</f>
        <v>24065.504000000001</v>
      </c>
      <c r="H14" s="48">
        <f>'ACADEMIC SUPP 2yr'!H14+'STU SERVICES 2yr'!H14+'INST SUPPORT 2yr'!H14</f>
        <v>26123.601999999999</v>
      </c>
      <c r="I14" s="48">
        <f>'ACADEMIC SUPP 2yr'!I14+'STU SERVICES 2yr'!I14+'INST SUPPORT 2yr'!I14</f>
        <v>28684.069000000003</v>
      </c>
      <c r="J14" s="48">
        <f>'ACADEMIC SUPP 2yr'!J14+'STU SERVICES 2yr'!J14+'INST SUPPORT 2yr'!J14</f>
        <v>29871.021999999997</v>
      </c>
      <c r="K14" s="48">
        <f>'ACADEMIC SUPP 2yr'!K14+'STU SERVICES 2yr'!K14+'INST SUPPORT 2yr'!K14</f>
        <v>35133.044999999998</v>
      </c>
      <c r="L14" s="48">
        <f>'ACADEMIC SUPP 2yr'!L14+'STU SERVICES 2yr'!L14+'INST SUPPORT 2yr'!L14</f>
        <v>94121.722999999998</v>
      </c>
      <c r="M14" s="48">
        <f>'ACADEMIC SUPP 2yr'!M14+'STU SERVICES 2yr'!M14+'INST SUPPORT 2yr'!M14</f>
        <v>102874.94499999999</v>
      </c>
      <c r="N14" s="48">
        <f>'ACADEMIC SUPP 2yr'!N14+'STU SERVICES 2yr'!N14+'INST SUPPORT 2yr'!N14</f>
        <v>5171.5409999999993</v>
      </c>
      <c r="O14" s="48">
        <f>'ACADEMIC SUPP 2yr'!O14+'STU SERVICES 2yr'!O14+'INST SUPPORT 2yr'!O14</f>
        <v>6081.3879999999999</v>
      </c>
      <c r="P14" s="48">
        <f>'ACADEMIC SUPP 2yr'!P14+'STU SERVICES 2yr'!P14+'INST SUPPORT 2yr'!P14</f>
        <v>6652.0769999999993</v>
      </c>
      <c r="Q14" s="48">
        <f>'ACADEMIC SUPP 2yr'!Q14+'STU SERVICES 2yr'!Q14+'INST SUPPORT 2yr'!Q14</f>
        <v>101199.71400000001</v>
      </c>
      <c r="R14" s="48">
        <f>'ACADEMIC SUPP 2yr'!R14+'STU SERVICES 2yr'!R14+'INST SUPPORT 2yr'!R14</f>
        <v>106709.59899999999</v>
      </c>
      <c r="S14" s="48">
        <f>'ACADEMIC SUPP 2yr'!S14+'STU SERVICES 2yr'!S14+'INST SUPPORT 2yr'!S14</f>
        <v>117419.14700000001</v>
      </c>
      <c r="T14" s="48">
        <f>'ACADEMIC SUPP 2yr'!T14+'STU SERVICES 2yr'!T14+'INST SUPPORT 2yr'!T14</f>
        <v>149225.663</v>
      </c>
      <c r="U14" s="48">
        <f>'ACADEMIC SUPP 2yr'!U14+'STU SERVICES 2yr'!U14+'INST SUPPORT 2yr'!U14</f>
        <v>135977.052</v>
      </c>
      <c r="V14" s="48">
        <f>'ACADEMIC SUPP 2yr'!V14+'STU SERVICES 2yr'!V14+'INST SUPPORT 2yr'!V14</f>
        <v>174280.88500000001</v>
      </c>
      <c r="W14" s="48">
        <f>'ACADEMIC SUPP 2yr'!W14+'STU SERVICES 2yr'!W14+'INST SUPPORT 2yr'!W14</f>
        <v>176839.44</v>
      </c>
      <c r="X14" s="48">
        <f>'ACADEMIC SUPP 2yr'!X14+'STU SERVICES 2yr'!X14+'INST SUPPORT 2yr'!X14</f>
        <v>184523.39799999999</v>
      </c>
      <c r="Y14" s="48">
        <f>'ACADEMIC SUPP 2yr'!Y14+'STU SERVICES 2yr'!Y14+'INST SUPPORT 2yr'!Y14</f>
        <v>170361.09899999999</v>
      </c>
      <c r="Z14" s="48">
        <f>'ACADEMIC SUPP 2yr'!Z14+'STU SERVICES 2yr'!Z14+'INST SUPPORT 2yr'!Z14</f>
        <v>161193.198</v>
      </c>
      <c r="AA14" s="48">
        <f>'ACADEMIC SUPP 2yr'!AA14+'STU SERVICES 2yr'!AA14+'INST SUPPORT 2yr'!AA14</f>
        <v>162343.26</v>
      </c>
      <c r="AB14" s="48">
        <f>'ACADEMIC SUPP 2yr'!AB14+'STU SERVICES 2yr'!AB14+'INST SUPPORT 2yr'!AB14</f>
        <v>168511.603</v>
      </c>
      <c r="AC14" s="48">
        <f>'ACADEMIC SUPP 2yr'!AC14+'STU SERVICES 2yr'!AC14+'INST SUPPORT 2yr'!AC14</f>
        <v>136924.967</v>
      </c>
    </row>
    <row r="15" spans="1:29">
      <c r="A15" s="1" t="s">
        <v>8</v>
      </c>
      <c r="B15" s="48">
        <f>'ACADEMIC SUPP 2yr'!B15+'STU SERVICES 2yr'!B15+'INST SUPPORT 2yr'!B15</f>
        <v>10412</v>
      </c>
      <c r="C15" s="48">
        <f>'ACADEMIC SUPP 2yr'!C15+'STU SERVICES 2yr'!C15+'INST SUPPORT 2yr'!C15</f>
        <v>11503</v>
      </c>
      <c r="D15" s="48">
        <f>'ACADEMIC SUPP 2yr'!D15+'STU SERVICES 2yr'!D15+'INST SUPPORT 2yr'!D15</f>
        <v>11812</v>
      </c>
      <c r="E15" s="48">
        <f>'ACADEMIC SUPP 2yr'!E15+'STU SERVICES 2yr'!E15+'INST SUPPORT 2yr'!E15</f>
        <v>17949.004999999997</v>
      </c>
      <c r="F15" s="48">
        <f>'ACADEMIC SUPP 2yr'!F15+'STU SERVICES 2yr'!F15+'INST SUPPORT 2yr'!F15</f>
        <v>18715.643</v>
      </c>
      <c r="G15" s="48">
        <f>'ACADEMIC SUPP 2yr'!G15+'STU SERVICES 2yr'!G15+'INST SUPPORT 2yr'!G15</f>
        <v>22242.493000000002</v>
      </c>
      <c r="H15" s="48">
        <f>'ACADEMIC SUPP 2yr'!H15+'STU SERVICES 2yr'!H15+'INST SUPPORT 2yr'!H15</f>
        <v>24628.254000000001</v>
      </c>
      <c r="I15" s="48">
        <f>'ACADEMIC SUPP 2yr'!I15+'STU SERVICES 2yr'!I15+'INST SUPPORT 2yr'!I15</f>
        <v>22808.822</v>
      </c>
      <c r="J15" s="48">
        <f>'ACADEMIC SUPP 2yr'!J15+'STU SERVICES 2yr'!J15+'INST SUPPORT 2yr'!J15</f>
        <v>37977.501999999993</v>
      </c>
      <c r="K15" s="48">
        <f>'ACADEMIC SUPP 2yr'!K15+'STU SERVICES 2yr'!K15+'INST SUPPORT 2yr'!K15</f>
        <v>40954.311200000011</v>
      </c>
      <c r="L15" s="48">
        <f>'ACADEMIC SUPP 2yr'!L15+'STU SERVICES 2yr'!L15+'INST SUPPORT 2yr'!L15</f>
        <v>51400.678</v>
      </c>
      <c r="M15" s="48">
        <f>'ACADEMIC SUPP 2yr'!M15+'STU SERVICES 2yr'!M15+'INST SUPPORT 2yr'!M15</f>
        <v>56305.437000000005</v>
      </c>
      <c r="N15" s="48">
        <f>'ACADEMIC SUPP 2yr'!N15+'STU SERVICES 2yr'!N15+'INST SUPPORT 2yr'!N15</f>
        <v>67264.462</v>
      </c>
      <c r="O15" s="48">
        <f>'ACADEMIC SUPP 2yr'!O15+'STU SERVICES 2yr'!O15+'INST SUPPORT 2yr'!O15</f>
        <v>84924.42</v>
      </c>
      <c r="P15" s="48">
        <f>'ACADEMIC SUPP 2yr'!P15+'STU SERVICES 2yr'!P15+'INST SUPPORT 2yr'!P15</f>
        <v>102714.583</v>
      </c>
      <c r="Q15" s="48">
        <f>'ACADEMIC SUPP 2yr'!Q15+'STU SERVICES 2yr'!Q15+'INST SUPPORT 2yr'!Q15</f>
        <v>103986.295</v>
      </c>
      <c r="R15" s="48">
        <f>'ACADEMIC SUPP 2yr'!R15+'STU SERVICES 2yr'!R15+'INST SUPPORT 2yr'!R15</f>
        <v>98327.269</v>
      </c>
      <c r="S15" s="48">
        <f>'ACADEMIC SUPP 2yr'!S15+'STU SERVICES 2yr'!S15+'INST SUPPORT 2yr'!S15</f>
        <v>112769.37400000001</v>
      </c>
      <c r="T15" s="48">
        <f>'ACADEMIC SUPP 2yr'!T15+'STU SERVICES 2yr'!T15+'INST SUPPORT 2yr'!T15</f>
        <v>146554.796</v>
      </c>
      <c r="U15" s="48">
        <f>'ACADEMIC SUPP 2yr'!U15+'STU SERVICES 2yr'!U15+'INST SUPPORT 2yr'!U15</f>
        <v>105743.57399999999</v>
      </c>
      <c r="V15" s="48">
        <f>'ACADEMIC SUPP 2yr'!V15+'STU SERVICES 2yr'!V15+'INST SUPPORT 2yr'!V15</f>
        <v>145881.005</v>
      </c>
      <c r="W15" s="48">
        <f>'ACADEMIC SUPP 2yr'!W15+'STU SERVICES 2yr'!W15+'INST SUPPORT 2yr'!W15</f>
        <v>151351.19</v>
      </c>
      <c r="X15" s="48">
        <f>'ACADEMIC SUPP 2yr'!X15+'STU SERVICES 2yr'!X15+'INST SUPPORT 2yr'!X15</f>
        <v>161810.55900000001</v>
      </c>
      <c r="Y15" s="48">
        <f>'ACADEMIC SUPP 2yr'!Y15+'STU SERVICES 2yr'!Y15+'INST SUPPORT 2yr'!Y15</f>
        <v>122414.49</v>
      </c>
      <c r="Z15" s="48">
        <f>'ACADEMIC SUPP 2yr'!Z15+'STU SERVICES 2yr'!Z15+'INST SUPPORT 2yr'!Z15</f>
        <v>116906.38499999999</v>
      </c>
      <c r="AA15" s="48">
        <f>'ACADEMIC SUPP 2yr'!AA15+'STU SERVICES 2yr'!AA15+'INST SUPPORT 2yr'!AA15</f>
        <v>121215.70699999999</v>
      </c>
      <c r="AB15" s="48">
        <f>'ACADEMIC SUPP 2yr'!AB15+'STU SERVICES 2yr'!AB15+'INST SUPPORT 2yr'!AB15</f>
        <v>157358.84899999999</v>
      </c>
      <c r="AC15" s="48">
        <f>'ACADEMIC SUPP 2yr'!AC15+'STU SERVICES 2yr'!AC15+'INST SUPPORT 2yr'!AC15</f>
        <v>129187.74800000001</v>
      </c>
    </row>
    <row r="16" spans="1:29">
      <c r="A16" s="1" t="s">
        <v>9</v>
      </c>
      <c r="B16" s="48">
        <f>'ACADEMIC SUPP 2yr'!B16+'STU SERVICES 2yr'!B16+'INST SUPPORT 2yr'!B16</f>
        <v>74498</v>
      </c>
      <c r="C16" s="48">
        <f>'ACADEMIC SUPP 2yr'!C16+'STU SERVICES 2yr'!C16+'INST SUPPORT 2yr'!C16</f>
        <v>78036</v>
      </c>
      <c r="D16" s="48">
        <f>'ACADEMIC SUPP 2yr'!D16+'STU SERVICES 2yr'!D16+'INST SUPPORT 2yr'!D16</f>
        <v>85623</v>
      </c>
      <c r="E16" s="48">
        <f>'ACADEMIC SUPP 2yr'!E16+'STU SERVICES 2yr'!E16+'INST SUPPORT 2yr'!E16</f>
        <v>130451.72999999998</v>
      </c>
      <c r="F16" s="48">
        <f>'ACADEMIC SUPP 2yr'!F16+'STU SERVICES 2yr'!F16+'INST SUPPORT 2yr'!F16</f>
        <v>105151.954</v>
      </c>
      <c r="G16" s="48">
        <f>'ACADEMIC SUPP 2yr'!G16+'STU SERVICES 2yr'!G16+'INST SUPPORT 2yr'!G16</f>
        <v>134164.924</v>
      </c>
      <c r="H16" s="48">
        <f>'ACADEMIC SUPP 2yr'!H16+'STU SERVICES 2yr'!H16+'INST SUPPORT 2yr'!H16</f>
        <v>146838.78200000001</v>
      </c>
      <c r="I16" s="48">
        <f>'ACADEMIC SUPP 2yr'!I16+'STU SERVICES 2yr'!I16+'INST SUPPORT 2yr'!I16</f>
        <v>124156.447</v>
      </c>
      <c r="J16" s="48">
        <f>'ACADEMIC SUPP 2yr'!J16+'STU SERVICES 2yr'!J16+'INST SUPPORT 2yr'!J16</f>
        <v>158843.022</v>
      </c>
      <c r="K16" s="48">
        <f>'ACADEMIC SUPP 2yr'!K16+'STU SERVICES 2yr'!K16+'INST SUPPORT 2yr'!K16</f>
        <v>166153.391</v>
      </c>
      <c r="L16" s="48">
        <f>'ACADEMIC SUPP 2yr'!L16+'STU SERVICES 2yr'!L16+'INST SUPPORT 2yr'!L16</f>
        <v>218742.56300000002</v>
      </c>
      <c r="M16" s="48">
        <f>'ACADEMIC SUPP 2yr'!M16+'STU SERVICES 2yr'!M16+'INST SUPPORT 2yr'!M16</f>
        <v>230646.416</v>
      </c>
      <c r="N16" s="48">
        <f>'ACADEMIC SUPP 2yr'!N16+'STU SERVICES 2yr'!N16+'INST SUPPORT 2yr'!N16</f>
        <v>241771.44500000001</v>
      </c>
      <c r="O16" s="48">
        <f>'ACADEMIC SUPP 2yr'!O16+'STU SERVICES 2yr'!O16+'INST SUPPORT 2yr'!O16</f>
        <v>278542.21799999999</v>
      </c>
      <c r="P16" s="48">
        <f>'ACADEMIC SUPP 2yr'!P16+'STU SERVICES 2yr'!P16+'INST SUPPORT 2yr'!P16</f>
        <v>287471.07199999999</v>
      </c>
      <c r="Q16" s="48">
        <f>'ACADEMIC SUPP 2yr'!Q16+'STU SERVICES 2yr'!Q16+'INST SUPPORT 2yr'!Q16</f>
        <v>304402.82</v>
      </c>
      <c r="R16" s="48">
        <f>'ACADEMIC SUPP 2yr'!R16+'STU SERVICES 2yr'!R16+'INST SUPPORT 2yr'!R16</f>
        <v>320792.87899999996</v>
      </c>
      <c r="S16" s="48">
        <f>'ACADEMIC SUPP 2yr'!S16+'STU SERVICES 2yr'!S16+'INST SUPPORT 2yr'!S16</f>
        <v>344956.41000000003</v>
      </c>
      <c r="T16" s="48">
        <f>'ACADEMIC SUPP 2yr'!T16+'STU SERVICES 2yr'!T16+'INST SUPPORT 2yr'!T16</f>
        <v>367952.522</v>
      </c>
      <c r="U16" s="48">
        <f>'ACADEMIC SUPP 2yr'!U16+'STU SERVICES 2yr'!U16+'INST SUPPORT 2yr'!U16</f>
        <v>422085.81400000001</v>
      </c>
      <c r="V16" s="48">
        <f>'ACADEMIC SUPP 2yr'!V16+'STU SERVICES 2yr'!V16+'INST SUPPORT 2yr'!V16</f>
        <v>461218.19699999999</v>
      </c>
      <c r="W16" s="48">
        <f>'ACADEMIC SUPP 2yr'!W16+'STU SERVICES 2yr'!W16+'INST SUPPORT 2yr'!W16</f>
        <v>472521.12400000001</v>
      </c>
      <c r="X16" s="48">
        <f>'ACADEMIC SUPP 2yr'!X16+'STU SERVICES 2yr'!X16+'INST SUPPORT 2yr'!X16</f>
        <v>514121.804</v>
      </c>
      <c r="Y16" s="48">
        <f>'ACADEMIC SUPP 2yr'!Y16+'STU SERVICES 2yr'!Y16+'INST SUPPORT 2yr'!Y16</f>
        <v>531925.67000000004</v>
      </c>
      <c r="Z16" s="48">
        <f>'ACADEMIC SUPP 2yr'!Z16+'STU SERVICES 2yr'!Z16+'INST SUPPORT 2yr'!Z16</f>
        <v>568718.30200000003</v>
      </c>
      <c r="AA16" s="48">
        <f>'ACADEMIC SUPP 2yr'!AA16+'STU SERVICES 2yr'!AA16+'INST SUPPORT 2yr'!AA16</f>
        <v>584590.47399999993</v>
      </c>
      <c r="AB16" s="48">
        <f>'ACADEMIC SUPP 2yr'!AB16+'STU SERVICES 2yr'!AB16+'INST SUPPORT 2yr'!AB16</f>
        <v>593767.95499999996</v>
      </c>
      <c r="AC16" s="48">
        <f>'ACADEMIC SUPP 2yr'!AC16+'STU SERVICES 2yr'!AC16+'INST SUPPORT 2yr'!AC16</f>
        <v>576349.98499999999</v>
      </c>
    </row>
    <row r="17" spans="1:29">
      <c r="A17" s="1" t="s">
        <v>10</v>
      </c>
      <c r="B17" s="48">
        <f>'ACADEMIC SUPP 2yr'!B17+'STU SERVICES 2yr'!B17+'INST SUPPORT 2yr'!B17</f>
        <v>31510</v>
      </c>
      <c r="C17" s="48">
        <f>'ACADEMIC SUPP 2yr'!C17+'STU SERVICES 2yr'!C17+'INST SUPPORT 2yr'!C17</f>
        <v>32780</v>
      </c>
      <c r="D17" s="48">
        <f>'ACADEMIC SUPP 2yr'!D17+'STU SERVICES 2yr'!D17+'INST SUPPORT 2yr'!D17</f>
        <v>34931</v>
      </c>
      <c r="E17" s="48">
        <f>'ACADEMIC SUPP 2yr'!E17+'STU SERVICES 2yr'!E17+'INST SUPPORT 2yr'!E17</f>
        <v>47411.695</v>
      </c>
      <c r="F17" s="48">
        <f>'ACADEMIC SUPP 2yr'!F17+'STU SERVICES 2yr'!F17+'INST SUPPORT 2yr'!F17</f>
        <v>47826.986000000004</v>
      </c>
      <c r="G17" s="48">
        <f>'ACADEMIC SUPP 2yr'!G17+'STU SERVICES 2yr'!G17+'INST SUPPORT 2yr'!G17</f>
        <v>52577.684000000001</v>
      </c>
      <c r="H17" s="48">
        <f>'ACADEMIC SUPP 2yr'!H17+'STU SERVICES 2yr'!H17+'INST SUPPORT 2yr'!H17</f>
        <v>57718.262000000002</v>
      </c>
      <c r="I17" s="48">
        <f>'ACADEMIC SUPP 2yr'!I17+'STU SERVICES 2yr'!I17+'INST SUPPORT 2yr'!I17</f>
        <v>71708.22</v>
      </c>
      <c r="J17" s="48">
        <f>'ACADEMIC SUPP 2yr'!J17+'STU SERVICES 2yr'!J17+'INST SUPPORT 2yr'!J17</f>
        <v>76765.989999999991</v>
      </c>
      <c r="K17" s="48">
        <f>'ACADEMIC SUPP 2yr'!K17+'STU SERVICES 2yr'!K17+'INST SUPPORT 2yr'!K17</f>
        <v>80868.686000000002</v>
      </c>
      <c r="L17" s="48">
        <f>'ACADEMIC SUPP 2yr'!L17+'STU SERVICES 2yr'!L17+'INST SUPPORT 2yr'!L17</f>
        <v>97092.47</v>
      </c>
      <c r="M17" s="48">
        <f>'ACADEMIC SUPP 2yr'!M17+'STU SERVICES 2yr'!M17+'INST SUPPORT 2yr'!M17</f>
        <v>96338.157999999996</v>
      </c>
      <c r="N17" s="48">
        <f>'ACADEMIC SUPP 2yr'!N17+'STU SERVICES 2yr'!N17+'INST SUPPORT 2yr'!N17</f>
        <v>94764.792000000001</v>
      </c>
      <c r="O17" s="48">
        <f>'ACADEMIC SUPP 2yr'!O17+'STU SERVICES 2yr'!O17+'INST SUPPORT 2yr'!O17</f>
        <v>101203.391</v>
      </c>
      <c r="P17" s="48">
        <f>'ACADEMIC SUPP 2yr'!P17+'STU SERVICES 2yr'!P17+'INST SUPPORT 2yr'!P17</f>
        <v>107576.96799999999</v>
      </c>
      <c r="Q17" s="48">
        <f>'ACADEMIC SUPP 2yr'!Q17+'STU SERVICES 2yr'!Q17+'INST SUPPORT 2yr'!Q17</f>
        <v>110848.704</v>
      </c>
      <c r="R17" s="48">
        <f>'ACADEMIC SUPP 2yr'!R17+'STU SERVICES 2yr'!R17+'INST SUPPORT 2yr'!R17</f>
        <v>113352.2</v>
      </c>
      <c r="S17" s="48">
        <f>'ACADEMIC SUPP 2yr'!S17+'STU SERVICES 2yr'!S17+'INST SUPPORT 2yr'!S17</f>
        <v>128924.63100000001</v>
      </c>
      <c r="T17" s="48">
        <f>'ACADEMIC SUPP 2yr'!T17+'STU SERVICES 2yr'!T17+'INST SUPPORT 2yr'!T17</f>
        <v>141521.68800000002</v>
      </c>
      <c r="U17" s="48">
        <f>'ACADEMIC SUPP 2yr'!U17+'STU SERVICES 2yr'!U17+'INST SUPPORT 2yr'!U17</f>
        <v>154541.93400000001</v>
      </c>
      <c r="V17" s="48">
        <f>'ACADEMIC SUPP 2yr'!V17+'STU SERVICES 2yr'!V17+'INST SUPPORT 2yr'!V17</f>
        <v>175952.27499999999</v>
      </c>
      <c r="W17" s="48">
        <f>'ACADEMIC SUPP 2yr'!W17+'STU SERVICES 2yr'!W17+'INST SUPPORT 2yr'!W17</f>
        <v>186143.07</v>
      </c>
      <c r="X17" s="48">
        <f>'ACADEMIC SUPP 2yr'!X17+'STU SERVICES 2yr'!X17+'INST SUPPORT 2yr'!X17</f>
        <v>192450.00900000002</v>
      </c>
      <c r="Y17" s="48">
        <f>'ACADEMIC SUPP 2yr'!Y17+'STU SERVICES 2yr'!Y17+'INST SUPPORT 2yr'!Y17</f>
        <v>199954.69900000002</v>
      </c>
      <c r="Z17" s="48">
        <f>'ACADEMIC SUPP 2yr'!Z17+'STU SERVICES 2yr'!Z17+'INST SUPPORT 2yr'!Z17</f>
        <v>205865.64600000001</v>
      </c>
      <c r="AA17" s="48">
        <f>'ACADEMIC SUPP 2yr'!AA17+'STU SERVICES 2yr'!AA17+'INST SUPPORT 2yr'!AA17</f>
        <v>211927.98499999999</v>
      </c>
      <c r="AB17" s="48">
        <f>'ACADEMIC SUPP 2yr'!AB17+'STU SERVICES 2yr'!AB17+'INST SUPPORT 2yr'!AB17</f>
        <v>221486.05599999998</v>
      </c>
      <c r="AC17" s="48">
        <f>'ACADEMIC SUPP 2yr'!AC17+'STU SERVICES 2yr'!AC17+'INST SUPPORT 2yr'!AC17</f>
        <v>234862.15399999998</v>
      </c>
    </row>
    <row r="18" spans="1:29">
      <c r="A18" s="1" t="s">
        <v>11</v>
      </c>
      <c r="B18" s="48">
        <f>'ACADEMIC SUPP 2yr'!B18+'STU SERVICES 2yr'!B18+'INST SUPPORT 2yr'!B18</f>
        <v>91708</v>
      </c>
      <c r="C18" s="48">
        <f>'ACADEMIC SUPP 2yr'!C18+'STU SERVICES 2yr'!C18+'INST SUPPORT 2yr'!C18</f>
        <v>100911</v>
      </c>
      <c r="D18" s="48">
        <f>'ACADEMIC SUPP 2yr'!D18+'STU SERVICES 2yr'!D18+'INST SUPPORT 2yr'!D18</f>
        <v>107302</v>
      </c>
      <c r="E18" s="48">
        <f>'ACADEMIC SUPP 2yr'!E18+'STU SERVICES 2yr'!E18+'INST SUPPORT 2yr'!E18</f>
        <v>154341.57500000001</v>
      </c>
      <c r="F18" s="48">
        <f>'ACADEMIC SUPP 2yr'!F18+'STU SERVICES 2yr'!F18+'INST SUPPORT 2yr'!F18</f>
        <v>160850.37300000002</v>
      </c>
      <c r="G18" s="48">
        <f>'ACADEMIC SUPP 2yr'!G18+'STU SERVICES 2yr'!G18+'INST SUPPORT 2yr'!G18</f>
        <v>173332.503</v>
      </c>
      <c r="H18" s="48">
        <f>'ACADEMIC SUPP 2yr'!H18+'STU SERVICES 2yr'!H18+'INST SUPPORT 2yr'!H18</f>
        <v>182159.049</v>
      </c>
      <c r="I18" s="48">
        <f>'ACADEMIC SUPP 2yr'!I18+'STU SERVICES 2yr'!I18+'INST SUPPORT 2yr'!I18</f>
        <v>190214.677</v>
      </c>
      <c r="J18" s="48">
        <f>'ACADEMIC SUPP 2yr'!J18+'STU SERVICES 2yr'!J18+'INST SUPPORT 2yr'!J18</f>
        <v>196196.50899999999</v>
      </c>
      <c r="K18" s="48">
        <f>'ACADEMIC SUPP 2yr'!K18+'STU SERVICES 2yr'!K18+'INST SUPPORT 2yr'!K18</f>
        <v>203064.10219999996</v>
      </c>
      <c r="L18" s="48">
        <f>'ACADEMIC SUPP 2yr'!L18+'STU SERVICES 2yr'!L18+'INST SUPPORT 2yr'!L18</f>
        <v>245513</v>
      </c>
      <c r="M18" s="48">
        <f>'ACADEMIC SUPP 2yr'!M18+'STU SERVICES 2yr'!M18+'INST SUPPORT 2yr'!M18</f>
        <v>288619.054</v>
      </c>
      <c r="N18" s="48">
        <f>'ACADEMIC SUPP 2yr'!N18+'STU SERVICES 2yr'!N18+'INST SUPPORT 2yr'!N18</f>
        <v>293305.15999999997</v>
      </c>
      <c r="O18" s="48">
        <f>'ACADEMIC SUPP 2yr'!O18+'STU SERVICES 2yr'!O18+'INST SUPPORT 2yr'!O18</f>
        <v>319464.64899999998</v>
      </c>
      <c r="P18" s="48">
        <f>'ACADEMIC SUPP 2yr'!P18+'STU SERVICES 2yr'!P18+'INST SUPPORT 2yr'!P18</f>
        <v>342677.74</v>
      </c>
      <c r="Q18" s="48">
        <f>'ACADEMIC SUPP 2yr'!Q18+'STU SERVICES 2yr'!Q18+'INST SUPPORT 2yr'!Q18</f>
        <v>374147.34199999995</v>
      </c>
      <c r="R18" s="48">
        <f>'ACADEMIC SUPP 2yr'!R18+'STU SERVICES 2yr'!R18+'INST SUPPORT 2yr'!R18</f>
        <v>407844.783</v>
      </c>
      <c r="S18" s="48">
        <f>'ACADEMIC SUPP 2yr'!S18+'STU SERVICES 2yr'!S18+'INST SUPPORT 2yr'!S18</f>
        <v>426458.83</v>
      </c>
      <c r="T18" s="48">
        <f>'ACADEMIC SUPP 2yr'!T18+'STU SERVICES 2yr'!T18+'INST SUPPORT 2yr'!T18</f>
        <v>460720.06799999997</v>
      </c>
      <c r="U18" s="48">
        <f>'ACADEMIC SUPP 2yr'!U18+'STU SERVICES 2yr'!U18+'INST SUPPORT 2yr'!U18</f>
        <v>475165.37199999997</v>
      </c>
      <c r="V18" s="48">
        <f>'ACADEMIC SUPP 2yr'!V18+'STU SERVICES 2yr'!V18+'INST SUPPORT 2yr'!V18</f>
        <v>535156.76199999999</v>
      </c>
      <c r="W18" s="48">
        <f>'ACADEMIC SUPP 2yr'!W18+'STU SERVICES 2yr'!W18+'INST SUPPORT 2yr'!W18</f>
        <v>584409.46399999992</v>
      </c>
      <c r="X18" s="48">
        <f>'ACADEMIC SUPP 2yr'!X18+'STU SERVICES 2yr'!X18+'INST SUPPORT 2yr'!X18</f>
        <v>612230.00399999996</v>
      </c>
      <c r="Y18" s="48">
        <f>'ACADEMIC SUPP 2yr'!Y18+'STU SERVICES 2yr'!Y18+'INST SUPPORT 2yr'!Y18</f>
        <v>650868.06599999999</v>
      </c>
      <c r="Z18" s="48">
        <f>'ACADEMIC SUPP 2yr'!Z18+'STU SERVICES 2yr'!Z18+'INST SUPPORT 2yr'!Z18</f>
        <v>669913.95699999994</v>
      </c>
      <c r="AA18" s="48">
        <f>'ACADEMIC SUPP 2yr'!AA18+'STU SERVICES 2yr'!AA18+'INST SUPPORT 2yr'!AA18</f>
        <v>656877.25600000005</v>
      </c>
      <c r="AB18" s="48">
        <f>'ACADEMIC SUPP 2yr'!AB18+'STU SERVICES 2yr'!AB18+'INST SUPPORT 2yr'!AB18</f>
        <v>647436.20900000003</v>
      </c>
      <c r="AC18" s="48">
        <f>'ACADEMIC SUPP 2yr'!AC18+'STU SERVICES 2yr'!AC18+'INST SUPPORT 2yr'!AC18</f>
        <v>701040.38500000001</v>
      </c>
    </row>
    <row r="19" spans="1:29">
      <c r="A19" s="1" t="s">
        <v>12</v>
      </c>
      <c r="B19" s="48">
        <f>'ACADEMIC SUPP 2yr'!B19+'STU SERVICES 2yr'!B19+'INST SUPPORT 2yr'!B19</f>
        <v>20665</v>
      </c>
      <c r="C19" s="48">
        <f>'ACADEMIC SUPP 2yr'!C19+'STU SERVICES 2yr'!C19+'INST SUPPORT 2yr'!C19</f>
        <v>21436</v>
      </c>
      <c r="D19" s="48">
        <f>'ACADEMIC SUPP 2yr'!D19+'STU SERVICES 2yr'!D19+'INST SUPPORT 2yr'!D19</f>
        <v>23601</v>
      </c>
      <c r="E19" s="48">
        <f>'ACADEMIC SUPP 2yr'!E19+'STU SERVICES 2yr'!E19+'INST SUPPORT 2yr'!E19</f>
        <v>47164.895000000004</v>
      </c>
      <c r="F19" s="48">
        <f>'ACADEMIC SUPP 2yr'!F19+'STU SERVICES 2yr'!F19+'INST SUPPORT 2yr'!F19</f>
        <v>51586.373999999996</v>
      </c>
      <c r="G19" s="48">
        <f>'ACADEMIC SUPP 2yr'!G19+'STU SERVICES 2yr'!G19+'INST SUPPORT 2yr'!G19</f>
        <v>51425.963000000003</v>
      </c>
      <c r="H19" s="48">
        <f>'ACADEMIC SUPP 2yr'!H19+'STU SERVICES 2yr'!H19+'INST SUPPORT 2yr'!H19</f>
        <v>52287.93</v>
      </c>
      <c r="I19" s="48">
        <f>'ACADEMIC SUPP 2yr'!I19+'STU SERVICES 2yr'!I19+'INST SUPPORT 2yr'!I19</f>
        <v>55110.644</v>
      </c>
      <c r="J19" s="48">
        <f>'ACADEMIC SUPP 2yr'!J19+'STU SERVICES 2yr'!J19+'INST SUPPORT 2yr'!J19</f>
        <v>56953.027000000002</v>
      </c>
      <c r="K19" s="48">
        <f>'ACADEMIC SUPP 2yr'!K19+'STU SERVICES 2yr'!K19+'INST SUPPORT 2yr'!K19</f>
        <v>64819.700709999997</v>
      </c>
      <c r="L19" s="48">
        <f>'ACADEMIC SUPP 2yr'!L19+'STU SERVICES 2yr'!L19+'INST SUPPORT 2yr'!L19</f>
        <v>73490.747000000003</v>
      </c>
      <c r="M19" s="48">
        <f>'ACADEMIC SUPP 2yr'!M19+'STU SERVICES 2yr'!M19+'INST SUPPORT 2yr'!M19</f>
        <v>113366.538</v>
      </c>
      <c r="N19" s="48">
        <f>'ACADEMIC SUPP 2yr'!N19+'STU SERVICES 2yr'!N19+'INST SUPPORT 2yr'!N19</f>
        <v>76028.823000000004</v>
      </c>
      <c r="O19" s="48">
        <f>'ACADEMIC SUPP 2yr'!O19+'STU SERVICES 2yr'!O19+'INST SUPPORT 2yr'!O19</f>
        <v>70825.112999999998</v>
      </c>
      <c r="P19" s="48">
        <f>'ACADEMIC SUPP 2yr'!P19+'STU SERVICES 2yr'!P19+'INST SUPPORT 2yr'!P19</f>
        <v>70561.193999999989</v>
      </c>
      <c r="Q19" s="48">
        <f>'ACADEMIC SUPP 2yr'!Q19+'STU SERVICES 2yr'!Q19+'INST SUPPORT 2yr'!Q19</f>
        <v>78100.58</v>
      </c>
      <c r="R19" s="48">
        <f>'ACADEMIC SUPP 2yr'!R19+'STU SERVICES 2yr'!R19+'INST SUPPORT 2yr'!R19</f>
        <v>81448.182000000001</v>
      </c>
      <c r="S19" s="48">
        <f>'ACADEMIC SUPP 2yr'!S19+'STU SERVICES 2yr'!S19+'INST SUPPORT 2yr'!S19</f>
        <v>82940.608000000007</v>
      </c>
      <c r="T19" s="48">
        <f>'ACADEMIC SUPP 2yr'!T19+'STU SERVICES 2yr'!T19+'INST SUPPORT 2yr'!T19</f>
        <v>97704.701000000001</v>
      </c>
      <c r="U19" s="48">
        <f>'ACADEMIC SUPP 2yr'!U19+'STU SERVICES 2yr'!U19+'INST SUPPORT 2yr'!U19</f>
        <v>116722.802</v>
      </c>
      <c r="V19" s="48">
        <f>'ACADEMIC SUPP 2yr'!V19+'STU SERVICES 2yr'!V19+'INST SUPPORT 2yr'!V19</f>
        <v>132894.36599999998</v>
      </c>
      <c r="W19" s="48">
        <f>'ACADEMIC SUPP 2yr'!W19+'STU SERVICES 2yr'!W19+'INST SUPPORT 2yr'!W19</f>
        <v>135720.21099999998</v>
      </c>
      <c r="X19" s="48">
        <f>'ACADEMIC SUPP 2yr'!X19+'STU SERVICES 2yr'!X19+'INST SUPPORT 2yr'!X19</f>
        <v>134788.386</v>
      </c>
      <c r="Y19" s="48">
        <f>'ACADEMIC SUPP 2yr'!Y19+'STU SERVICES 2yr'!Y19+'INST SUPPORT 2yr'!Y19</f>
        <v>142382.10399999999</v>
      </c>
      <c r="Z19" s="48">
        <f>'ACADEMIC SUPP 2yr'!Z19+'STU SERVICES 2yr'!Z19+'INST SUPPORT 2yr'!Z19</f>
        <v>158367.20199999999</v>
      </c>
      <c r="AA19" s="48">
        <f>'ACADEMIC SUPP 2yr'!AA19+'STU SERVICES 2yr'!AA19+'INST SUPPORT 2yr'!AA19</f>
        <v>175369.73800000001</v>
      </c>
      <c r="AB19" s="48">
        <f>'ACADEMIC SUPP 2yr'!AB19+'STU SERVICES 2yr'!AB19+'INST SUPPORT 2yr'!AB19</f>
        <v>163605.299</v>
      </c>
      <c r="AC19" s="48">
        <f>'ACADEMIC SUPP 2yr'!AC19+'STU SERVICES 2yr'!AC19+'INST SUPPORT 2yr'!AC19</f>
        <v>156249.5</v>
      </c>
    </row>
    <row r="20" spans="1:29">
      <c r="A20" s="1" t="s">
        <v>13</v>
      </c>
      <c r="B20" s="48">
        <f>'ACADEMIC SUPP 2yr'!B20+'STU SERVICES 2yr'!B20+'INST SUPPORT 2yr'!B20</f>
        <v>36514</v>
      </c>
      <c r="C20" s="48">
        <f>'ACADEMIC SUPP 2yr'!C20+'STU SERVICES 2yr'!C20+'INST SUPPORT 2yr'!C20</f>
        <v>48621</v>
      </c>
      <c r="D20" s="48">
        <f>'ACADEMIC SUPP 2yr'!D20+'STU SERVICES 2yr'!D20+'INST SUPPORT 2yr'!D20</f>
        <v>51871</v>
      </c>
      <c r="E20" s="48">
        <f>'ACADEMIC SUPP 2yr'!E20+'STU SERVICES 2yr'!E20+'INST SUPPORT 2yr'!E20</f>
        <v>80610.888000000006</v>
      </c>
      <c r="F20" s="48">
        <f>'ACADEMIC SUPP 2yr'!F20+'STU SERVICES 2yr'!F20+'INST SUPPORT 2yr'!F20</f>
        <v>84933.197000000015</v>
      </c>
      <c r="G20" s="48">
        <f>'ACADEMIC SUPP 2yr'!G20+'STU SERVICES 2yr'!G20+'INST SUPPORT 2yr'!G20</f>
        <v>90828.07699999999</v>
      </c>
      <c r="H20" s="48">
        <f>'ACADEMIC SUPP 2yr'!H20+'STU SERVICES 2yr'!H20+'INST SUPPORT 2yr'!H20</f>
        <v>93182.65</v>
      </c>
      <c r="I20" s="48">
        <f>'ACADEMIC SUPP 2yr'!I20+'STU SERVICES 2yr'!I20+'INST SUPPORT 2yr'!I20</f>
        <v>98470.752000000008</v>
      </c>
      <c r="J20" s="48">
        <f>'ACADEMIC SUPP 2yr'!J20+'STU SERVICES 2yr'!J20+'INST SUPPORT 2yr'!J20</f>
        <v>102610.084</v>
      </c>
      <c r="K20" s="48">
        <f>'ACADEMIC SUPP 2yr'!K20+'STU SERVICES 2yr'!K20+'INST SUPPORT 2yr'!K20</f>
        <v>107229.791</v>
      </c>
      <c r="L20" s="48">
        <f>'ACADEMIC SUPP 2yr'!L20+'STU SERVICES 2yr'!L20+'INST SUPPORT 2yr'!L20</f>
        <v>133793.88699999999</v>
      </c>
      <c r="M20" s="48">
        <f>'ACADEMIC SUPP 2yr'!M20+'STU SERVICES 2yr'!M20+'INST SUPPORT 2yr'!M20</f>
        <v>141376.476</v>
      </c>
      <c r="N20" s="48">
        <f>'ACADEMIC SUPP 2yr'!N20+'STU SERVICES 2yr'!N20+'INST SUPPORT 2yr'!N20</f>
        <v>154690.016</v>
      </c>
      <c r="O20" s="48">
        <f>'ACADEMIC SUPP 2yr'!O20+'STU SERVICES 2yr'!O20+'INST SUPPORT 2yr'!O20</f>
        <v>160867.30100000001</v>
      </c>
      <c r="P20" s="48">
        <f>'ACADEMIC SUPP 2yr'!P20+'STU SERVICES 2yr'!P20+'INST SUPPORT 2yr'!P20</f>
        <v>161022.53200000001</v>
      </c>
      <c r="Q20" s="48">
        <f>'ACADEMIC SUPP 2yr'!Q20+'STU SERVICES 2yr'!Q20+'INST SUPPORT 2yr'!Q20</f>
        <v>175498.54399999999</v>
      </c>
      <c r="R20" s="48">
        <f>'ACADEMIC SUPP 2yr'!R20+'STU SERVICES 2yr'!R20+'INST SUPPORT 2yr'!R20</f>
        <v>177802.565</v>
      </c>
      <c r="S20" s="48">
        <f>'ACADEMIC SUPP 2yr'!S20+'STU SERVICES 2yr'!S20+'INST SUPPORT 2yr'!S20</f>
        <v>187380.32399999999</v>
      </c>
      <c r="T20" s="48">
        <f>'ACADEMIC SUPP 2yr'!T20+'STU SERVICES 2yr'!T20+'INST SUPPORT 2yr'!T20</f>
        <v>212746.32500000001</v>
      </c>
      <c r="U20" s="48">
        <f>'ACADEMIC SUPP 2yr'!U20+'STU SERVICES 2yr'!U20+'INST SUPPORT 2yr'!U20</f>
        <v>242054.747</v>
      </c>
      <c r="V20" s="48">
        <f>'ACADEMIC SUPP 2yr'!V20+'STU SERVICES 2yr'!V20+'INST SUPPORT 2yr'!V20</f>
        <v>246113.70199999999</v>
      </c>
      <c r="W20" s="48">
        <f>'ACADEMIC SUPP 2yr'!W20+'STU SERVICES 2yr'!W20+'INST SUPPORT 2yr'!W20</f>
        <v>254158.264</v>
      </c>
      <c r="X20" s="48">
        <f>'ACADEMIC SUPP 2yr'!X20+'STU SERVICES 2yr'!X20+'INST SUPPORT 2yr'!X20</f>
        <v>252897.88099999999</v>
      </c>
      <c r="Y20" s="48">
        <f>'ACADEMIC SUPP 2yr'!Y20+'STU SERVICES 2yr'!Y20+'INST SUPPORT 2yr'!Y20</f>
        <v>263568.75099999999</v>
      </c>
      <c r="Z20" s="48">
        <f>'ACADEMIC SUPP 2yr'!Z20+'STU SERVICES 2yr'!Z20+'INST SUPPORT 2yr'!Z20</f>
        <v>279122.54499999998</v>
      </c>
      <c r="AA20" s="48">
        <f>'ACADEMIC SUPP 2yr'!AA20+'STU SERVICES 2yr'!AA20+'INST SUPPORT 2yr'!AA20</f>
        <v>286961.45899999997</v>
      </c>
      <c r="AB20" s="48">
        <f>'ACADEMIC SUPP 2yr'!AB20+'STU SERVICES 2yr'!AB20+'INST SUPPORT 2yr'!AB20</f>
        <v>277309.39</v>
      </c>
      <c r="AC20" s="48">
        <f>'ACADEMIC SUPP 2yr'!AC20+'STU SERVICES 2yr'!AC20+'INST SUPPORT 2yr'!AC20</f>
        <v>295479.31199999998</v>
      </c>
    </row>
    <row r="21" spans="1:29" s="11" customFormat="1">
      <c r="A21" s="1" t="s">
        <v>14</v>
      </c>
      <c r="B21" s="48">
        <f>'ACADEMIC SUPP 2yr'!B21+'STU SERVICES 2yr'!B21+'INST SUPPORT 2yr'!B21</f>
        <v>30096</v>
      </c>
      <c r="C21" s="48">
        <f>'ACADEMIC SUPP 2yr'!C21+'STU SERVICES 2yr'!C21+'INST SUPPORT 2yr'!C21</f>
        <v>34907</v>
      </c>
      <c r="D21" s="48">
        <f>'ACADEMIC SUPP 2yr'!D21+'STU SERVICES 2yr'!D21+'INST SUPPORT 2yr'!D21</f>
        <v>39113</v>
      </c>
      <c r="E21" s="48">
        <f>'ACADEMIC SUPP 2yr'!E21+'STU SERVICES 2yr'!E21+'INST SUPPORT 2yr'!E21</f>
        <v>52329.755000000005</v>
      </c>
      <c r="F21" s="48">
        <f>'ACADEMIC SUPP 2yr'!F21+'STU SERVICES 2yr'!F21+'INST SUPPORT 2yr'!F21</f>
        <v>52624.482000000004</v>
      </c>
      <c r="G21" s="48">
        <f>'ACADEMIC SUPP 2yr'!G21+'STU SERVICES 2yr'!G21+'INST SUPPORT 2yr'!G21</f>
        <v>58940.282999999996</v>
      </c>
      <c r="H21" s="48">
        <f>'ACADEMIC SUPP 2yr'!H21+'STU SERVICES 2yr'!H21+'INST SUPPORT 2yr'!H21</f>
        <v>67883.706999999995</v>
      </c>
      <c r="I21" s="48">
        <f>'ACADEMIC SUPP 2yr'!I21+'STU SERVICES 2yr'!I21+'INST SUPPORT 2yr'!I21</f>
        <v>74987.714999999997</v>
      </c>
      <c r="J21" s="48">
        <f>'ACADEMIC SUPP 2yr'!J21+'STU SERVICES 2yr'!J21+'INST SUPPORT 2yr'!J21</f>
        <v>79008.092000000004</v>
      </c>
      <c r="K21" s="48">
        <f>'ACADEMIC SUPP 2yr'!K21+'STU SERVICES 2yr'!K21+'INST SUPPORT 2yr'!K21</f>
        <v>79985.902999999991</v>
      </c>
      <c r="L21" s="48">
        <f>'ACADEMIC SUPP 2yr'!L21+'STU SERVICES 2yr'!L21+'INST SUPPORT 2yr'!L21</f>
        <v>88648.70199999999</v>
      </c>
      <c r="M21" s="48">
        <f>'ACADEMIC SUPP 2yr'!M21+'STU SERVICES 2yr'!M21+'INST SUPPORT 2yr'!M21</f>
        <v>100973.68900000001</v>
      </c>
      <c r="N21" s="48">
        <f>'ACADEMIC SUPP 2yr'!N21+'STU SERVICES 2yr'!N21+'INST SUPPORT 2yr'!N21</f>
        <v>106172.44099999999</v>
      </c>
      <c r="O21" s="48">
        <f>'ACADEMIC SUPP 2yr'!O21+'STU SERVICES 2yr'!O21+'INST SUPPORT 2yr'!O21</f>
        <v>112537.9</v>
      </c>
      <c r="P21" s="48">
        <f>'ACADEMIC SUPP 2yr'!P21+'STU SERVICES 2yr'!P21+'INST SUPPORT 2yr'!P21</f>
        <v>113522.31600000001</v>
      </c>
      <c r="Q21" s="48">
        <f>'ACADEMIC SUPP 2yr'!Q21+'STU SERVICES 2yr'!Q21+'INST SUPPORT 2yr'!Q21</f>
        <v>125877.01000000001</v>
      </c>
      <c r="R21" s="48">
        <f>'ACADEMIC SUPP 2yr'!R21+'STU SERVICES 2yr'!R21+'INST SUPPORT 2yr'!R21</f>
        <v>134307.84600000002</v>
      </c>
      <c r="S21" s="48">
        <f>'ACADEMIC SUPP 2yr'!S21+'STU SERVICES 2yr'!S21+'INST SUPPORT 2yr'!S21</f>
        <v>141172.91099999999</v>
      </c>
      <c r="T21" s="48">
        <f>'ACADEMIC SUPP 2yr'!T21+'STU SERVICES 2yr'!T21+'INST SUPPORT 2yr'!T21</f>
        <v>155172.997</v>
      </c>
      <c r="U21" s="48">
        <f>'ACADEMIC SUPP 2yr'!U21+'STU SERVICES 2yr'!U21+'INST SUPPORT 2yr'!U21</f>
        <v>171392.26199999999</v>
      </c>
      <c r="V21" s="48">
        <f>'ACADEMIC SUPP 2yr'!V21+'STU SERVICES 2yr'!V21+'INST SUPPORT 2yr'!V21</f>
        <v>184463.31599999999</v>
      </c>
      <c r="W21" s="48">
        <f>'ACADEMIC SUPP 2yr'!W21+'STU SERVICES 2yr'!W21+'INST SUPPORT 2yr'!W21</f>
        <v>202840.212</v>
      </c>
      <c r="X21" s="48">
        <f>'ACADEMIC SUPP 2yr'!X21+'STU SERVICES 2yr'!X21+'INST SUPPORT 2yr'!X21</f>
        <v>202137.04499999998</v>
      </c>
      <c r="Y21" s="48">
        <f>'ACADEMIC SUPP 2yr'!Y21+'STU SERVICES 2yr'!Y21+'INST SUPPORT 2yr'!Y21</f>
        <v>214493.13</v>
      </c>
      <c r="Z21" s="48">
        <f>'ACADEMIC SUPP 2yr'!Z21+'STU SERVICES 2yr'!Z21+'INST SUPPORT 2yr'!Z21</f>
        <v>218617.56400000001</v>
      </c>
      <c r="AA21" s="48">
        <f>'ACADEMIC SUPP 2yr'!AA21+'STU SERVICES 2yr'!AA21+'INST SUPPORT 2yr'!AA21</f>
        <v>211271.85700000002</v>
      </c>
      <c r="AB21" s="48">
        <f>'ACADEMIC SUPP 2yr'!AB21+'STU SERVICES 2yr'!AB21+'INST SUPPORT 2yr'!AB21</f>
        <v>201789.51699999999</v>
      </c>
      <c r="AC21" s="48">
        <f>'ACADEMIC SUPP 2yr'!AC21+'STU SERVICES 2yr'!AC21+'INST SUPPORT 2yr'!AC21</f>
        <v>206045.39499999999</v>
      </c>
    </row>
    <row r="22" spans="1:29">
      <c r="A22" s="1" t="s">
        <v>15</v>
      </c>
      <c r="B22" s="48">
        <f>'ACADEMIC SUPP 2yr'!B22+'STU SERVICES 2yr'!B22+'INST SUPPORT 2yr'!B22</f>
        <v>218097</v>
      </c>
      <c r="C22" s="48">
        <f>'ACADEMIC SUPP 2yr'!C22+'STU SERVICES 2yr'!C22+'INST SUPPORT 2yr'!C22</f>
        <v>235796</v>
      </c>
      <c r="D22" s="48">
        <f>'ACADEMIC SUPP 2yr'!D22+'STU SERVICES 2yr'!D22+'INST SUPPORT 2yr'!D22</f>
        <v>249530</v>
      </c>
      <c r="E22" s="48">
        <f>'ACADEMIC SUPP 2yr'!E22+'STU SERVICES 2yr'!E22+'INST SUPPORT 2yr'!E22</f>
        <v>378201.58600000001</v>
      </c>
      <c r="F22" s="48">
        <f>'ACADEMIC SUPP 2yr'!F22+'STU SERVICES 2yr'!F22+'INST SUPPORT 2yr'!F22</f>
        <v>380720.99599999998</v>
      </c>
      <c r="G22" s="48">
        <f>'ACADEMIC SUPP 2yr'!G22+'STU SERVICES 2yr'!G22+'INST SUPPORT 2yr'!G22</f>
        <v>394342.05200000003</v>
      </c>
      <c r="H22" s="48">
        <f>'ACADEMIC SUPP 2yr'!H22+'STU SERVICES 2yr'!H22+'INST SUPPORT 2yr'!H22</f>
        <v>441020.12899999996</v>
      </c>
      <c r="I22" s="48">
        <f>'ACADEMIC SUPP 2yr'!I22+'STU SERVICES 2yr'!I22+'INST SUPPORT 2yr'!I22</f>
        <v>430497.75</v>
      </c>
      <c r="J22" s="48">
        <f>'ACADEMIC SUPP 2yr'!J22+'STU SERVICES 2yr'!J22+'INST SUPPORT 2yr'!J22</f>
        <v>497544.26799999998</v>
      </c>
      <c r="K22" s="48">
        <f>'ACADEMIC SUPP 2yr'!K22+'STU SERVICES 2yr'!K22+'INST SUPPORT 2yr'!K22</f>
        <v>519066.63199999998</v>
      </c>
      <c r="L22" s="48">
        <f>'ACADEMIC SUPP 2yr'!L22+'STU SERVICES 2yr'!L22+'INST SUPPORT 2yr'!L22</f>
        <v>578434.46100000001</v>
      </c>
      <c r="M22" s="48">
        <f>'ACADEMIC SUPP 2yr'!M22+'STU SERVICES 2yr'!M22+'INST SUPPORT 2yr'!M22</f>
        <v>653714.01300000004</v>
      </c>
      <c r="N22" s="48">
        <f>'ACADEMIC SUPP 2yr'!N22+'STU SERVICES 2yr'!N22+'INST SUPPORT 2yr'!N22</f>
        <v>697429.86800000002</v>
      </c>
      <c r="O22" s="48">
        <f>'ACADEMIC SUPP 2yr'!O22+'STU SERVICES 2yr'!O22+'INST SUPPORT 2yr'!O22</f>
        <v>727880.04799999995</v>
      </c>
      <c r="P22" s="48">
        <f>'ACADEMIC SUPP 2yr'!P22+'STU SERVICES 2yr'!P22+'INST SUPPORT 2yr'!P22</f>
        <v>760036.86700000009</v>
      </c>
      <c r="Q22" s="48">
        <f>'ACADEMIC SUPP 2yr'!Q22+'STU SERVICES 2yr'!Q22+'INST SUPPORT 2yr'!Q22</f>
        <v>820352.50799999991</v>
      </c>
      <c r="R22" s="48">
        <f>'ACADEMIC SUPP 2yr'!R22+'STU SERVICES 2yr'!R22+'INST SUPPORT 2yr'!R22</f>
        <v>872340.85599999991</v>
      </c>
      <c r="S22" s="48">
        <f>'ACADEMIC SUPP 2yr'!S22+'STU SERVICES 2yr'!S22+'INST SUPPORT 2yr'!S22</f>
        <v>925780.89800000004</v>
      </c>
      <c r="T22" s="48">
        <f>'ACADEMIC SUPP 2yr'!T22+'STU SERVICES 2yr'!T22+'INST SUPPORT 2yr'!T22</f>
        <v>1023364.5759999999</v>
      </c>
      <c r="U22" s="48">
        <f>'ACADEMIC SUPP 2yr'!U22+'STU SERVICES 2yr'!U22+'INST SUPPORT 2yr'!U22</f>
        <v>1158111.8130000001</v>
      </c>
      <c r="V22" s="48">
        <f>'ACADEMIC SUPP 2yr'!V22+'STU SERVICES 2yr'!V22+'INST SUPPORT 2yr'!V22</f>
        <v>1481051.193</v>
      </c>
      <c r="W22" s="48">
        <f>'ACADEMIC SUPP 2yr'!W22+'STU SERVICES 2yr'!W22+'INST SUPPORT 2yr'!W22</f>
        <v>1538869.01</v>
      </c>
      <c r="X22" s="48">
        <f>'ACADEMIC SUPP 2yr'!X22+'STU SERVICES 2yr'!X22+'INST SUPPORT 2yr'!X22</f>
        <v>1543473.5630000001</v>
      </c>
      <c r="Y22" s="48">
        <f>'ACADEMIC SUPP 2yr'!Y22+'STU SERVICES 2yr'!Y22+'INST SUPPORT 2yr'!Y22</f>
        <v>1665565.862</v>
      </c>
      <c r="Z22" s="48">
        <f>'ACADEMIC SUPP 2yr'!Z22+'STU SERVICES 2yr'!Z22+'INST SUPPORT 2yr'!Z22</f>
        <v>1731257.5299999998</v>
      </c>
      <c r="AA22" s="48">
        <f>'ACADEMIC SUPP 2yr'!AA22+'STU SERVICES 2yr'!AA22+'INST SUPPORT 2yr'!AA22</f>
        <v>1752832.202</v>
      </c>
      <c r="AB22" s="48">
        <f>'ACADEMIC SUPP 2yr'!AB22+'STU SERVICES 2yr'!AB22+'INST SUPPORT 2yr'!AB22</f>
        <v>1850230.8359999999</v>
      </c>
      <c r="AC22" s="48">
        <f>'ACADEMIC SUPP 2yr'!AC22+'STU SERVICES 2yr'!AC22+'INST SUPPORT 2yr'!AC22</f>
        <v>1951761.7510000002</v>
      </c>
    </row>
    <row r="23" spans="1:29">
      <c r="A23" s="1" t="s">
        <v>16</v>
      </c>
      <c r="B23" s="48">
        <f>'ACADEMIC SUPP 2yr'!B23+'STU SERVICES 2yr'!B23+'INST SUPPORT 2yr'!B23</f>
        <v>60875</v>
      </c>
      <c r="C23" s="48">
        <f>'ACADEMIC SUPP 2yr'!C23+'STU SERVICES 2yr'!C23+'INST SUPPORT 2yr'!C23</f>
        <v>71463</v>
      </c>
      <c r="D23" s="48">
        <f>'ACADEMIC SUPP 2yr'!D23+'STU SERVICES 2yr'!D23+'INST SUPPORT 2yr'!D23</f>
        <v>76846</v>
      </c>
      <c r="E23" s="48">
        <f>'ACADEMIC SUPP 2yr'!E23+'STU SERVICES 2yr'!E23+'INST SUPPORT 2yr'!E23</f>
        <v>98905.645000000004</v>
      </c>
      <c r="F23" s="48">
        <f>'ACADEMIC SUPP 2yr'!F23+'STU SERVICES 2yr'!F23+'INST SUPPORT 2yr'!F23</f>
        <v>100977.72500000001</v>
      </c>
      <c r="G23" s="48">
        <f>'ACADEMIC SUPP 2yr'!G23+'STU SERVICES 2yr'!G23+'INST SUPPORT 2yr'!G23</f>
        <v>104917.584</v>
      </c>
      <c r="H23" s="48">
        <f>'ACADEMIC SUPP 2yr'!H23+'STU SERVICES 2yr'!H23+'INST SUPPORT 2yr'!H23</f>
        <v>114268.59299999999</v>
      </c>
      <c r="I23" s="48">
        <f>'ACADEMIC SUPP 2yr'!I23+'STU SERVICES 2yr'!I23+'INST SUPPORT 2yr'!I23</f>
        <v>120834.84899999999</v>
      </c>
      <c r="J23" s="48">
        <f>'ACADEMIC SUPP 2yr'!J23+'STU SERVICES 2yr'!J23+'INST SUPPORT 2yr'!J23</f>
        <v>121487.93400000001</v>
      </c>
      <c r="K23" s="48">
        <f>'ACADEMIC SUPP 2yr'!K23+'STU SERVICES 2yr'!K23+'INST SUPPORT 2yr'!K23</f>
        <v>132686.56400000001</v>
      </c>
      <c r="L23" s="48">
        <f>'ACADEMIC SUPP 2yr'!L23+'STU SERVICES 2yr'!L23+'INST SUPPORT 2yr'!L23</f>
        <v>155962.30900000001</v>
      </c>
      <c r="M23" s="48">
        <f>'ACADEMIC SUPP 2yr'!M23+'STU SERVICES 2yr'!M23+'INST SUPPORT 2yr'!M23</f>
        <v>169505.34499999997</v>
      </c>
      <c r="N23" s="48">
        <f>'ACADEMIC SUPP 2yr'!N23+'STU SERVICES 2yr'!N23+'INST SUPPORT 2yr'!N23</f>
        <v>165729.26799999998</v>
      </c>
      <c r="O23" s="48">
        <f>'ACADEMIC SUPP 2yr'!O23+'STU SERVICES 2yr'!O23+'INST SUPPORT 2yr'!O23</f>
        <v>169112.505</v>
      </c>
      <c r="P23" s="48">
        <f>'ACADEMIC SUPP 2yr'!P23+'STU SERVICES 2yr'!P23+'INST SUPPORT 2yr'!P23</f>
        <v>186375.22899999999</v>
      </c>
      <c r="Q23" s="48">
        <f>'ACADEMIC SUPP 2yr'!Q23+'STU SERVICES 2yr'!Q23+'INST SUPPORT 2yr'!Q23</f>
        <v>206007.81099999999</v>
      </c>
      <c r="R23" s="48">
        <f>'ACADEMIC SUPP 2yr'!R23+'STU SERVICES 2yr'!R23+'INST SUPPORT 2yr'!R23</f>
        <v>221676.125</v>
      </c>
      <c r="S23" s="48">
        <f>'ACADEMIC SUPP 2yr'!S23+'STU SERVICES 2yr'!S23+'INST SUPPORT 2yr'!S23</f>
        <v>247599</v>
      </c>
      <c r="T23" s="48">
        <f>'ACADEMIC SUPP 2yr'!T23+'STU SERVICES 2yr'!T23+'INST SUPPORT 2yr'!T23</f>
        <v>291401.212</v>
      </c>
      <c r="U23" s="48">
        <f>'ACADEMIC SUPP 2yr'!U23+'STU SERVICES 2yr'!U23+'INST SUPPORT 2yr'!U23</f>
        <v>299255.554</v>
      </c>
      <c r="V23" s="48">
        <f>'ACADEMIC SUPP 2yr'!V23+'STU SERVICES 2yr'!V23+'INST SUPPORT 2yr'!V23</f>
        <v>318582.61300000001</v>
      </c>
      <c r="W23" s="48">
        <f>'ACADEMIC SUPP 2yr'!W23+'STU SERVICES 2yr'!W23+'INST SUPPORT 2yr'!W23</f>
        <v>352249.22</v>
      </c>
      <c r="X23" s="48">
        <f>'ACADEMIC SUPP 2yr'!X23+'STU SERVICES 2yr'!X23+'INST SUPPORT 2yr'!X23</f>
        <v>386114.50599999999</v>
      </c>
      <c r="Y23" s="48">
        <f>'ACADEMIC SUPP 2yr'!Y23+'STU SERVICES 2yr'!Y23+'INST SUPPORT 2yr'!Y23</f>
        <v>401728.011</v>
      </c>
      <c r="Z23" s="48">
        <f>'ACADEMIC SUPP 2yr'!Z23+'STU SERVICES 2yr'!Z23+'INST SUPPORT 2yr'!Z23</f>
        <v>428908.39399999997</v>
      </c>
      <c r="AA23" s="48">
        <f>'ACADEMIC SUPP 2yr'!AA23+'STU SERVICES 2yr'!AA23+'INST SUPPORT 2yr'!AA23</f>
        <v>439905.728</v>
      </c>
      <c r="AB23" s="48">
        <f>'ACADEMIC SUPP 2yr'!AB23+'STU SERVICES 2yr'!AB23+'INST SUPPORT 2yr'!AB23</f>
        <v>442314.255</v>
      </c>
      <c r="AC23" s="48">
        <f>'ACADEMIC SUPP 2yr'!AC23+'STU SERVICES 2yr'!AC23+'INST SUPPORT 2yr'!AC23</f>
        <v>433472.54700000002</v>
      </c>
    </row>
    <row r="24" spans="1:29">
      <c r="A24" s="24" t="s">
        <v>17</v>
      </c>
      <c r="B24" s="50">
        <f>'ACADEMIC SUPP 2yr'!B24+'STU SERVICES 2yr'!B24+'INST SUPPORT 2yr'!B24</f>
        <v>5270</v>
      </c>
      <c r="C24" s="50">
        <f>'ACADEMIC SUPP 2yr'!C24+'STU SERVICES 2yr'!C24+'INST SUPPORT 2yr'!C24</f>
        <v>6011</v>
      </c>
      <c r="D24" s="50">
        <f>'ACADEMIC SUPP 2yr'!D24+'STU SERVICES 2yr'!D24+'INST SUPPORT 2yr'!D24</f>
        <v>6222</v>
      </c>
      <c r="E24" s="50">
        <f>'ACADEMIC SUPP 2yr'!E24+'STU SERVICES 2yr'!E24+'INST SUPPORT 2yr'!E24</f>
        <v>6621.9459999999999</v>
      </c>
      <c r="F24" s="50">
        <f>'ACADEMIC SUPP 2yr'!F24+'STU SERVICES 2yr'!F24+'INST SUPPORT 2yr'!F24</f>
        <v>7137.5550000000003</v>
      </c>
      <c r="G24" s="50">
        <f>'ACADEMIC SUPP 2yr'!G24+'STU SERVICES 2yr'!G24+'INST SUPPORT 2yr'!G24</f>
        <v>7565</v>
      </c>
      <c r="H24" s="50">
        <f>'ACADEMIC SUPP 2yr'!H24+'STU SERVICES 2yr'!H24+'INST SUPPORT 2yr'!H24</f>
        <v>8775.8950000000004</v>
      </c>
      <c r="I24" s="50">
        <f>'ACADEMIC SUPP 2yr'!I24+'STU SERVICES 2yr'!I24+'INST SUPPORT 2yr'!I24</f>
        <v>9775.219000000001</v>
      </c>
      <c r="J24" s="50">
        <f>'ACADEMIC SUPP 2yr'!J24+'STU SERVICES 2yr'!J24+'INST SUPPORT 2yr'!J24</f>
        <v>10549.071</v>
      </c>
      <c r="K24" s="50">
        <f>'ACADEMIC SUPP 2yr'!K24+'STU SERVICES 2yr'!K24+'INST SUPPORT 2yr'!K24</f>
        <v>10628.468179999993</v>
      </c>
      <c r="L24" s="50">
        <f>'ACADEMIC SUPP 2yr'!L24+'STU SERVICES 2yr'!L24+'INST SUPPORT 2yr'!L24</f>
        <v>11464.856</v>
      </c>
      <c r="M24" s="50">
        <f>'ACADEMIC SUPP 2yr'!M24+'STU SERVICES 2yr'!M24+'INST SUPPORT 2yr'!M24</f>
        <v>13840.212</v>
      </c>
      <c r="N24" s="50">
        <f>'ACADEMIC SUPP 2yr'!N24+'STU SERVICES 2yr'!N24+'INST SUPPORT 2yr'!N24</f>
        <v>10758.918</v>
      </c>
      <c r="O24" s="50">
        <f>'ACADEMIC SUPP 2yr'!O24+'STU SERVICES 2yr'!O24+'INST SUPPORT 2yr'!O24</f>
        <v>15073.025</v>
      </c>
      <c r="P24" s="50">
        <f>'ACADEMIC SUPP 2yr'!P24+'STU SERVICES 2yr'!P24+'INST SUPPORT 2yr'!P24</f>
        <v>11211.083999999999</v>
      </c>
      <c r="Q24" s="50">
        <f>'ACADEMIC SUPP 2yr'!Q24+'STU SERVICES 2yr'!Q24+'INST SUPPORT 2yr'!Q24</f>
        <v>26543.374</v>
      </c>
      <c r="R24" s="50">
        <f>'ACADEMIC SUPP 2yr'!R24+'STU SERVICES 2yr'!R24+'INST SUPPORT 2yr'!R24</f>
        <v>22416.698</v>
      </c>
      <c r="S24" s="50">
        <f>'ACADEMIC SUPP 2yr'!S24+'STU SERVICES 2yr'!S24+'INST SUPPORT 2yr'!S24</f>
        <v>27817.809000000001</v>
      </c>
      <c r="T24" s="50">
        <f>'ACADEMIC SUPP 2yr'!T24+'STU SERVICES 2yr'!T24+'INST SUPPORT 2yr'!T24</f>
        <v>29092.025000000001</v>
      </c>
      <c r="U24" s="50">
        <f>'ACADEMIC SUPP 2yr'!U24+'STU SERVICES 2yr'!U24+'INST SUPPORT 2yr'!U24</f>
        <v>34182.18</v>
      </c>
      <c r="V24" s="50">
        <f>'ACADEMIC SUPP 2yr'!V24+'STU SERVICES 2yr'!V24+'INST SUPPORT 2yr'!V24</f>
        <v>54129.369000000006</v>
      </c>
      <c r="W24" s="50">
        <f>'ACADEMIC SUPP 2yr'!W24+'STU SERVICES 2yr'!W24+'INST SUPPORT 2yr'!W24</f>
        <v>58781.717000000004</v>
      </c>
      <c r="X24" s="50">
        <f>'ACADEMIC SUPP 2yr'!X24+'STU SERVICES 2yr'!X24+'INST SUPPORT 2yr'!X24</f>
        <v>60462.646000000001</v>
      </c>
      <c r="Y24" s="50">
        <f>'ACADEMIC SUPP 2yr'!Y24+'STU SERVICES 2yr'!Y24+'INST SUPPORT 2yr'!Y24</f>
        <v>58759.879000000001</v>
      </c>
      <c r="Z24" s="50">
        <f>'ACADEMIC SUPP 2yr'!Z24+'STU SERVICES 2yr'!Z24+'INST SUPPORT 2yr'!Z24</f>
        <v>58207.549999999996</v>
      </c>
      <c r="AA24" s="50">
        <f>'ACADEMIC SUPP 2yr'!AA24+'STU SERVICES 2yr'!AA24+'INST SUPPORT 2yr'!AA24</f>
        <v>56209.148000000001</v>
      </c>
      <c r="AB24" s="50">
        <f>'ACADEMIC SUPP 2yr'!AB24+'STU SERVICES 2yr'!AB24+'INST SUPPORT 2yr'!AB24</f>
        <v>54119.421000000002</v>
      </c>
      <c r="AC24" s="50">
        <f>'ACADEMIC SUPP 2yr'!AC24+'STU SERVICES 2yr'!AC24+'INST SUPPORT 2yr'!AC24</f>
        <v>53205.668999999994</v>
      </c>
    </row>
    <row r="25" spans="1:29">
      <c r="A25" s="7" t="s">
        <v>120</v>
      </c>
      <c r="B25" s="48">
        <f>'ACADEMIC SUPP 2yr'!B25+'STU SERVICES 2yr'!B25+'INST SUPPORT 2yr'!B25</f>
        <v>0</v>
      </c>
      <c r="C25" s="48">
        <f>'ACADEMIC SUPP 2yr'!C25+'STU SERVICES 2yr'!C25+'INST SUPPORT 2yr'!C25</f>
        <v>0</v>
      </c>
      <c r="D25" s="48">
        <f>'ACADEMIC SUPP 2yr'!D25+'STU SERVICES 2yr'!D25+'INST SUPPORT 2yr'!D25</f>
        <v>0</v>
      </c>
      <c r="E25" s="48">
        <f>'ACADEMIC SUPP 2yr'!E25+'STU SERVICES 2yr'!E25+'INST SUPPORT 2yr'!E25</f>
        <v>0</v>
      </c>
      <c r="F25" s="48">
        <f>'ACADEMIC SUPP 2yr'!F25+'STU SERVICES 2yr'!F25+'INST SUPPORT 2yr'!F25</f>
        <v>1627812.1</v>
      </c>
      <c r="G25" s="48">
        <f>'ACADEMIC SUPP 2yr'!G25+'STU SERVICES 2yr'!G25+'INST SUPPORT 2yr'!G25</f>
        <v>0</v>
      </c>
      <c r="H25" s="48">
        <f>'ACADEMIC SUPP 2yr'!H25+'STU SERVICES 2yr'!H25+'INST SUPPORT 2yr'!H25</f>
        <v>0</v>
      </c>
      <c r="I25" s="48">
        <f>'ACADEMIC SUPP 2yr'!I25+'STU SERVICES 2yr'!I25+'INST SUPPORT 2yr'!I25</f>
        <v>1829733.6939999997</v>
      </c>
      <c r="J25" s="48">
        <f>'ACADEMIC SUPP 2yr'!J25+'STU SERVICES 2yr'!J25+'INST SUPPORT 2yr'!J25</f>
        <v>0</v>
      </c>
      <c r="K25" s="48">
        <f>'ACADEMIC SUPP 2yr'!K25+'STU SERVICES 2yr'!K25+'INST SUPPORT 2yr'!K25</f>
        <v>2426629.8560600001</v>
      </c>
      <c r="L25" s="48">
        <f>'ACADEMIC SUPP 2yr'!L25+'STU SERVICES 2yr'!L25+'INST SUPPORT 2yr'!L25</f>
        <v>2447697.679</v>
      </c>
      <c r="M25" s="48">
        <f>'ACADEMIC SUPP 2yr'!M25+'STU SERVICES 2yr'!M25+'INST SUPPORT 2yr'!M25</f>
        <v>2661769.5329999998</v>
      </c>
      <c r="N25" s="48">
        <f>'ACADEMIC SUPP 2yr'!N25+'STU SERVICES 2yr'!N25+'INST SUPPORT 2yr'!N25</f>
        <v>2735984.8480000002</v>
      </c>
      <c r="O25" s="48">
        <f>'ACADEMIC SUPP 2yr'!O25+'STU SERVICES 2yr'!O25+'INST SUPPORT 2yr'!O25</f>
        <v>2725507.6229999997</v>
      </c>
      <c r="P25" s="48">
        <f>'ACADEMIC SUPP 2yr'!P25+'STU SERVICES 2yr'!P25+'INST SUPPORT 2yr'!P25</f>
        <v>2700297.8880000003</v>
      </c>
      <c r="Q25" s="48">
        <f>'ACADEMIC SUPP 2yr'!Q25+'STU SERVICES 2yr'!Q25+'INST SUPPORT 2yr'!Q25</f>
        <v>3360018.5200000005</v>
      </c>
      <c r="R25" s="48">
        <f>'ACADEMIC SUPP 2yr'!R25+'STU SERVICES 2yr'!R25+'INST SUPPORT 2yr'!R25</f>
        <v>3591274.1220000004</v>
      </c>
      <c r="S25" s="48">
        <f>'ACADEMIC SUPP 2yr'!S25+'STU SERVICES 2yr'!S25+'INST SUPPORT 2yr'!S25</f>
        <v>3847289.8610000005</v>
      </c>
      <c r="T25" s="48">
        <f>'ACADEMIC SUPP 2yr'!T25+'STU SERVICES 2yr'!T25+'INST SUPPORT 2yr'!T25</f>
        <v>4324412.2630000003</v>
      </c>
      <c r="U25" s="48">
        <f>'ACADEMIC SUPP 2yr'!U25+'STU SERVICES 2yr'!U25+'INST SUPPORT 2yr'!U25</f>
        <v>4658324.3789999997</v>
      </c>
      <c r="V25" s="48">
        <f>'ACADEMIC SUPP 2yr'!V25+'STU SERVICES 2yr'!V25+'INST SUPPORT 2yr'!V25</f>
        <v>5163229.4019999998</v>
      </c>
      <c r="W25" s="48">
        <f>'ACADEMIC SUPP 2yr'!W25+'STU SERVICES 2yr'!W25+'INST SUPPORT 2yr'!W25</f>
        <v>5370953.6179999998</v>
      </c>
      <c r="X25" s="48">
        <f>'ACADEMIC SUPP 2yr'!X25+'STU SERVICES 2yr'!X25+'INST SUPPORT 2yr'!X25</f>
        <v>5400676.3619999997</v>
      </c>
      <c r="Y25" s="48">
        <f>'ACADEMIC SUPP 2yr'!Y25+'STU SERVICES 2yr'!Y25+'INST SUPPORT 2yr'!Y25</f>
        <v>3969323.7350000003</v>
      </c>
      <c r="Z25" s="48">
        <f>'ACADEMIC SUPP 2yr'!Z25+'STU SERVICES 2yr'!Z25+'INST SUPPORT 2yr'!Z25</f>
        <v>4174391.3930000002</v>
      </c>
      <c r="AA25" s="48">
        <f>'ACADEMIC SUPP 2yr'!AA25+'STU SERVICES 2yr'!AA25+'INST SUPPORT 2yr'!AA25</f>
        <v>4326771.8629999999</v>
      </c>
      <c r="AB25" s="48">
        <f>'ACADEMIC SUPP 2yr'!AB25+'STU SERVICES 2yr'!AB25+'INST SUPPORT 2yr'!AB25</f>
        <v>6358523.7280000001</v>
      </c>
      <c r="AC25" s="48">
        <f>'ACADEMIC SUPP 2yr'!AC25+'STU SERVICES 2yr'!AC25+'INST SUPPORT 2yr'!AC25</f>
        <v>6770898.6469999999</v>
      </c>
    </row>
    <row r="26" spans="1:29">
      <c r="A26" s="7" t="s">
        <v>119</v>
      </c>
      <c r="B26" s="48">
        <f>'ACADEMIC SUPP 2yr'!B26+'STU SERVICES 2yr'!B26+'INST SUPPORT 2yr'!B26</f>
        <v>0</v>
      </c>
      <c r="C26" s="48">
        <f>'ACADEMIC SUPP 2yr'!C26+'STU SERVICES 2yr'!C26+'INST SUPPORT 2yr'!C26</f>
        <v>0</v>
      </c>
      <c r="D26" s="48">
        <f>'ACADEMIC SUPP 2yr'!D26+'STU SERVICES 2yr'!D26+'INST SUPPORT 2yr'!D26</f>
        <v>0</v>
      </c>
      <c r="E26" s="48">
        <f>'ACADEMIC SUPP 2yr'!E26+'STU SERVICES 2yr'!E26+'INST SUPPORT 2yr'!E26</f>
        <v>0</v>
      </c>
      <c r="F26" s="48">
        <f>'ACADEMIC SUPP 2yr'!F26+'STU SERVICES 2yr'!F26+'INST SUPPORT 2yr'!F26</f>
        <v>0</v>
      </c>
      <c r="G26" s="48">
        <f>'ACADEMIC SUPP 2yr'!G26+'STU SERVICES 2yr'!G26+'INST SUPPORT 2yr'!G26</f>
        <v>0</v>
      </c>
      <c r="H26" s="48">
        <f>'ACADEMIC SUPP 2yr'!H26+'STU SERVICES 2yr'!H26+'INST SUPPORT 2yr'!H26</f>
        <v>0</v>
      </c>
      <c r="I26" s="48">
        <f>'ACADEMIC SUPP 2yr'!I26+'STU SERVICES 2yr'!I26+'INST SUPPORT 2yr'!I26</f>
        <v>0</v>
      </c>
      <c r="J26" s="48">
        <f>'ACADEMIC SUPP 2yr'!J26+'STU SERVICES 2yr'!J26+'INST SUPPORT 2yr'!J26</f>
        <v>0</v>
      </c>
      <c r="K26" s="48">
        <f>'ACADEMIC SUPP 2yr'!K26+'STU SERVICES 2yr'!K26+'INST SUPPORT 2yr'!K26</f>
        <v>0</v>
      </c>
      <c r="L26" s="48">
        <f>'ACADEMIC SUPP 2yr'!L26+'STU SERVICES 2yr'!L26+'INST SUPPORT 2yr'!L26</f>
        <v>0</v>
      </c>
      <c r="M26" s="48">
        <f>'ACADEMIC SUPP 2yr'!M26+'STU SERVICES 2yr'!M26+'INST SUPPORT 2yr'!M26</f>
        <v>0</v>
      </c>
      <c r="N26" s="48">
        <f>'ACADEMIC SUPP 2yr'!N26+'STU SERVICES 2yr'!N26+'INST SUPPORT 2yr'!N26</f>
        <v>0</v>
      </c>
      <c r="O26" s="48">
        <f>'ACADEMIC SUPP 2yr'!O26+'STU SERVICES 2yr'!O26+'INST SUPPORT 2yr'!O26</f>
        <v>0</v>
      </c>
      <c r="P26" s="48">
        <f>'ACADEMIC SUPP 2yr'!P26+'STU SERVICES 2yr'!P26+'INST SUPPORT 2yr'!P26</f>
        <v>0</v>
      </c>
      <c r="Q26" s="48">
        <f>'ACADEMIC SUPP 2yr'!Q26+'STU SERVICES 2yr'!Q26+'INST SUPPORT 2yr'!Q26</f>
        <v>0</v>
      </c>
      <c r="R26" s="48">
        <f>'ACADEMIC SUPP 2yr'!R26+'STU SERVICES 2yr'!R26+'INST SUPPORT 2yr'!R26</f>
        <v>0</v>
      </c>
      <c r="S26" s="48">
        <f>'ACADEMIC SUPP 2yr'!S26+'STU SERVICES 2yr'!S26+'INST SUPPORT 2yr'!S26</f>
        <v>0</v>
      </c>
      <c r="T26" s="48">
        <f>'ACADEMIC SUPP 2yr'!T26+'STU SERVICES 2yr'!T26+'INST SUPPORT 2yr'!T26</f>
        <v>0</v>
      </c>
      <c r="U26" s="48">
        <f>'ACADEMIC SUPP 2yr'!U26+'STU SERVICES 2yr'!U26+'INST SUPPORT 2yr'!U26</f>
        <v>0</v>
      </c>
      <c r="V26" s="48">
        <f>'ACADEMIC SUPP 2yr'!V26+'STU SERVICES 2yr'!V26+'INST SUPPORT 2yr'!V26</f>
        <v>0</v>
      </c>
      <c r="W26" s="48">
        <f>'ACADEMIC SUPP 2yr'!W26+'STU SERVICES 2yr'!W26+'INST SUPPORT 2yr'!W26</f>
        <v>0</v>
      </c>
      <c r="X26" s="48">
        <f>'ACADEMIC SUPP 2yr'!X26+'STU SERVICES 2yr'!X26+'INST SUPPORT 2yr'!X26</f>
        <v>0</v>
      </c>
      <c r="Y26" s="48">
        <f>'ACADEMIC SUPP 2yr'!Y26+'STU SERVICES 2yr'!Y26+'INST SUPPORT 2yr'!Y26</f>
        <v>0</v>
      </c>
      <c r="Z26" s="48">
        <f>'ACADEMIC SUPP 2yr'!Z26+'STU SERVICES 2yr'!Z26+'INST SUPPORT 2yr'!Z26</f>
        <v>0</v>
      </c>
      <c r="AA26" s="48">
        <f>'ACADEMIC SUPP 2yr'!AA26+'STU SERVICES 2yr'!AA26+'INST SUPPORT 2yr'!AA26</f>
        <v>0</v>
      </c>
      <c r="AB26" s="48">
        <f>'ACADEMIC SUPP 2yr'!AB26+'STU SERVICES 2yr'!AB26+'INST SUPPORT 2yr'!AB26</f>
        <v>0</v>
      </c>
      <c r="AC26" s="48">
        <f>'ACADEMIC SUPP 2yr'!AC26+'STU SERVICES 2yr'!AC26+'INST SUPPORT 2yr'!AC26</f>
        <v>0</v>
      </c>
    </row>
    <row r="27" spans="1:29">
      <c r="A27" s="1" t="s">
        <v>85</v>
      </c>
      <c r="B27" s="48">
        <f>'ACADEMIC SUPP 2yr'!B27+'STU SERVICES 2yr'!B27+'INST SUPPORT 2yr'!B27</f>
        <v>0</v>
      </c>
      <c r="C27" s="48">
        <f>'ACADEMIC SUPP 2yr'!C27+'STU SERVICES 2yr'!C27+'INST SUPPORT 2yr'!C27</f>
        <v>0</v>
      </c>
      <c r="D27" s="48">
        <f>'ACADEMIC SUPP 2yr'!D27+'STU SERVICES 2yr'!D27+'INST SUPPORT 2yr'!D27</f>
        <v>0</v>
      </c>
      <c r="E27" s="48">
        <f>'ACADEMIC SUPP 2yr'!E27+'STU SERVICES 2yr'!E27+'INST SUPPORT 2yr'!E27</f>
        <v>0</v>
      </c>
      <c r="F27" s="48">
        <f>'ACADEMIC SUPP 2yr'!F27+'STU SERVICES 2yr'!F27+'INST SUPPORT 2yr'!F27</f>
        <v>938.26300000000003</v>
      </c>
      <c r="G27" s="48">
        <f>'ACADEMIC SUPP 2yr'!G27+'STU SERVICES 2yr'!G27+'INST SUPPORT 2yr'!G27</f>
        <v>0</v>
      </c>
      <c r="H27" s="48">
        <f>'ACADEMIC SUPP 2yr'!H27+'STU SERVICES 2yr'!H27+'INST SUPPORT 2yr'!H27</f>
        <v>0</v>
      </c>
      <c r="I27" s="48">
        <f>'ACADEMIC SUPP 2yr'!I27+'STU SERVICES 2yr'!I27+'INST SUPPORT 2yr'!I27</f>
        <v>899.18899999999996</v>
      </c>
      <c r="J27" s="48">
        <f>'ACADEMIC SUPP 2yr'!J27+'STU SERVICES 2yr'!J27+'INST SUPPORT 2yr'!J27</f>
        <v>0</v>
      </c>
      <c r="K27" s="48">
        <f>'ACADEMIC SUPP 2yr'!K27+'STU SERVICES 2yr'!K27+'INST SUPPORT 2yr'!K27</f>
        <v>791.50800000000004</v>
      </c>
      <c r="L27" s="48">
        <f>'ACADEMIC SUPP 2yr'!L27+'STU SERVICES 2yr'!L27+'INST SUPPORT 2yr'!L27</f>
        <v>6445.1980000000003</v>
      </c>
      <c r="M27" s="48">
        <f>'ACADEMIC SUPP 2yr'!M27+'STU SERVICES 2yr'!M27+'INST SUPPORT 2yr'!M27</f>
        <v>993.62200000000007</v>
      </c>
      <c r="N27" s="48">
        <f>'ACADEMIC SUPP 2yr'!N27+'STU SERVICES 2yr'!N27+'INST SUPPORT 2yr'!N27</f>
        <v>6053.9169999999995</v>
      </c>
      <c r="O27" s="48">
        <f>'ACADEMIC SUPP 2yr'!O27+'STU SERVICES 2yr'!O27+'INST SUPPORT 2yr'!O27</f>
        <v>6472.3710000000001</v>
      </c>
      <c r="P27" s="48">
        <f>'ACADEMIC SUPP 2yr'!P27+'STU SERVICES 2yr'!P27+'INST SUPPORT 2yr'!P27</f>
        <v>6083.3240000000005</v>
      </c>
      <c r="Q27" s="48">
        <f>'ACADEMIC SUPP 2yr'!Q27+'STU SERVICES 2yr'!Q27+'INST SUPPORT 2yr'!Q27</f>
        <v>1039.6489999999999</v>
      </c>
      <c r="R27" s="48">
        <f>'ACADEMIC SUPP 2yr'!R27+'STU SERVICES 2yr'!R27+'INST SUPPORT 2yr'!R27</f>
        <v>5865.299</v>
      </c>
      <c r="S27" s="48">
        <f>'ACADEMIC SUPP 2yr'!S27+'STU SERVICES 2yr'!S27+'INST SUPPORT 2yr'!S27</f>
        <v>6338.4949999999999</v>
      </c>
      <c r="T27" s="48">
        <f>'ACADEMIC SUPP 2yr'!T27+'STU SERVICES 2yr'!T27+'INST SUPPORT 2yr'!T27</f>
        <v>6861.768</v>
      </c>
      <c r="U27" s="48">
        <f>'ACADEMIC SUPP 2yr'!U27+'STU SERVICES 2yr'!U27+'INST SUPPORT 2yr'!U27</f>
        <v>8423.8559999999998</v>
      </c>
      <c r="V27" s="48">
        <f>'ACADEMIC SUPP 2yr'!V27+'STU SERVICES 2yr'!V27+'INST SUPPORT 2yr'!V27</f>
        <v>9305.25</v>
      </c>
      <c r="W27" s="48">
        <f>'ACADEMIC SUPP 2yr'!W27+'STU SERVICES 2yr'!W27+'INST SUPPORT 2yr'!W27</f>
        <v>2877.846</v>
      </c>
      <c r="X27" s="48">
        <f>'ACADEMIC SUPP 2yr'!X27+'STU SERVICES 2yr'!X27+'INST SUPPORT 2yr'!X27</f>
        <v>10052.214</v>
      </c>
      <c r="Y27" s="48">
        <f>'ACADEMIC SUPP 2yr'!Y27+'STU SERVICES 2yr'!Y27+'INST SUPPORT 2yr'!Y27</f>
        <v>3125.473</v>
      </c>
      <c r="Z27" s="48">
        <f>'ACADEMIC SUPP 2yr'!Z27+'STU SERVICES 2yr'!Z27+'INST SUPPORT 2yr'!Z27</f>
        <v>0</v>
      </c>
      <c r="AA27" s="48">
        <f>'ACADEMIC SUPP 2yr'!AA27+'STU SERVICES 2yr'!AA27+'INST SUPPORT 2yr'!AA27</f>
        <v>0</v>
      </c>
      <c r="AB27" s="48">
        <f>'ACADEMIC SUPP 2yr'!AB27+'STU SERVICES 2yr'!AB27+'INST SUPPORT 2yr'!AB27</f>
        <v>9541.4750000000004</v>
      </c>
      <c r="AC27" s="48">
        <f>'ACADEMIC SUPP 2yr'!AC27+'STU SERVICES 2yr'!AC27+'INST SUPPORT 2yr'!AC27</f>
        <v>10670.055</v>
      </c>
    </row>
    <row r="28" spans="1:29">
      <c r="A28" s="1" t="s">
        <v>86</v>
      </c>
      <c r="B28" s="48">
        <f>'ACADEMIC SUPP 2yr'!B28+'STU SERVICES 2yr'!B28+'INST SUPPORT 2yr'!B28</f>
        <v>0</v>
      </c>
      <c r="C28" s="48">
        <f>'ACADEMIC SUPP 2yr'!C28+'STU SERVICES 2yr'!C28+'INST SUPPORT 2yr'!C28</f>
        <v>0</v>
      </c>
      <c r="D28" s="48">
        <f>'ACADEMIC SUPP 2yr'!D28+'STU SERVICES 2yr'!D28+'INST SUPPORT 2yr'!D28</f>
        <v>0</v>
      </c>
      <c r="E28" s="48">
        <f>'ACADEMIC SUPP 2yr'!E28+'STU SERVICES 2yr'!E28+'INST SUPPORT 2yr'!E28</f>
        <v>0</v>
      </c>
      <c r="F28" s="48">
        <f>'ACADEMIC SUPP 2yr'!F28+'STU SERVICES 2yr'!F28+'INST SUPPORT 2yr'!F28</f>
        <v>110914.788</v>
      </c>
      <c r="G28" s="48">
        <f>'ACADEMIC SUPP 2yr'!G28+'STU SERVICES 2yr'!G28+'INST SUPPORT 2yr'!G28</f>
        <v>0</v>
      </c>
      <c r="H28" s="48">
        <f>'ACADEMIC SUPP 2yr'!H28+'STU SERVICES 2yr'!H28+'INST SUPPORT 2yr'!H28</f>
        <v>0</v>
      </c>
      <c r="I28" s="48">
        <f>'ACADEMIC SUPP 2yr'!I28+'STU SERVICES 2yr'!I28+'INST SUPPORT 2yr'!I28</f>
        <v>127907.21600000001</v>
      </c>
      <c r="J28" s="48">
        <f>'ACADEMIC SUPP 2yr'!J28+'STU SERVICES 2yr'!J28+'INST SUPPORT 2yr'!J28</f>
        <v>0</v>
      </c>
      <c r="K28" s="48">
        <f>'ACADEMIC SUPP 2yr'!K28+'STU SERVICES 2yr'!K28+'INST SUPPORT 2yr'!K28</f>
        <v>177736.54728999999</v>
      </c>
      <c r="L28" s="48">
        <f>'ACADEMIC SUPP 2yr'!L28+'STU SERVICES 2yr'!L28+'INST SUPPORT 2yr'!L28</f>
        <v>191827.12199999997</v>
      </c>
      <c r="M28" s="48">
        <f>'ACADEMIC SUPP 2yr'!M28+'STU SERVICES 2yr'!M28+'INST SUPPORT 2yr'!M28</f>
        <v>206980.935</v>
      </c>
      <c r="N28" s="48">
        <f>'ACADEMIC SUPP 2yr'!N28+'STU SERVICES 2yr'!N28+'INST SUPPORT 2yr'!N28</f>
        <v>227726.34</v>
      </c>
      <c r="O28" s="48">
        <f>'ACADEMIC SUPP 2yr'!O28+'STU SERVICES 2yr'!O28+'INST SUPPORT 2yr'!O28</f>
        <v>238672.06799999997</v>
      </c>
      <c r="P28" s="48">
        <f>'ACADEMIC SUPP 2yr'!P28+'STU SERVICES 2yr'!P28+'INST SUPPORT 2yr'!P28</f>
        <v>262014.37300000002</v>
      </c>
      <c r="Q28" s="48">
        <f>'ACADEMIC SUPP 2yr'!Q28+'STU SERVICES 2yr'!Q28+'INST SUPPORT 2yr'!Q28</f>
        <v>279316.49400000001</v>
      </c>
      <c r="R28" s="48">
        <f>'ACADEMIC SUPP 2yr'!R28+'STU SERVICES 2yr'!R28+'INST SUPPORT 2yr'!R28</f>
        <v>305597.90399999998</v>
      </c>
      <c r="S28" s="48">
        <f>'ACADEMIC SUPP 2yr'!S28+'STU SERVICES 2yr'!S28+'INST SUPPORT 2yr'!S28</f>
        <v>330464.78099999996</v>
      </c>
      <c r="T28" s="48">
        <f>'ACADEMIC SUPP 2yr'!T28+'STU SERVICES 2yr'!T28+'INST SUPPORT 2yr'!T28</f>
        <v>380857.234</v>
      </c>
      <c r="U28" s="48">
        <f>'ACADEMIC SUPP 2yr'!U28+'STU SERVICES 2yr'!U28+'INST SUPPORT 2yr'!U28</f>
        <v>408755.40100000001</v>
      </c>
      <c r="V28" s="48">
        <f>'ACADEMIC SUPP 2yr'!V28+'STU SERVICES 2yr'!V28+'INST SUPPORT 2yr'!V28</f>
        <v>457308.72600000002</v>
      </c>
      <c r="W28" s="48">
        <f>'ACADEMIC SUPP 2yr'!W28+'STU SERVICES 2yr'!W28+'INST SUPPORT 2yr'!W28</f>
        <v>450516.54000000004</v>
      </c>
      <c r="X28" s="48">
        <f>'ACADEMIC SUPP 2yr'!X28+'STU SERVICES 2yr'!X28+'INST SUPPORT 2yr'!X28</f>
        <v>476891.88899999997</v>
      </c>
      <c r="Y28" s="48">
        <f>'ACADEMIC SUPP 2yr'!Y28+'STU SERVICES 2yr'!Y28+'INST SUPPORT 2yr'!Y28</f>
        <v>118251.595</v>
      </c>
      <c r="Z28" s="48">
        <f>'ACADEMIC SUPP 2yr'!Z28+'STU SERVICES 2yr'!Z28+'INST SUPPORT 2yr'!Z28</f>
        <v>121606.463</v>
      </c>
      <c r="AA28" s="48">
        <f>'ACADEMIC SUPP 2yr'!AA28+'STU SERVICES 2yr'!AA28+'INST SUPPORT 2yr'!AA28</f>
        <v>118740.395</v>
      </c>
      <c r="AB28" s="48">
        <f>'ACADEMIC SUPP 2yr'!AB28+'STU SERVICES 2yr'!AB28+'INST SUPPORT 2yr'!AB28</f>
        <v>511094.94500000001</v>
      </c>
      <c r="AC28" s="48">
        <f>'ACADEMIC SUPP 2yr'!AC28+'STU SERVICES 2yr'!AC28+'INST SUPPORT 2yr'!AC28</f>
        <v>503814.11600000004</v>
      </c>
    </row>
    <row r="29" spans="1:29">
      <c r="A29" s="1" t="s">
        <v>87</v>
      </c>
      <c r="B29" s="48">
        <f>'ACADEMIC SUPP 2yr'!B29+'STU SERVICES 2yr'!B29+'INST SUPPORT 2yr'!B29</f>
        <v>0</v>
      </c>
      <c r="C29" s="48">
        <f>'ACADEMIC SUPP 2yr'!C29+'STU SERVICES 2yr'!C29+'INST SUPPORT 2yr'!C29</f>
        <v>0</v>
      </c>
      <c r="D29" s="48">
        <f>'ACADEMIC SUPP 2yr'!D29+'STU SERVICES 2yr'!D29+'INST SUPPORT 2yr'!D29</f>
        <v>0</v>
      </c>
      <c r="E29" s="48">
        <f>'ACADEMIC SUPP 2yr'!E29+'STU SERVICES 2yr'!E29+'INST SUPPORT 2yr'!E29</f>
        <v>0</v>
      </c>
      <c r="F29" s="48">
        <f>'ACADEMIC SUPP 2yr'!F29+'STU SERVICES 2yr'!F29+'INST SUPPORT 2yr'!F29</f>
        <v>1026721.047</v>
      </c>
      <c r="G29" s="48">
        <f>'ACADEMIC SUPP 2yr'!G29+'STU SERVICES 2yr'!G29+'INST SUPPORT 2yr'!G29</f>
        <v>0</v>
      </c>
      <c r="H29" s="48">
        <f>'ACADEMIC SUPP 2yr'!H29+'STU SERVICES 2yr'!H29+'INST SUPPORT 2yr'!H29</f>
        <v>0</v>
      </c>
      <c r="I29" s="48">
        <f>'ACADEMIC SUPP 2yr'!I29+'STU SERVICES 2yr'!I29+'INST SUPPORT 2yr'!I29</f>
        <v>1103531.2779999999</v>
      </c>
      <c r="J29" s="48">
        <f>'ACADEMIC SUPP 2yr'!J29+'STU SERVICES 2yr'!J29+'INST SUPPORT 2yr'!J29</f>
        <v>0</v>
      </c>
      <c r="K29" s="48">
        <f>'ACADEMIC SUPP 2yr'!K29+'STU SERVICES 2yr'!K29+'INST SUPPORT 2yr'!K29</f>
        <v>1518681.4906600001</v>
      </c>
      <c r="L29" s="48">
        <f>'ACADEMIC SUPP 2yr'!L29+'STU SERVICES 2yr'!L29+'INST SUPPORT 2yr'!L29</f>
        <v>1408656.8429999999</v>
      </c>
      <c r="M29" s="48">
        <f>'ACADEMIC SUPP 2yr'!M29+'STU SERVICES 2yr'!M29+'INST SUPPORT 2yr'!M29</f>
        <v>1543726.2850000001</v>
      </c>
      <c r="N29" s="48">
        <f>'ACADEMIC SUPP 2yr'!N29+'STU SERVICES 2yr'!N29+'INST SUPPORT 2yr'!N29</f>
        <v>1541605.183</v>
      </c>
      <c r="O29" s="48">
        <f>'ACADEMIC SUPP 2yr'!O29+'STU SERVICES 2yr'!O29+'INST SUPPORT 2yr'!O29</f>
        <v>1475614.219</v>
      </c>
      <c r="P29" s="48">
        <f>'ACADEMIC SUPP 2yr'!P29+'STU SERVICES 2yr'!P29+'INST SUPPORT 2yr'!P29</f>
        <v>1457470.2439999999</v>
      </c>
      <c r="Q29" s="48">
        <f>'ACADEMIC SUPP 2yr'!Q29+'STU SERVICES 2yr'!Q29+'INST SUPPORT 2yr'!Q29</f>
        <v>2054696.534</v>
      </c>
      <c r="R29" s="48">
        <f>'ACADEMIC SUPP 2yr'!R29+'STU SERVICES 2yr'!R29+'INST SUPPORT 2yr'!R29</f>
        <v>2189498</v>
      </c>
      <c r="S29" s="48">
        <f>'ACADEMIC SUPP 2yr'!S29+'STU SERVICES 2yr'!S29+'INST SUPPORT 2yr'!S29</f>
        <v>2425306.588</v>
      </c>
      <c r="T29" s="48">
        <f>'ACADEMIC SUPP 2yr'!T29+'STU SERVICES 2yr'!T29+'INST SUPPORT 2yr'!T29</f>
        <v>2718573.7250000001</v>
      </c>
      <c r="U29" s="48">
        <f>'ACADEMIC SUPP 2yr'!U29+'STU SERVICES 2yr'!U29+'INST SUPPORT 2yr'!U29</f>
        <v>2793860</v>
      </c>
      <c r="V29" s="48">
        <f>'ACADEMIC SUPP 2yr'!V29+'STU SERVICES 2yr'!V29+'INST SUPPORT 2yr'!V29</f>
        <v>3093409.247</v>
      </c>
      <c r="W29" s="48">
        <f>'ACADEMIC SUPP 2yr'!W29+'STU SERVICES 2yr'!W29+'INST SUPPORT 2yr'!W29</f>
        <v>3246151.2699999996</v>
      </c>
      <c r="X29" s="48">
        <f>'ACADEMIC SUPP 2yr'!X29+'STU SERVICES 2yr'!X29+'INST SUPPORT 2yr'!X29</f>
        <v>3205697.7590000001</v>
      </c>
      <c r="Y29" s="48">
        <f>'ACADEMIC SUPP 2yr'!Y29+'STU SERVICES 2yr'!Y29+'INST SUPPORT 2yr'!Y29</f>
        <v>2369578.747</v>
      </c>
      <c r="Z29" s="48">
        <f>'ACADEMIC SUPP 2yr'!Z29+'STU SERVICES 2yr'!Z29+'INST SUPPORT 2yr'!Z29</f>
        <v>2456642.3489999999</v>
      </c>
      <c r="AA29" s="48">
        <f>'ACADEMIC SUPP 2yr'!AA29+'STU SERVICES 2yr'!AA29+'INST SUPPORT 2yr'!AA29</f>
        <v>2589255.1109999996</v>
      </c>
      <c r="AB29" s="48">
        <f>'ACADEMIC SUPP 2yr'!AB29+'STU SERVICES 2yr'!AB29+'INST SUPPORT 2yr'!AB29</f>
        <v>3829100.2620000001</v>
      </c>
      <c r="AC29" s="48">
        <f>'ACADEMIC SUPP 2yr'!AC29+'STU SERVICES 2yr'!AC29+'INST SUPPORT 2yr'!AC29</f>
        <v>4159553.298</v>
      </c>
    </row>
    <row r="30" spans="1:29">
      <c r="A30" s="1" t="s">
        <v>88</v>
      </c>
      <c r="B30" s="48">
        <f>'ACADEMIC SUPP 2yr'!B30+'STU SERVICES 2yr'!B30+'INST SUPPORT 2yr'!B30</f>
        <v>0</v>
      </c>
      <c r="C30" s="48">
        <f>'ACADEMIC SUPP 2yr'!C30+'STU SERVICES 2yr'!C30+'INST SUPPORT 2yr'!C30</f>
        <v>0</v>
      </c>
      <c r="D30" s="48">
        <f>'ACADEMIC SUPP 2yr'!D30+'STU SERVICES 2yr'!D30+'INST SUPPORT 2yr'!D30</f>
        <v>0</v>
      </c>
      <c r="E30" s="48">
        <f>'ACADEMIC SUPP 2yr'!E30+'STU SERVICES 2yr'!E30+'INST SUPPORT 2yr'!E30</f>
        <v>0</v>
      </c>
      <c r="F30" s="48">
        <f>'ACADEMIC SUPP 2yr'!F30+'STU SERVICES 2yr'!F30+'INST SUPPORT 2yr'!F30</f>
        <v>64598.520999999993</v>
      </c>
      <c r="G30" s="48">
        <f>'ACADEMIC SUPP 2yr'!G30+'STU SERVICES 2yr'!G30+'INST SUPPORT 2yr'!G30</f>
        <v>0</v>
      </c>
      <c r="H30" s="48">
        <f>'ACADEMIC SUPP 2yr'!H30+'STU SERVICES 2yr'!H30+'INST SUPPORT 2yr'!H30</f>
        <v>0</v>
      </c>
      <c r="I30" s="48">
        <f>'ACADEMIC SUPP 2yr'!I30+'STU SERVICES 2yr'!I30+'INST SUPPORT 2yr'!I30</f>
        <v>79317.494000000006</v>
      </c>
      <c r="J30" s="48">
        <f>'ACADEMIC SUPP 2yr'!J30+'STU SERVICES 2yr'!J30+'INST SUPPORT 2yr'!J30</f>
        <v>0</v>
      </c>
      <c r="K30" s="48">
        <f>'ACADEMIC SUPP 2yr'!K30+'STU SERVICES 2yr'!K30+'INST SUPPORT 2yr'!K30</f>
        <v>90736.394</v>
      </c>
      <c r="L30" s="48">
        <f>'ACADEMIC SUPP 2yr'!L30+'STU SERVICES 2yr'!L30+'INST SUPPORT 2yr'!L30</f>
        <v>99642.774999999994</v>
      </c>
      <c r="M30" s="48">
        <f>'ACADEMIC SUPP 2yr'!M30+'STU SERVICES 2yr'!M30+'INST SUPPORT 2yr'!M30</f>
        <v>104862.81700000001</v>
      </c>
      <c r="N30" s="48">
        <f>'ACADEMIC SUPP 2yr'!N30+'STU SERVICES 2yr'!N30+'INST SUPPORT 2yr'!N30</f>
        <v>112013.54699999999</v>
      </c>
      <c r="O30" s="48">
        <f>'ACADEMIC SUPP 2yr'!O30+'STU SERVICES 2yr'!O30+'INST SUPPORT 2yr'!O30</f>
        <v>116608.715</v>
      </c>
      <c r="P30" s="48">
        <f>'ACADEMIC SUPP 2yr'!P30+'STU SERVICES 2yr'!P30+'INST SUPPORT 2yr'!P30</f>
        <v>115485.92200000001</v>
      </c>
      <c r="Q30" s="48">
        <f>'ACADEMIC SUPP 2yr'!Q30+'STU SERVICES 2yr'!Q30+'INST SUPPORT 2yr'!Q30</f>
        <v>114755.114</v>
      </c>
      <c r="R30" s="48">
        <f>'ACADEMIC SUPP 2yr'!R30+'STU SERVICES 2yr'!R30+'INST SUPPORT 2yr'!R30</f>
        <v>119502.228</v>
      </c>
      <c r="S30" s="48">
        <f>'ACADEMIC SUPP 2yr'!S30+'STU SERVICES 2yr'!S30+'INST SUPPORT 2yr'!S30</f>
        <v>122747.432</v>
      </c>
      <c r="T30" s="48">
        <f>'ACADEMIC SUPP 2yr'!T30+'STU SERVICES 2yr'!T30+'INST SUPPORT 2yr'!T30</f>
        <v>143454.68800000002</v>
      </c>
      <c r="U30" s="48">
        <f>'ACADEMIC SUPP 2yr'!U30+'STU SERVICES 2yr'!U30+'INST SUPPORT 2yr'!U30</f>
        <v>157042.17800000001</v>
      </c>
      <c r="V30" s="48">
        <f>'ACADEMIC SUPP 2yr'!V30+'STU SERVICES 2yr'!V30+'INST SUPPORT 2yr'!V30</f>
        <v>178908.47899999999</v>
      </c>
      <c r="W30" s="48">
        <f>'ACADEMIC SUPP 2yr'!W30+'STU SERVICES 2yr'!W30+'INST SUPPORT 2yr'!W30</f>
        <v>188836.747</v>
      </c>
      <c r="X30" s="48">
        <f>'ACADEMIC SUPP 2yr'!X30+'STU SERVICES 2yr'!X30+'INST SUPPORT 2yr'!X30</f>
        <v>203830.41899999999</v>
      </c>
      <c r="Y30" s="48">
        <f>'ACADEMIC SUPP 2yr'!Y30+'STU SERVICES 2yr'!Y30+'INST SUPPORT 2yr'!Y30</f>
        <v>112189.427</v>
      </c>
      <c r="Z30" s="48">
        <f>'ACADEMIC SUPP 2yr'!Z30+'STU SERVICES 2yr'!Z30+'INST SUPPORT 2yr'!Z30</f>
        <v>112492.53899999999</v>
      </c>
      <c r="AA30" s="48">
        <f>'ACADEMIC SUPP 2yr'!AA30+'STU SERVICES 2yr'!AA30+'INST SUPPORT 2yr'!AA30</f>
        <v>123011.315</v>
      </c>
      <c r="AB30" s="48">
        <f>'ACADEMIC SUPP 2yr'!AB30+'STU SERVICES 2yr'!AB30+'INST SUPPORT 2yr'!AB30</f>
        <v>206628.08</v>
      </c>
      <c r="AC30" s="48">
        <f>'ACADEMIC SUPP 2yr'!AC30+'STU SERVICES 2yr'!AC30+'INST SUPPORT 2yr'!AC30</f>
        <v>222742.79099999997</v>
      </c>
    </row>
    <row r="31" spans="1:29">
      <c r="A31" s="1" t="s">
        <v>91</v>
      </c>
      <c r="B31" s="48">
        <f>'ACADEMIC SUPP 2yr'!B31+'STU SERVICES 2yr'!B31+'INST SUPPORT 2yr'!B31</f>
        <v>0</v>
      </c>
      <c r="C31" s="48">
        <f>'ACADEMIC SUPP 2yr'!C31+'STU SERVICES 2yr'!C31+'INST SUPPORT 2yr'!C31</f>
        <v>0</v>
      </c>
      <c r="D31" s="48">
        <f>'ACADEMIC SUPP 2yr'!D31+'STU SERVICES 2yr'!D31+'INST SUPPORT 2yr'!D31</f>
        <v>0</v>
      </c>
      <c r="E31" s="48">
        <f>'ACADEMIC SUPP 2yr'!E31+'STU SERVICES 2yr'!E31+'INST SUPPORT 2yr'!E31</f>
        <v>0</v>
      </c>
      <c r="F31" s="48">
        <f>'ACADEMIC SUPP 2yr'!F31+'STU SERVICES 2yr'!F31+'INST SUPPORT 2yr'!F31</f>
        <v>24752.267</v>
      </c>
      <c r="G31" s="48">
        <f>'ACADEMIC SUPP 2yr'!G31+'STU SERVICES 2yr'!G31+'INST SUPPORT 2yr'!G31</f>
        <v>0</v>
      </c>
      <c r="H31" s="48">
        <f>'ACADEMIC SUPP 2yr'!H31+'STU SERVICES 2yr'!H31+'INST SUPPORT 2yr'!H31</f>
        <v>0</v>
      </c>
      <c r="I31" s="48">
        <f>'ACADEMIC SUPP 2yr'!I31+'STU SERVICES 2yr'!I31+'INST SUPPORT 2yr'!I31</f>
        <v>28044.216999999997</v>
      </c>
      <c r="J31" s="48">
        <f>'ACADEMIC SUPP 2yr'!J31+'STU SERVICES 2yr'!J31+'INST SUPPORT 2yr'!J31</f>
        <v>0</v>
      </c>
      <c r="K31" s="48">
        <f>'ACADEMIC SUPP 2yr'!K31+'STU SERVICES 2yr'!K31+'INST SUPPORT 2yr'!K31</f>
        <v>36438.633000000002</v>
      </c>
      <c r="L31" s="48">
        <f>'ACADEMIC SUPP 2yr'!L31+'STU SERVICES 2yr'!L31+'INST SUPPORT 2yr'!L31</f>
        <v>37999.616000000002</v>
      </c>
      <c r="M31" s="48">
        <f>'ACADEMIC SUPP 2yr'!M31+'STU SERVICES 2yr'!M31+'INST SUPPORT 2yr'!M31</f>
        <v>37802.539000000004</v>
      </c>
      <c r="N31" s="48">
        <f>'ACADEMIC SUPP 2yr'!N31+'STU SERVICES 2yr'!N31+'INST SUPPORT 2yr'!N31</f>
        <v>41319.553</v>
      </c>
      <c r="O31" s="48">
        <f>'ACADEMIC SUPP 2yr'!O31+'STU SERVICES 2yr'!O31+'INST SUPPORT 2yr'!O31</f>
        <v>46324.735000000001</v>
      </c>
      <c r="P31" s="48">
        <f>'ACADEMIC SUPP 2yr'!P31+'STU SERVICES 2yr'!P31+'INST SUPPORT 2yr'!P31</f>
        <v>39362.032999999996</v>
      </c>
      <c r="Q31" s="48">
        <f>'ACADEMIC SUPP 2yr'!Q31+'STU SERVICES 2yr'!Q31+'INST SUPPORT 2yr'!Q31</f>
        <v>40472.375</v>
      </c>
      <c r="R31" s="48">
        <f>'ACADEMIC SUPP 2yr'!R31+'STU SERVICES 2yr'!R31+'INST SUPPORT 2yr'!R31</f>
        <v>41544.577999999994</v>
      </c>
      <c r="S31" s="48">
        <f>'ACADEMIC SUPP 2yr'!S31+'STU SERVICES 2yr'!S31+'INST SUPPORT 2yr'!S31</f>
        <v>47184.303999999996</v>
      </c>
      <c r="T31" s="48">
        <f>'ACADEMIC SUPP 2yr'!T31+'STU SERVICES 2yr'!T31+'INST SUPPORT 2yr'!T31</f>
        <v>53298.645000000004</v>
      </c>
      <c r="U31" s="48">
        <f>'ACADEMIC SUPP 2yr'!U31+'STU SERVICES 2yr'!U31+'INST SUPPORT 2yr'!U31</f>
        <v>73842.983999999997</v>
      </c>
      <c r="V31" s="48">
        <f>'ACADEMIC SUPP 2yr'!V31+'STU SERVICES 2yr'!V31+'INST SUPPORT 2yr'!V31</f>
        <v>79900.467999999993</v>
      </c>
      <c r="W31" s="48">
        <f>'ACADEMIC SUPP 2yr'!W31+'STU SERVICES 2yr'!W31+'INST SUPPORT 2yr'!W31</f>
        <v>82306.671000000002</v>
      </c>
      <c r="X31" s="48">
        <f>'ACADEMIC SUPP 2yr'!X31+'STU SERVICES 2yr'!X31+'INST SUPPORT 2yr'!X31</f>
        <v>83905.26</v>
      </c>
      <c r="Y31" s="48">
        <f>'ACADEMIC SUPP 2yr'!Y31+'STU SERVICES 2yr'!Y31+'INST SUPPORT 2yr'!Y31</f>
        <v>86700.82</v>
      </c>
      <c r="Z31" s="48">
        <f>'ACADEMIC SUPP 2yr'!Z31+'STU SERVICES 2yr'!Z31+'INST SUPPORT 2yr'!Z31</f>
        <v>90429.047999999995</v>
      </c>
      <c r="AA31" s="48">
        <f>'ACADEMIC SUPP 2yr'!AA31+'STU SERVICES 2yr'!AA31+'INST SUPPORT 2yr'!AA31</f>
        <v>87393.383999999991</v>
      </c>
      <c r="AB31" s="48">
        <f>'ACADEMIC SUPP 2yr'!AB31+'STU SERVICES 2yr'!AB31+'INST SUPPORT 2yr'!AB31</f>
        <v>78562.983999999997</v>
      </c>
      <c r="AC31" s="48">
        <f>'ACADEMIC SUPP 2yr'!AC31+'STU SERVICES 2yr'!AC31+'INST SUPPORT 2yr'!AC31</f>
        <v>85487.56</v>
      </c>
    </row>
    <row r="32" spans="1:29">
      <c r="A32" s="1" t="s">
        <v>92</v>
      </c>
      <c r="B32" s="48">
        <f>'ACADEMIC SUPP 2yr'!B32+'STU SERVICES 2yr'!B32+'INST SUPPORT 2yr'!B32</f>
        <v>0</v>
      </c>
      <c r="C32" s="48">
        <f>'ACADEMIC SUPP 2yr'!C32+'STU SERVICES 2yr'!C32+'INST SUPPORT 2yr'!C32</f>
        <v>0</v>
      </c>
      <c r="D32" s="48">
        <f>'ACADEMIC SUPP 2yr'!D32+'STU SERVICES 2yr'!D32+'INST SUPPORT 2yr'!D32</f>
        <v>0</v>
      </c>
      <c r="E32" s="48">
        <f>'ACADEMIC SUPP 2yr'!E32+'STU SERVICES 2yr'!E32+'INST SUPPORT 2yr'!E32</f>
        <v>0</v>
      </c>
      <c r="F32" s="48">
        <f>'ACADEMIC SUPP 2yr'!F32+'STU SERVICES 2yr'!F32+'INST SUPPORT 2yr'!F32</f>
        <v>12615.936000000002</v>
      </c>
      <c r="G32" s="48">
        <f>'ACADEMIC SUPP 2yr'!G32+'STU SERVICES 2yr'!G32+'INST SUPPORT 2yr'!G32</f>
        <v>0</v>
      </c>
      <c r="H32" s="48">
        <f>'ACADEMIC SUPP 2yr'!H32+'STU SERVICES 2yr'!H32+'INST SUPPORT 2yr'!H32</f>
        <v>0</v>
      </c>
      <c r="I32" s="48">
        <f>'ACADEMIC SUPP 2yr'!I32+'STU SERVICES 2yr'!I32+'INST SUPPORT 2yr'!I32</f>
        <v>12039.642</v>
      </c>
      <c r="J32" s="48">
        <f>'ACADEMIC SUPP 2yr'!J32+'STU SERVICES 2yr'!J32+'INST SUPPORT 2yr'!J32</f>
        <v>0</v>
      </c>
      <c r="K32" s="48">
        <f>'ACADEMIC SUPP 2yr'!K32+'STU SERVICES 2yr'!K32+'INST SUPPORT 2yr'!K32</f>
        <v>14782.587</v>
      </c>
      <c r="L32" s="48">
        <f>'ACADEMIC SUPP 2yr'!L32+'STU SERVICES 2yr'!L32+'INST SUPPORT 2yr'!L32</f>
        <v>19737.912</v>
      </c>
      <c r="M32" s="48">
        <f>'ACADEMIC SUPP 2yr'!M32+'STU SERVICES 2yr'!M32+'INST SUPPORT 2yr'!M32</f>
        <v>22291.148999999998</v>
      </c>
      <c r="N32" s="48">
        <f>'ACADEMIC SUPP 2yr'!N32+'STU SERVICES 2yr'!N32+'INST SUPPORT 2yr'!N32</f>
        <v>24761.298000000003</v>
      </c>
      <c r="O32" s="48">
        <f>'ACADEMIC SUPP 2yr'!O32+'STU SERVICES 2yr'!O32+'INST SUPPORT 2yr'!O32</f>
        <v>24168.225999999999</v>
      </c>
      <c r="P32" s="48">
        <f>'ACADEMIC SUPP 2yr'!P32+'STU SERVICES 2yr'!P32+'INST SUPPORT 2yr'!P32</f>
        <v>26567.689000000002</v>
      </c>
      <c r="Q32" s="48">
        <f>'ACADEMIC SUPP 2yr'!Q32+'STU SERVICES 2yr'!Q32+'INST SUPPORT 2yr'!Q32</f>
        <v>28397.781000000003</v>
      </c>
      <c r="R32" s="48">
        <f>'ACADEMIC SUPP 2yr'!R32+'STU SERVICES 2yr'!R32+'INST SUPPORT 2yr'!R32</f>
        <v>30033.018</v>
      </c>
      <c r="S32" s="48">
        <f>'ACADEMIC SUPP 2yr'!S32+'STU SERVICES 2yr'!S32+'INST SUPPORT 2yr'!S32</f>
        <v>30189.3</v>
      </c>
      <c r="T32" s="48">
        <f>'ACADEMIC SUPP 2yr'!T32+'STU SERVICES 2yr'!T32+'INST SUPPORT 2yr'!T32</f>
        <v>34058.103999999999</v>
      </c>
      <c r="U32" s="48">
        <f>'ACADEMIC SUPP 2yr'!U32+'STU SERVICES 2yr'!U32+'INST SUPPORT 2yr'!U32</f>
        <v>36503.597999999998</v>
      </c>
      <c r="V32" s="48">
        <f>'ACADEMIC SUPP 2yr'!V32+'STU SERVICES 2yr'!V32+'INST SUPPORT 2yr'!V32</f>
        <v>42997.118000000002</v>
      </c>
      <c r="W32" s="48">
        <f>'ACADEMIC SUPP 2yr'!W32+'STU SERVICES 2yr'!W32+'INST SUPPORT 2yr'!W32</f>
        <v>40013.294000000002</v>
      </c>
      <c r="X32" s="48">
        <f>'ACADEMIC SUPP 2yr'!X32+'STU SERVICES 2yr'!X32+'INST SUPPORT 2yr'!X32</f>
        <v>58723.733999999997</v>
      </c>
      <c r="Y32" s="48">
        <f>'ACADEMIC SUPP 2yr'!Y32+'STU SERVICES 2yr'!Y32+'INST SUPPORT 2yr'!Y32</f>
        <v>48820.934000000001</v>
      </c>
      <c r="Z32" s="48">
        <f>'ACADEMIC SUPP 2yr'!Z32+'STU SERVICES 2yr'!Z32+'INST SUPPORT 2yr'!Z32</f>
        <v>54143.394</v>
      </c>
      <c r="AA32" s="48">
        <f>'ACADEMIC SUPP 2yr'!AA32+'STU SERVICES 2yr'!AA32+'INST SUPPORT 2yr'!AA32</f>
        <v>56787.654000000002</v>
      </c>
      <c r="AB32" s="48">
        <f>'ACADEMIC SUPP 2yr'!AB32+'STU SERVICES 2yr'!AB32+'INST SUPPORT 2yr'!AB32</f>
        <v>62308.85</v>
      </c>
      <c r="AC32" s="48">
        <f>'ACADEMIC SUPP 2yr'!AC32+'STU SERVICES 2yr'!AC32+'INST SUPPORT 2yr'!AC32</f>
        <v>67056.37</v>
      </c>
    </row>
    <row r="33" spans="1:29">
      <c r="A33" s="1" t="s">
        <v>100</v>
      </c>
      <c r="B33" s="48">
        <f>'ACADEMIC SUPP 2yr'!B33+'STU SERVICES 2yr'!B33+'INST SUPPORT 2yr'!B33</f>
        <v>0</v>
      </c>
      <c r="C33" s="48">
        <f>'ACADEMIC SUPP 2yr'!C33+'STU SERVICES 2yr'!C33+'INST SUPPORT 2yr'!C33</f>
        <v>0</v>
      </c>
      <c r="D33" s="48">
        <f>'ACADEMIC SUPP 2yr'!D33+'STU SERVICES 2yr'!D33+'INST SUPPORT 2yr'!D33</f>
        <v>0</v>
      </c>
      <c r="E33" s="48">
        <f>'ACADEMIC SUPP 2yr'!E33+'STU SERVICES 2yr'!E33+'INST SUPPORT 2yr'!E33</f>
        <v>0</v>
      </c>
      <c r="F33" s="48">
        <f>'ACADEMIC SUPP 2yr'!F33+'STU SERVICES 2yr'!F33+'INST SUPPORT 2yr'!F33</f>
        <v>10972.002</v>
      </c>
      <c r="G33" s="48">
        <f>'ACADEMIC SUPP 2yr'!G33+'STU SERVICES 2yr'!G33+'INST SUPPORT 2yr'!G33</f>
        <v>0</v>
      </c>
      <c r="H33" s="48">
        <f>'ACADEMIC SUPP 2yr'!H33+'STU SERVICES 2yr'!H33+'INST SUPPORT 2yr'!H33</f>
        <v>0</v>
      </c>
      <c r="I33" s="48">
        <f>'ACADEMIC SUPP 2yr'!I33+'STU SERVICES 2yr'!I33+'INST SUPPORT 2yr'!I33</f>
        <v>13045.137999999999</v>
      </c>
      <c r="J33" s="48">
        <f>'ACADEMIC SUPP 2yr'!J33+'STU SERVICES 2yr'!J33+'INST SUPPORT 2yr'!J33</f>
        <v>0</v>
      </c>
      <c r="K33" s="48">
        <f>'ACADEMIC SUPP 2yr'!K33+'STU SERVICES 2yr'!K33+'INST SUPPORT 2yr'!K33</f>
        <v>15986.999120000004</v>
      </c>
      <c r="L33" s="48">
        <f>'ACADEMIC SUPP 2yr'!L33+'STU SERVICES 2yr'!L33+'INST SUPPORT 2yr'!L33</f>
        <v>18365.402999999998</v>
      </c>
      <c r="M33" s="48">
        <f>'ACADEMIC SUPP 2yr'!M33+'STU SERVICES 2yr'!M33+'INST SUPPORT 2yr'!M33</f>
        <v>21451.012999999999</v>
      </c>
      <c r="N33" s="48">
        <f>'ACADEMIC SUPP 2yr'!N33+'STU SERVICES 2yr'!N33+'INST SUPPORT 2yr'!N33</f>
        <v>27776.741999999998</v>
      </c>
      <c r="O33" s="48">
        <f>'ACADEMIC SUPP 2yr'!O33+'STU SERVICES 2yr'!O33+'INST SUPPORT 2yr'!O33</f>
        <v>24256.826999999997</v>
      </c>
      <c r="P33" s="48">
        <f>'ACADEMIC SUPP 2yr'!P33+'STU SERVICES 2yr'!P33+'INST SUPPORT 2yr'!P33</f>
        <v>22875.246999999999</v>
      </c>
      <c r="Q33" s="48">
        <f>'ACADEMIC SUPP 2yr'!Q33+'STU SERVICES 2yr'!Q33+'INST SUPPORT 2yr'!Q33</f>
        <v>28314.992999999999</v>
      </c>
      <c r="R33" s="48">
        <f>'ACADEMIC SUPP 2yr'!R33+'STU SERVICES 2yr'!R33+'INST SUPPORT 2yr'!R33</f>
        <v>29177.71</v>
      </c>
      <c r="S33" s="48">
        <f>'ACADEMIC SUPP 2yr'!S33+'STU SERVICES 2yr'!S33+'INST SUPPORT 2yr'!S33</f>
        <v>27653.159</v>
      </c>
      <c r="T33" s="48">
        <f>'ACADEMIC SUPP 2yr'!T33+'STU SERVICES 2yr'!T33+'INST SUPPORT 2yr'!T33</f>
        <v>28565.235000000001</v>
      </c>
      <c r="U33" s="48">
        <f>'ACADEMIC SUPP 2yr'!U33+'STU SERVICES 2yr'!U33+'INST SUPPORT 2yr'!U33</f>
        <v>32465.532999999999</v>
      </c>
      <c r="V33" s="48">
        <f>'ACADEMIC SUPP 2yr'!V33+'STU SERVICES 2yr'!V33+'INST SUPPORT 2yr'!V33</f>
        <v>38308.415000000001</v>
      </c>
      <c r="W33" s="48">
        <f>'ACADEMIC SUPP 2yr'!W33+'STU SERVICES 2yr'!W33+'INST SUPPORT 2yr'!W33</f>
        <v>40632.972000000002</v>
      </c>
      <c r="X33" s="48">
        <f>'ACADEMIC SUPP 2yr'!X33+'STU SERVICES 2yr'!X33+'INST SUPPORT 2yr'!X33</f>
        <v>46295.440999999999</v>
      </c>
      <c r="Y33" s="48">
        <f>'ACADEMIC SUPP 2yr'!Y33+'STU SERVICES 2yr'!Y33+'INST SUPPORT 2yr'!Y33</f>
        <v>41398.207999999999</v>
      </c>
      <c r="Z33" s="48">
        <f>'ACADEMIC SUPP 2yr'!Z33+'STU SERVICES 2yr'!Z33+'INST SUPPORT 2yr'!Z33</f>
        <v>43510.881000000001</v>
      </c>
      <c r="AA33" s="48">
        <f>'ACADEMIC SUPP 2yr'!AA33+'STU SERVICES 2yr'!AA33+'INST SUPPORT 2yr'!AA33</f>
        <v>42921.292000000001</v>
      </c>
      <c r="AB33" s="48">
        <f>'ACADEMIC SUPP 2yr'!AB33+'STU SERVICES 2yr'!AB33+'INST SUPPORT 2yr'!AB33</f>
        <v>44403.396000000008</v>
      </c>
      <c r="AC33" s="48">
        <f>'ACADEMIC SUPP 2yr'!AC33+'STU SERVICES 2yr'!AC33+'INST SUPPORT 2yr'!AC33</f>
        <v>44250.68</v>
      </c>
    </row>
    <row r="34" spans="1:29">
      <c r="A34" s="1" t="s">
        <v>102</v>
      </c>
      <c r="B34" s="48">
        <f>'ACADEMIC SUPP 2yr'!B34+'STU SERVICES 2yr'!B34+'INST SUPPORT 2yr'!B34</f>
        <v>0</v>
      </c>
      <c r="C34" s="48">
        <f>'ACADEMIC SUPP 2yr'!C34+'STU SERVICES 2yr'!C34+'INST SUPPORT 2yr'!C34</f>
        <v>0</v>
      </c>
      <c r="D34" s="48">
        <f>'ACADEMIC SUPP 2yr'!D34+'STU SERVICES 2yr'!D34+'INST SUPPORT 2yr'!D34</f>
        <v>0</v>
      </c>
      <c r="E34" s="48">
        <f>'ACADEMIC SUPP 2yr'!E34+'STU SERVICES 2yr'!E34+'INST SUPPORT 2yr'!E34</f>
        <v>0</v>
      </c>
      <c r="F34" s="48">
        <f>'ACADEMIC SUPP 2yr'!F34+'STU SERVICES 2yr'!F34+'INST SUPPORT 2yr'!F34</f>
        <v>18761.251</v>
      </c>
      <c r="G34" s="48">
        <f>'ACADEMIC SUPP 2yr'!G34+'STU SERVICES 2yr'!G34+'INST SUPPORT 2yr'!G34</f>
        <v>0</v>
      </c>
      <c r="H34" s="48">
        <f>'ACADEMIC SUPP 2yr'!H34+'STU SERVICES 2yr'!H34+'INST SUPPORT 2yr'!H34</f>
        <v>0</v>
      </c>
      <c r="I34" s="48">
        <f>'ACADEMIC SUPP 2yr'!I34+'STU SERVICES 2yr'!I34+'INST SUPPORT 2yr'!I34</f>
        <v>21458.553</v>
      </c>
      <c r="J34" s="48">
        <f>'ACADEMIC SUPP 2yr'!J34+'STU SERVICES 2yr'!J34+'INST SUPPORT 2yr'!J34</f>
        <v>0</v>
      </c>
      <c r="K34" s="48">
        <f>'ACADEMIC SUPP 2yr'!K34+'STU SERVICES 2yr'!K34+'INST SUPPORT 2yr'!K34</f>
        <v>31660</v>
      </c>
      <c r="L34" s="48">
        <f>'ACADEMIC SUPP 2yr'!L34+'STU SERVICES 2yr'!L34+'INST SUPPORT 2yr'!L34</f>
        <v>38473.904000000002</v>
      </c>
      <c r="M34" s="48">
        <f>'ACADEMIC SUPP 2yr'!M34+'STU SERVICES 2yr'!M34+'INST SUPPORT 2yr'!M34</f>
        <v>40477</v>
      </c>
      <c r="N34" s="48">
        <f>'ACADEMIC SUPP 2yr'!N34+'STU SERVICES 2yr'!N34+'INST SUPPORT 2yr'!N34</f>
        <v>44676.194000000003</v>
      </c>
      <c r="O34" s="48">
        <f>'ACADEMIC SUPP 2yr'!O34+'STU SERVICES 2yr'!O34+'INST SUPPORT 2yr'!O34</f>
        <v>49268</v>
      </c>
      <c r="P34" s="48">
        <f>'ACADEMIC SUPP 2yr'!P34+'STU SERVICES 2yr'!P34+'INST SUPPORT 2yr'!P34</f>
        <v>24122</v>
      </c>
      <c r="Q34" s="48">
        <f>'ACADEMIC SUPP 2yr'!Q34+'STU SERVICES 2yr'!Q34+'INST SUPPORT 2yr'!Q34</f>
        <v>26980</v>
      </c>
      <c r="R34" s="48">
        <f>'ACADEMIC SUPP 2yr'!R34+'STU SERVICES 2yr'!R34+'INST SUPPORT 2yr'!R34</f>
        <v>30766.9</v>
      </c>
      <c r="S34" s="48">
        <f>'ACADEMIC SUPP 2yr'!S34+'STU SERVICES 2yr'!S34+'INST SUPPORT 2yr'!S34</f>
        <v>21872</v>
      </c>
      <c r="T34" s="48">
        <f>'ACADEMIC SUPP 2yr'!T34+'STU SERVICES 2yr'!T34+'INST SUPPORT 2yr'!T34</f>
        <v>22991</v>
      </c>
      <c r="U34" s="48">
        <f>'ACADEMIC SUPP 2yr'!U34+'STU SERVICES 2yr'!U34+'INST SUPPORT 2yr'!U34</f>
        <v>88003.467000000004</v>
      </c>
      <c r="V34" s="48">
        <f>'ACADEMIC SUPP 2yr'!V34+'STU SERVICES 2yr'!V34+'INST SUPPORT 2yr'!V34</f>
        <v>99840.915000000008</v>
      </c>
      <c r="W34" s="48">
        <f>'ACADEMIC SUPP 2yr'!W34+'STU SERVICES 2yr'!W34+'INST SUPPORT 2yr'!W34</f>
        <v>101190.59599999999</v>
      </c>
      <c r="X34" s="48">
        <f>'ACADEMIC SUPP 2yr'!X34+'STU SERVICES 2yr'!X34+'INST SUPPORT 2yr'!X34</f>
        <v>95522.553</v>
      </c>
      <c r="Y34" s="48">
        <f>'ACADEMIC SUPP 2yr'!Y34+'STU SERVICES 2yr'!Y34+'INST SUPPORT 2yr'!Y34</f>
        <v>97930.705000000002</v>
      </c>
      <c r="Z34" s="48">
        <f>'ACADEMIC SUPP 2yr'!Z34+'STU SERVICES 2yr'!Z34+'INST SUPPORT 2yr'!Z34</f>
        <v>105148.057</v>
      </c>
      <c r="AA34" s="48">
        <f>'ACADEMIC SUPP 2yr'!AA34+'STU SERVICES 2yr'!AA34+'INST SUPPORT 2yr'!AA34</f>
        <v>104578.84299999999</v>
      </c>
      <c r="AB34" s="48">
        <f>'ACADEMIC SUPP 2yr'!AB34+'STU SERVICES 2yr'!AB34+'INST SUPPORT 2yr'!AB34</f>
        <v>98636.613000000012</v>
      </c>
      <c r="AC34" s="48">
        <f>'ACADEMIC SUPP 2yr'!AC34+'STU SERVICES 2yr'!AC34+'INST SUPPORT 2yr'!AC34</f>
        <v>100266.87700000001</v>
      </c>
    </row>
    <row r="35" spans="1:29">
      <c r="A35" s="1" t="s">
        <v>105</v>
      </c>
      <c r="B35" s="48">
        <f>'ACADEMIC SUPP 2yr'!B35+'STU SERVICES 2yr'!B35+'INST SUPPORT 2yr'!B35</f>
        <v>0</v>
      </c>
      <c r="C35" s="48">
        <f>'ACADEMIC SUPP 2yr'!C35+'STU SERVICES 2yr'!C35+'INST SUPPORT 2yr'!C35</f>
        <v>0</v>
      </c>
      <c r="D35" s="48">
        <f>'ACADEMIC SUPP 2yr'!D35+'STU SERVICES 2yr'!D35+'INST SUPPORT 2yr'!D35</f>
        <v>0</v>
      </c>
      <c r="E35" s="48">
        <f>'ACADEMIC SUPP 2yr'!E35+'STU SERVICES 2yr'!E35+'INST SUPPORT 2yr'!E35</f>
        <v>0</v>
      </c>
      <c r="F35" s="48">
        <f>'ACADEMIC SUPP 2yr'!F35+'STU SERVICES 2yr'!F35+'INST SUPPORT 2yr'!F35</f>
        <v>41741.281999999999</v>
      </c>
      <c r="G35" s="48">
        <f>'ACADEMIC SUPP 2yr'!G35+'STU SERVICES 2yr'!G35+'INST SUPPORT 2yr'!G35</f>
        <v>0</v>
      </c>
      <c r="H35" s="48">
        <f>'ACADEMIC SUPP 2yr'!H35+'STU SERVICES 2yr'!H35+'INST SUPPORT 2yr'!H35</f>
        <v>0</v>
      </c>
      <c r="I35" s="48">
        <f>'ACADEMIC SUPP 2yr'!I35+'STU SERVICES 2yr'!I35+'INST SUPPORT 2yr'!I35</f>
        <v>57859.673999999999</v>
      </c>
      <c r="J35" s="48">
        <f>'ACADEMIC SUPP 2yr'!J35+'STU SERVICES 2yr'!J35+'INST SUPPORT 2yr'!J35</f>
        <v>0</v>
      </c>
      <c r="K35" s="48">
        <f>'ACADEMIC SUPP 2yr'!K35+'STU SERVICES 2yr'!K35+'INST SUPPORT 2yr'!K35</f>
        <v>73544.107719999985</v>
      </c>
      <c r="L35" s="48">
        <f>'ACADEMIC SUPP 2yr'!L35+'STU SERVICES 2yr'!L35+'INST SUPPORT 2yr'!L35</f>
        <v>90679.604999999996</v>
      </c>
      <c r="M35" s="48">
        <f>'ACADEMIC SUPP 2yr'!M35+'STU SERVICES 2yr'!M35+'INST SUPPORT 2yr'!M35</f>
        <v>86711.600999999995</v>
      </c>
      <c r="N35" s="48">
        <f>'ACADEMIC SUPP 2yr'!N35+'STU SERVICES 2yr'!N35+'INST SUPPORT 2yr'!N35</f>
        <v>93814.616000000009</v>
      </c>
      <c r="O35" s="48">
        <f>'ACADEMIC SUPP 2yr'!O35+'STU SERVICES 2yr'!O35+'INST SUPPORT 2yr'!O35</f>
        <v>99893.865000000005</v>
      </c>
      <c r="P35" s="48">
        <f>'ACADEMIC SUPP 2yr'!P35+'STU SERVICES 2yr'!P35+'INST SUPPORT 2yr'!P35</f>
        <v>101915.946</v>
      </c>
      <c r="Q35" s="48">
        <f>'ACADEMIC SUPP 2yr'!Q35+'STU SERVICES 2yr'!Q35+'INST SUPPORT 2yr'!Q35</f>
        <v>108459.18399999999</v>
      </c>
      <c r="R35" s="48">
        <f>'ACADEMIC SUPP 2yr'!R35+'STU SERVICES 2yr'!R35+'INST SUPPORT 2yr'!R35</f>
        <v>116123.59400000001</v>
      </c>
      <c r="S35" s="48">
        <f>'ACADEMIC SUPP 2yr'!S35+'STU SERVICES 2yr'!S35+'INST SUPPORT 2yr'!S35</f>
        <v>123891.51000000001</v>
      </c>
      <c r="T35" s="48">
        <f>'ACADEMIC SUPP 2yr'!T35+'STU SERVICES 2yr'!T35+'INST SUPPORT 2yr'!T35</f>
        <v>133113.179</v>
      </c>
      <c r="U35" s="48">
        <f>'ACADEMIC SUPP 2yr'!U35+'STU SERVICES 2yr'!U35+'INST SUPPORT 2yr'!U35</f>
        <v>155904.71400000001</v>
      </c>
      <c r="V35" s="48">
        <f>'ACADEMIC SUPP 2yr'!V35+'STU SERVICES 2yr'!V35+'INST SUPPORT 2yr'!V35</f>
        <v>170056.22499999998</v>
      </c>
      <c r="W35" s="48">
        <f>'ACADEMIC SUPP 2yr'!W35+'STU SERVICES 2yr'!W35+'INST SUPPORT 2yr'!W35</f>
        <v>185162.15000000002</v>
      </c>
      <c r="X35" s="48">
        <f>'ACADEMIC SUPP 2yr'!X35+'STU SERVICES 2yr'!X35+'INST SUPPORT 2yr'!X35</f>
        <v>191033.71799999999</v>
      </c>
      <c r="Y35" s="48">
        <f>'ACADEMIC SUPP 2yr'!Y35+'STU SERVICES 2yr'!Y35+'INST SUPPORT 2yr'!Y35</f>
        <v>130027.128</v>
      </c>
      <c r="Z35" s="48">
        <f>'ACADEMIC SUPP 2yr'!Z35+'STU SERVICES 2yr'!Z35+'INST SUPPORT 2yr'!Z35</f>
        <v>144221.658</v>
      </c>
      <c r="AA35" s="48">
        <f>'ACADEMIC SUPP 2yr'!AA35+'STU SERVICES 2yr'!AA35+'INST SUPPORT 2yr'!AA35</f>
        <v>147426.092</v>
      </c>
      <c r="AB35" s="48">
        <f>'ACADEMIC SUPP 2yr'!AB35+'STU SERVICES 2yr'!AB35+'INST SUPPORT 2yr'!AB35</f>
        <v>219350.033</v>
      </c>
      <c r="AC35" s="48">
        <f>'ACADEMIC SUPP 2yr'!AC35+'STU SERVICES 2yr'!AC35+'INST SUPPORT 2yr'!AC35</f>
        <v>223088.19199999998</v>
      </c>
    </row>
    <row r="36" spans="1:29">
      <c r="A36" s="1" t="s">
        <v>109</v>
      </c>
      <c r="B36" s="48">
        <f>'ACADEMIC SUPP 2yr'!B36+'STU SERVICES 2yr'!B36+'INST SUPPORT 2yr'!B36</f>
        <v>0</v>
      </c>
      <c r="C36" s="48">
        <f>'ACADEMIC SUPP 2yr'!C36+'STU SERVICES 2yr'!C36+'INST SUPPORT 2yr'!C36</f>
        <v>0</v>
      </c>
      <c r="D36" s="48">
        <f>'ACADEMIC SUPP 2yr'!D36+'STU SERVICES 2yr'!D36+'INST SUPPORT 2yr'!D36</f>
        <v>0</v>
      </c>
      <c r="E36" s="48">
        <f>'ACADEMIC SUPP 2yr'!E36+'STU SERVICES 2yr'!E36+'INST SUPPORT 2yr'!E36</f>
        <v>0</v>
      </c>
      <c r="F36" s="48">
        <f>'ACADEMIC SUPP 2yr'!F36+'STU SERVICES 2yr'!F36+'INST SUPPORT 2yr'!F36</f>
        <v>100156.628</v>
      </c>
      <c r="G36" s="48">
        <f>'ACADEMIC SUPP 2yr'!G36+'STU SERVICES 2yr'!G36+'INST SUPPORT 2yr'!G36</f>
        <v>0</v>
      </c>
      <c r="H36" s="48">
        <f>'ACADEMIC SUPP 2yr'!H36+'STU SERVICES 2yr'!H36+'INST SUPPORT 2yr'!H36</f>
        <v>0</v>
      </c>
      <c r="I36" s="48">
        <f>'ACADEMIC SUPP 2yr'!I36+'STU SERVICES 2yr'!I36+'INST SUPPORT 2yr'!I36</f>
        <v>132686.76500000001</v>
      </c>
      <c r="J36" s="48">
        <f>'ACADEMIC SUPP 2yr'!J36+'STU SERVICES 2yr'!J36+'INST SUPPORT 2yr'!J36</f>
        <v>0</v>
      </c>
      <c r="K36" s="48">
        <f>'ACADEMIC SUPP 2yr'!K36+'STU SERVICES 2yr'!K36+'INST SUPPORT 2yr'!K36</f>
        <v>164640.21223</v>
      </c>
      <c r="L36" s="48">
        <f>'ACADEMIC SUPP 2yr'!L36+'STU SERVICES 2yr'!L36+'INST SUPPORT 2yr'!L36</f>
        <v>187356.095</v>
      </c>
      <c r="M36" s="48">
        <f>'ACADEMIC SUPP 2yr'!M36+'STU SERVICES 2yr'!M36+'INST SUPPORT 2yr'!M36</f>
        <v>202996.72899999999</v>
      </c>
      <c r="N36" s="48">
        <f>'ACADEMIC SUPP 2yr'!N36+'STU SERVICES 2yr'!N36+'INST SUPPORT 2yr'!N36</f>
        <v>213847.91999999998</v>
      </c>
      <c r="O36" s="48">
        <f>'ACADEMIC SUPP 2yr'!O36+'STU SERVICES 2yr'!O36+'INST SUPPORT 2yr'!O36</f>
        <v>225579.81899999999</v>
      </c>
      <c r="P36" s="48">
        <f>'ACADEMIC SUPP 2yr'!P36+'STU SERVICES 2yr'!P36+'INST SUPPORT 2yr'!P36</f>
        <v>210339.36300000001</v>
      </c>
      <c r="Q36" s="48">
        <f>'ACADEMIC SUPP 2yr'!Q36+'STU SERVICES 2yr'!Q36+'INST SUPPORT 2yr'!Q36</f>
        <v>230521.16200000001</v>
      </c>
      <c r="R36" s="48">
        <f>'ACADEMIC SUPP 2yr'!R36+'STU SERVICES 2yr'!R36+'INST SUPPORT 2yr'!R36</f>
        <v>247057.9</v>
      </c>
      <c r="S36" s="48">
        <f>'ACADEMIC SUPP 2yr'!S36+'STU SERVICES 2yr'!S36+'INST SUPPORT 2yr'!S36</f>
        <v>250716.908</v>
      </c>
      <c r="T36" s="48">
        <f>'ACADEMIC SUPP 2yr'!T36+'STU SERVICES 2yr'!T36+'INST SUPPORT 2yr'!T36</f>
        <v>285003.93799999997</v>
      </c>
      <c r="U36" s="48">
        <f>'ACADEMIC SUPP 2yr'!U36+'STU SERVICES 2yr'!U36+'INST SUPPORT 2yr'!U36</f>
        <v>318974.902</v>
      </c>
      <c r="V36" s="48">
        <f>'ACADEMIC SUPP 2yr'!V36+'STU SERVICES 2yr'!V36+'INST SUPPORT 2yr'!V36</f>
        <v>322466.31</v>
      </c>
      <c r="W36" s="48">
        <f>'ACADEMIC SUPP 2yr'!W36+'STU SERVICES 2yr'!W36+'INST SUPPORT 2yr'!W36</f>
        <v>336589.63</v>
      </c>
      <c r="X36" s="48">
        <f>'ACADEMIC SUPP 2yr'!X36+'STU SERVICES 2yr'!X36+'INST SUPPORT 2yr'!X36</f>
        <v>363451.24</v>
      </c>
      <c r="Y36" s="48">
        <f>'ACADEMIC SUPP 2yr'!Y36+'STU SERVICES 2yr'!Y36+'INST SUPPORT 2yr'!Y36</f>
        <v>355128.90899999999</v>
      </c>
      <c r="Z36" s="48">
        <f>'ACADEMIC SUPP 2yr'!Z36+'STU SERVICES 2yr'!Z36+'INST SUPPORT 2yr'!Z36</f>
        <v>361727.592</v>
      </c>
      <c r="AA36" s="48">
        <f>'ACADEMIC SUPP 2yr'!AA36+'STU SERVICES 2yr'!AA36+'INST SUPPORT 2yr'!AA36</f>
        <v>328456.62199999997</v>
      </c>
      <c r="AB36" s="48">
        <f>'ACADEMIC SUPP 2yr'!AB36+'STU SERVICES 2yr'!AB36+'INST SUPPORT 2yr'!AB36</f>
        <v>422319.74400000001</v>
      </c>
      <c r="AC36" s="48">
        <f>'ACADEMIC SUPP 2yr'!AC36+'STU SERVICES 2yr'!AC36+'INST SUPPORT 2yr'!AC36</f>
        <v>413318.38300000003</v>
      </c>
    </row>
    <row r="37" spans="1:29">
      <c r="A37" s="1" t="s">
        <v>113</v>
      </c>
      <c r="B37" s="48">
        <f>'ACADEMIC SUPP 2yr'!B37+'STU SERVICES 2yr'!B37+'INST SUPPORT 2yr'!B37</f>
        <v>0</v>
      </c>
      <c r="C37" s="48">
        <f>'ACADEMIC SUPP 2yr'!C37+'STU SERVICES 2yr'!C37+'INST SUPPORT 2yr'!C37</f>
        <v>0</v>
      </c>
      <c r="D37" s="48">
        <f>'ACADEMIC SUPP 2yr'!D37+'STU SERVICES 2yr'!D37+'INST SUPPORT 2yr'!D37</f>
        <v>0</v>
      </c>
      <c r="E37" s="48">
        <f>'ACADEMIC SUPP 2yr'!E37+'STU SERVICES 2yr'!E37+'INST SUPPORT 2yr'!E37</f>
        <v>0</v>
      </c>
      <c r="F37" s="48">
        <f>'ACADEMIC SUPP 2yr'!F37+'STU SERVICES 2yr'!F37+'INST SUPPORT 2yr'!F37</f>
        <v>40902.290999999997</v>
      </c>
      <c r="G37" s="48">
        <f>'ACADEMIC SUPP 2yr'!G37+'STU SERVICES 2yr'!G37+'INST SUPPORT 2yr'!G37</f>
        <v>0</v>
      </c>
      <c r="H37" s="48">
        <f>'ACADEMIC SUPP 2yr'!H37+'STU SERVICES 2yr'!H37+'INST SUPPORT 2yr'!H37</f>
        <v>0</v>
      </c>
      <c r="I37" s="48">
        <f>'ACADEMIC SUPP 2yr'!I37+'STU SERVICES 2yr'!I37+'INST SUPPORT 2yr'!I37</f>
        <v>39136.190999999999</v>
      </c>
      <c r="J37" s="48">
        <f>'ACADEMIC SUPP 2yr'!J37+'STU SERVICES 2yr'!J37+'INST SUPPORT 2yr'!J37</f>
        <v>0</v>
      </c>
      <c r="K37" s="48">
        <f>'ACADEMIC SUPP 2yr'!K37+'STU SERVICES 2yr'!K37+'INST SUPPORT 2yr'!K37</f>
        <v>45301.240000000005</v>
      </c>
      <c r="L37" s="48">
        <f>'ACADEMIC SUPP 2yr'!L37+'STU SERVICES 2yr'!L37+'INST SUPPORT 2yr'!L37</f>
        <v>44127.430999999997</v>
      </c>
      <c r="M37" s="48">
        <f>'ACADEMIC SUPP 2yr'!M37+'STU SERVICES 2yr'!M37+'INST SUPPORT 2yr'!M37</f>
        <v>50991.195999999996</v>
      </c>
      <c r="N37" s="48">
        <f>'ACADEMIC SUPP 2yr'!N37+'STU SERVICES 2yr'!N37+'INST SUPPORT 2yr'!N37</f>
        <v>56564.157000000007</v>
      </c>
      <c r="O37" s="48">
        <f>'ACADEMIC SUPP 2yr'!O37+'STU SERVICES 2yr'!O37+'INST SUPPORT 2yr'!O37</f>
        <v>57385.065000000002</v>
      </c>
      <c r="P37" s="48">
        <f>'ACADEMIC SUPP 2yr'!P37+'STU SERVICES 2yr'!P37+'INST SUPPORT 2yr'!P37</f>
        <v>64043.433000000005</v>
      </c>
      <c r="Q37" s="48">
        <f>'ACADEMIC SUPP 2yr'!Q37+'STU SERVICES 2yr'!Q37+'INST SUPPORT 2yr'!Q37</f>
        <v>64952.260000000009</v>
      </c>
      <c r="R37" s="48">
        <f>'ACADEMIC SUPP 2yr'!R37+'STU SERVICES 2yr'!R37+'INST SUPPORT 2yr'!R37</f>
        <v>65721.683000000005</v>
      </c>
      <c r="S37" s="48">
        <f>'ACADEMIC SUPP 2yr'!S37+'STU SERVICES 2yr'!S37+'INST SUPPORT 2yr'!S37</f>
        <v>74393.415000000008</v>
      </c>
      <c r="T37" s="48">
        <f>'ACADEMIC SUPP 2yr'!T37+'STU SERVICES 2yr'!T37+'INST SUPPORT 2yr'!T37</f>
        <v>80922.31700000001</v>
      </c>
      <c r="U37" s="48">
        <f>'ACADEMIC SUPP 2yr'!U37+'STU SERVICES 2yr'!U37+'INST SUPPORT 2yr'!U37</f>
        <v>83314.332999999999</v>
      </c>
      <c r="V37" s="48">
        <f>'ACADEMIC SUPP 2yr'!V37+'STU SERVICES 2yr'!V37+'INST SUPPORT 2yr'!V37</f>
        <v>89243.815999999992</v>
      </c>
      <c r="W37" s="48">
        <f>'ACADEMIC SUPP 2yr'!W37+'STU SERVICES 2yr'!W37+'INST SUPPORT 2yr'!W37</f>
        <v>95060.295000000013</v>
      </c>
      <c r="X37" s="48">
        <f>'ACADEMIC SUPP 2yr'!X37+'STU SERVICES 2yr'!X37+'INST SUPPORT 2yr'!X37</f>
        <v>77078.134999999995</v>
      </c>
      <c r="Y37" s="48">
        <f>'ACADEMIC SUPP 2yr'!Y37+'STU SERVICES 2yr'!Y37+'INST SUPPORT 2yr'!Y37</f>
        <v>111774.588</v>
      </c>
      <c r="Z37" s="48">
        <f>'ACADEMIC SUPP 2yr'!Z37+'STU SERVICES 2yr'!Z37+'INST SUPPORT 2yr'!Z37</f>
        <v>115606.73300000001</v>
      </c>
      <c r="AA37" s="48">
        <f>'ACADEMIC SUPP 2yr'!AA37+'STU SERVICES 2yr'!AA37+'INST SUPPORT 2yr'!AA37</f>
        <v>125356.201</v>
      </c>
      <c r="AB37" s="48">
        <f>'ACADEMIC SUPP 2yr'!AB37+'STU SERVICES 2yr'!AB37+'INST SUPPORT 2yr'!AB37</f>
        <v>99014.676000000007</v>
      </c>
      <c r="AC37" s="48">
        <f>'ACADEMIC SUPP 2yr'!AC37+'STU SERVICES 2yr'!AC37+'INST SUPPORT 2yr'!AC37</f>
        <v>106381.228</v>
      </c>
    </row>
    <row r="38" spans="1:29">
      <c r="A38" s="1" t="s">
        <v>115</v>
      </c>
      <c r="B38" s="48">
        <f>'ACADEMIC SUPP 2yr'!B38+'STU SERVICES 2yr'!B38+'INST SUPPORT 2yr'!B38</f>
        <v>0</v>
      </c>
      <c r="C38" s="48">
        <f>'ACADEMIC SUPP 2yr'!C38+'STU SERVICES 2yr'!C38+'INST SUPPORT 2yr'!C38</f>
        <v>0</v>
      </c>
      <c r="D38" s="48">
        <f>'ACADEMIC SUPP 2yr'!D38+'STU SERVICES 2yr'!D38+'INST SUPPORT 2yr'!D38</f>
        <v>0</v>
      </c>
      <c r="E38" s="48">
        <f>'ACADEMIC SUPP 2yr'!E38+'STU SERVICES 2yr'!E38+'INST SUPPORT 2yr'!E38</f>
        <v>0</v>
      </c>
      <c r="F38" s="48">
        <f>'ACADEMIC SUPP 2yr'!F38+'STU SERVICES 2yr'!F38+'INST SUPPORT 2yr'!F38</f>
        <v>150052.01500000001</v>
      </c>
      <c r="G38" s="48">
        <f>'ACADEMIC SUPP 2yr'!G38+'STU SERVICES 2yr'!G38+'INST SUPPORT 2yr'!G38</f>
        <v>0</v>
      </c>
      <c r="H38" s="48">
        <f>'ACADEMIC SUPP 2yr'!H38+'STU SERVICES 2yr'!H38+'INST SUPPORT 2yr'!H38</f>
        <v>0</v>
      </c>
      <c r="I38" s="48">
        <f>'ACADEMIC SUPP 2yr'!I38+'STU SERVICES 2yr'!I38+'INST SUPPORT 2yr'!I38</f>
        <v>188900.72899999999</v>
      </c>
      <c r="J38" s="48">
        <f>'ACADEMIC SUPP 2yr'!J38+'STU SERVICES 2yr'!J38+'INST SUPPORT 2yr'!J38</f>
        <v>0</v>
      </c>
      <c r="K38" s="48">
        <f>'ACADEMIC SUPP 2yr'!K38+'STU SERVICES 2yr'!K38+'INST SUPPORT 2yr'!K38</f>
        <v>229165.67604000002</v>
      </c>
      <c r="L38" s="48">
        <f>'ACADEMIC SUPP 2yr'!L38+'STU SERVICES 2yr'!L38+'INST SUPPORT 2yr'!L38</f>
        <v>273000.109</v>
      </c>
      <c r="M38" s="48">
        <f>'ACADEMIC SUPP 2yr'!M38+'STU SERVICES 2yr'!M38+'INST SUPPORT 2yr'!M38</f>
        <v>309315.05700000003</v>
      </c>
      <c r="N38" s="48">
        <f>'ACADEMIC SUPP 2yr'!N38+'STU SERVICES 2yr'!N38+'INST SUPPORT 2yr'!N38</f>
        <v>305153.19199999998</v>
      </c>
      <c r="O38" s="48">
        <f>'ACADEMIC SUPP 2yr'!O38+'STU SERVICES 2yr'!O38+'INST SUPPORT 2yr'!O38</f>
        <v>318615.00799999997</v>
      </c>
      <c r="P38" s="48">
        <f>'ACADEMIC SUPP 2yr'!P38+'STU SERVICES 2yr'!P38+'INST SUPPORT 2yr'!P38</f>
        <v>325453.91099999996</v>
      </c>
      <c r="Q38" s="48">
        <f>'ACADEMIC SUPP 2yr'!Q38+'STU SERVICES 2yr'!Q38+'INST SUPPORT 2yr'!Q38</f>
        <v>336964.14799999999</v>
      </c>
      <c r="R38" s="48">
        <f>'ACADEMIC SUPP 2yr'!R38+'STU SERVICES 2yr'!R38+'INST SUPPORT 2yr'!R38</f>
        <v>359312.25800000003</v>
      </c>
      <c r="S38" s="48">
        <f>'ACADEMIC SUPP 2yr'!S38+'STU SERVICES 2yr'!S38+'INST SUPPORT 2yr'!S38</f>
        <v>332501.3</v>
      </c>
      <c r="T38" s="48">
        <f>'ACADEMIC SUPP 2yr'!T38+'STU SERVICES 2yr'!T38+'INST SUPPORT 2yr'!T38</f>
        <v>370799.02799999999</v>
      </c>
      <c r="U38" s="48">
        <f>'ACADEMIC SUPP 2yr'!U38+'STU SERVICES 2yr'!U38+'INST SUPPORT 2yr'!U38</f>
        <v>432107.38</v>
      </c>
      <c r="V38" s="48">
        <f>'ACADEMIC SUPP 2yr'!V38+'STU SERVICES 2yr'!V38+'INST SUPPORT 2yr'!V38</f>
        <v>501514.65399999998</v>
      </c>
      <c r="W38" s="48">
        <f>'ACADEMIC SUPP 2yr'!W38+'STU SERVICES 2yr'!W38+'INST SUPPORT 2yr'!W38</f>
        <v>516239.44399999996</v>
      </c>
      <c r="X38" s="48">
        <f>'ACADEMIC SUPP 2yr'!X38+'STU SERVICES 2yr'!X38+'INST SUPPORT 2yr'!X38</f>
        <v>495086.37700000004</v>
      </c>
      <c r="Y38" s="48">
        <f>'ACADEMIC SUPP 2yr'!Y38+'STU SERVICES 2yr'!Y38+'INST SUPPORT 2yr'!Y38</f>
        <v>400621.96799999999</v>
      </c>
      <c r="Z38" s="48">
        <f>'ACADEMIC SUPP 2yr'!Z38+'STU SERVICES 2yr'!Z38+'INST SUPPORT 2yr'!Z38</f>
        <v>468124.5</v>
      </c>
      <c r="AA38" s="48">
        <f>'ACADEMIC SUPP 2yr'!AA38+'STU SERVICES 2yr'!AA38+'INST SUPPORT 2yr'!AA38</f>
        <v>496396.82700000005</v>
      </c>
      <c r="AB38" s="48">
        <f>'ACADEMIC SUPP 2yr'!AB38+'STU SERVICES 2yr'!AB38+'INST SUPPORT 2yr'!AB38</f>
        <v>670785.60499999998</v>
      </c>
      <c r="AC38" s="48">
        <f>'ACADEMIC SUPP 2yr'!AC38+'STU SERVICES 2yr'!AC38+'INST SUPPORT 2yr'!AC38</f>
        <v>730619.37</v>
      </c>
    </row>
    <row r="39" spans="1:29">
      <c r="A39" s="24" t="s">
        <v>117</v>
      </c>
      <c r="B39" s="50">
        <f>'ACADEMIC SUPP 2yr'!B39+'STU SERVICES 2yr'!B39+'INST SUPPORT 2yr'!B39</f>
        <v>0</v>
      </c>
      <c r="C39" s="50">
        <f>'ACADEMIC SUPP 2yr'!C39+'STU SERVICES 2yr'!C39+'INST SUPPORT 2yr'!C39</f>
        <v>0</v>
      </c>
      <c r="D39" s="50">
        <f>'ACADEMIC SUPP 2yr'!D39+'STU SERVICES 2yr'!D39+'INST SUPPORT 2yr'!D39</f>
        <v>0</v>
      </c>
      <c r="E39" s="50">
        <f>'ACADEMIC SUPP 2yr'!E39+'STU SERVICES 2yr'!E39+'INST SUPPORT 2yr'!E39</f>
        <v>0</v>
      </c>
      <c r="F39" s="50">
        <f>'ACADEMIC SUPP 2yr'!F39+'STU SERVICES 2yr'!F39+'INST SUPPORT 2yr'!F39</f>
        <v>24685.809000000001</v>
      </c>
      <c r="G39" s="50">
        <f>'ACADEMIC SUPP 2yr'!G39+'STU SERVICES 2yr'!G39+'INST SUPPORT 2yr'!G39</f>
        <v>0</v>
      </c>
      <c r="H39" s="50">
        <f>'ACADEMIC SUPP 2yr'!H39+'STU SERVICES 2yr'!H39+'INST SUPPORT 2yr'!H39</f>
        <v>0</v>
      </c>
      <c r="I39" s="50">
        <f>'ACADEMIC SUPP 2yr'!I39+'STU SERVICES 2yr'!I39+'INST SUPPORT 2yr'!I39</f>
        <v>24907.608</v>
      </c>
      <c r="J39" s="50">
        <f>'ACADEMIC SUPP 2yr'!J39+'STU SERVICES 2yr'!J39+'INST SUPPORT 2yr'!J39</f>
        <v>0</v>
      </c>
      <c r="K39" s="50">
        <f>'ACADEMIC SUPP 2yr'!K39+'STU SERVICES 2yr'!K39+'INST SUPPORT 2yr'!K39</f>
        <v>27164.461000000003</v>
      </c>
      <c r="L39" s="50">
        <f>'ACADEMIC SUPP 2yr'!L39+'STU SERVICES 2yr'!L39+'INST SUPPORT 2yr'!L39</f>
        <v>31385.666000000001</v>
      </c>
      <c r="M39" s="50">
        <f>'ACADEMIC SUPP 2yr'!M39+'STU SERVICES 2yr'!M39+'INST SUPPORT 2yr'!M39</f>
        <v>33169.589999999997</v>
      </c>
      <c r="N39" s="50">
        <f>'ACADEMIC SUPP 2yr'!N39+'STU SERVICES 2yr'!N39+'INST SUPPORT 2yr'!N39</f>
        <v>40672.188999999998</v>
      </c>
      <c r="O39" s="50">
        <f>'ACADEMIC SUPP 2yr'!O39+'STU SERVICES 2yr'!O39+'INST SUPPORT 2yr'!O39</f>
        <v>42648.705000000002</v>
      </c>
      <c r="P39" s="50">
        <f>'ACADEMIC SUPP 2yr'!P39+'STU SERVICES 2yr'!P39+'INST SUPPORT 2yr'!P39</f>
        <v>44564.403000000006</v>
      </c>
      <c r="Q39" s="50">
        <f>'ACADEMIC SUPP 2yr'!Q39+'STU SERVICES 2yr'!Q39+'INST SUPPORT 2yr'!Q39</f>
        <v>45148.826000000001</v>
      </c>
      <c r="R39" s="50">
        <f>'ACADEMIC SUPP 2yr'!R39+'STU SERVICES 2yr'!R39+'INST SUPPORT 2yr'!R39</f>
        <v>51073.05</v>
      </c>
      <c r="S39" s="50">
        <f>'ACADEMIC SUPP 2yr'!S39+'STU SERVICES 2yr'!S39+'INST SUPPORT 2yr'!S39</f>
        <v>54030.668999999994</v>
      </c>
      <c r="T39" s="50">
        <f>'ACADEMIC SUPP 2yr'!T39+'STU SERVICES 2yr'!T39+'INST SUPPORT 2yr'!T39</f>
        <v>65913.402000000002</v>
      </c>
      <c r="U39" s="50">
        <f>'ACADEMIC SUPP 2yr'!U39+'STU SERVICES 2yr'!U39+'INST SUPPORT 2yr'!U39</f>
        <v>69126.032999999996</v>
      </c>
      <c r="V39" s="50">
        <f>'ACADEMIC SUPP 2yr'!V39+'STU SERVICES 2yr'!V39+'INST SUPPORT 2yr'!V39</f>
        <v>79969.778999999995</v>
      </c>
      <c r="W39" s="50">
        <f>'ACADEMIC SUPP 2yr'!W39+'STU SERVICES 2yr'!W39+'INST SUPPORT 2yr'!W39</f>
        <v>85376.163</v>
      </c>
      <c r="X39" s="50">
        <f>'ACADEMIC SUPP 2yr'!X39+'STU SERVICES 2yr'!X39+'INST SUPPORT 2yr'!X39</f>
        <v>93107.622999999992</v>
      </c>
      <c r="Y39" s="50">
        <f>'ACADEMIC SUPP 2yr'!Y39+'STU SERVICES 2yr'!Y39+'INST SUPPORT 2yr'!Y39</f>
        <v>93775.233000000007</v>
      </c>
      <c r="Z39" s="50">
        <f>'ACADEMIC SUPP 2yr'!Z39+'STU SERVICES 2yr'!Z39+'INST SUPPORT 2yr'!Z39</f>
        <v>100738.179</v>
      </c>
      <c r="AA39" s="50">
        <f>'ACADEMIC SUPP 2yr'!AA39+'STU SERVICES 2yr'!AA39+'INST SUPPORT 2yr'!AA39</f>
        <v>106448.12700000001</v>
      </c>
      <c r="AB39" s="50">
        <f>'ACADEMIC SUPP 2yr'!AB39+'STU SERVICES 2yr'!AB39+'INST SUPPORT 2yr'!AB39</f>
        <v>106777.065</v>
      </c>
      <c r="AC39" s="50">
        <f>'ACADEMIC SUPP 2yr'!AC39+'STU SERVICES 2yr'!AC39+'INST SUPPORT 2yr'!AC39</f>
        <v>103649.727</v>
      </c>
    </row>
    <row r="40" spans="1:29">
      <c r="A40" s="7" t="s">
        <v>121</v>
      </c>
      <c r="B40" s="48">
        <f>'ACADEMIC SUPP 2yr'!B40+'STU SERVICES 2yr'!B40+'INST SUPPORT 2yr'!B40</f>
        <v>0</v>
      </c>
      <c r="C40" s="48">
        <f>'ACADEMIC SUPP 2yr'!C40+'STU SERVICES 2yr'!C40+'INST SUPPORT 2yr'!C40</f>
        <v>0</v>
      </c>
      <c r="D40" s="48">
        <f>'ACADEMIC SUPP 2yr'!D40+'STU SERVICES 2yr'!D40+'INST SUPPORT 2yr'!D40</f>
        <v>0</v>
      </c>
      <c r="E40" s="48">
        <f>'ACADEMIC SUPP 2yr'!E40+'STU SERVICES 2yr'!E40+'INST SUPPORT 2yr'!E40</f>
        <v>0</v>
      </c>
      <c r="F40" s="48">
        <f>'ACADEMIC SUPP 2yr'!F40+'STU SERVICES 2yr'!F40+'INST SUPPORT 2yr'!F40</f>
        <v>1272245.8369999998</v>
      </c>
      <c r="G40" s="48">
        <f>'ACADEMIC SUPP 2yr'!G40+'STU SERVICES 2yr'!G40+'INST SUPPORT 2yr'!G40</f>
        <v>0</v>
      </c>
      <c r="H40" s="48">
        <f>'ACADEMIC SUPP 2yr'!H40+'STU SERVICES 2yr'!H40+'INST SUPPORT 2yr'!H40</f>
        <v>0</v>
      </c>
      <c r="I40" s="48">
        <f>'ACADEMIC SUPP 2yr'!I40+'STU SERVICES 2yr'!I40+'INST SUPPORT 2yr'!I40</f>
        <v>1469365.7740000002</v>
      </c>
      <c r="J40" s="48">
        <f>'ACADEMIC SUPP 2yr'!J40+'STU SERVICES 2yr'!J40+'INST SUPPORT 2yr'!J40</f>
        <v>0</v>
      </c>
      <c r="K40" s="48">
        <f>'ACADEMIC SUPP 2yr'!K40+'STU SERVICES 2yr'!K40+'INST SUPPORT 2yr'!K40</f>
        <v>1790511.2345300002</v>
      </c>
      <c r="L40" s="48">
        <f>'ACADEMIC SUPP 2yr'!L40+'STU SERVICES 2yr'!L40+'INST SUPPORT 2yr'!L40</f>
        <v>2108500.3689999999</v>
      </c>
      <c r="M40" s="48">
        <f>'ACADEMIC SUPP 2yr'!M40+'STU SERVICES 2yr'!M40+'INST SUPPORT 2yr'!M40</f>
        <v>2231858.9309999999</v>
      </c>
      <c r="N40" s="48">
        <f>'ACADEMIC SUPP 2yr'!N40+'STU SERVICES 2yr'!N40+'INST SUPPORT 2yr'!N40</f>
        <v>2336605.5209999997</v>
      </c>
      <c r="O40" s="48">
        <f>'ACADEMIC SUPP 2yr'!O40+'STU SERVICES 2yr'!O40+'INST SUPPORT 2yr'!O40</f>
        <v>2308036.3259999999</v>
      </c>
      <c r="P40" s="48">
        <f>'ACADEMIC SUPP 2yr'!P40+'STU SERVICES 2yr'!P40+'INST SUPPORT 2yr'!P40</f>
        <v>2511352.9650000003</v>
      </c>
      <c r="Q40" s="48">
        <f>'ACADEMIC SUPP 2yr'!Q40+'STU SERVICES 2yr'!Q40+'INST SUPPORT 2yr'!Q40</f>
        <v>2528246.1739999996</v>
      </c>
      <c r="R40" s="48">
        <f>'ACADEMIC SUPP 2yr'!R40+'STU SERVICES 2yr'!R40+'INST SUPPORT 2yr'!R40</f>
        <v>2672689.4849999994</v>
      </c>
      <c r="S40" s="48">
        <f>'ACADEMIC SUPP 2yr'!S40+'STU SERVICES 2yr'!S40+'INST SUPPORT 2yr'!S40</f>
        <v>2779598.3</v>
      </c>
      <c r="T40" s="48">
        <f>'ACADEMIC SUPP 2yr'!T40+'STU SERVICES 2yr'!T40+'INST SUPPORT 2yr'!T40</f>
        <v>2999746.6919999998</v>
      </c>
      <c r="U40" s="48">
        <f>'ACADEMIC SUPP 2yr'!U40+'STU SERVICES 2yr'!U40+'INST SUPPORT 2yr'!U40</f>
        <v>3331226.9510000004</v>
      </c>
      <c r="V40" s="48">
        <f>'ACADEMIC SUPP 2yr'!V40+'STU SERVICES 2yr'!V40+'INST SUPPORT 2yr'!V40</f>
        <v>3944127.6030000001</v>
      </c>
      <c r="W40" s="48">
        <f>'ACADEMIC SUPP 2yr'!W40+'STU SERVICES 2yr'!W40+'INST SUPPORT 2yr'!W40</f>
        <v>4171194.5290000001</v>
      </c>
      <c r="X40" s="48">
        <f>'ACADEMIC SUPP 2yr'!X40+'STU SERVICES 2yr'!X40+'INST SUPPORT 2yr'!X40</f>
        <v>4322943.284</v>
      </c>
      <c r="Y40" s="48">
        <f>'ACADEMIC SUPP 2yr'!Y40+'STU SERVICES 2yr'!Y40+'INST SUPPORT 2yr'!Y40</f>
        <v>3431539.6380000003</v>
      </c>
      <c r="Z40" s="48">
        <f>'ACADEMIC SUPP 2yr'!Z40+'STU SERVICES 2yr'!Z40+'INST SUPPORT 2yr'!Z40</f>
        <v>3558907.8480000002</v>
      </c>
      <c r="AA40" s="48">
        <f>'ACADEMIC SUPP 2yr'!AA40+'STU SERVICES 2yr'!AA40+'INST SUPPORT 2yr'!AA40</f>
        <v>3645918</v>
      </c>
      <c r="AB40" s="48">
        <f>'ACADEMIC SUPP 2yr'!AB40+'STU SERVICES 2yr'!AB40+'INST SUPPORT 2yr'!AB40</f>
        <v>4702338.5650000013</v>
      </c>
      <c r="AC40" s="48">
        <f>'ACADEMIC SUPP 2yr'!AC40+'STU SERVICES 2yr'!AC40+'INST SUPPORT 2yr'!AC40</f>
        <v>4832612.3719999995</v>
      </c>
    </row>
    <row r="41" spans="1:29">
      <c r="A41" s="7" t="s">
        <v>119</v>
      </c>
      <c r="B41" s="48">
        <f>'ACADEMIC SUPP 2yr'!B41+'STU SERVICES 2yr'!B41+'INST SUPPORT 2yr'!B41</f>
        <v>0</v>
      </c>
      <c r="C41" s="48">
        <f>'ACADEMIC SUPP 2yr'!C41+'STU SERVICES 2yr'!C41+'INST SUPPORT 2yr'!C41</f>
        <v>0</v>
      </c>
      <c r="D41" s="48">
        <f>'ACADEMIC SUPP 2yr'!D41+'STU SERVICES 2yr'!D41+'INST SUPPORT 2yr'!D41</f>
        <v>0</v>
      </c>
      <c r="E41" s="48">
        <f>'ACADEMIC SUPP 2yr'!E41+'STU SERVICES 2yr'!E41+'INST SUPPORT 2yr'!E41</f>
        <v>0</v>
      </c>
      <c r="F41" s="48">
        <f>'ACADEMIC SUPP 2yr'!F41+'STU SERVICES 2yr'!F41+'INST SUPPORT 2yr'!F41</f>
        <v>0</v>
      </c>
      <c r="G41" s="48">
        <f>'ACADEMIC SUPP 2yr'!G41+'STU SERVICES 2yr'!G41+'INST SUPPORT 2yr'!G41</f>
        <v>0</v>
      </c>
      <c r="H41" s="48">
        <f>'ACADEMIC SUPP 2yr'!H41+'STU SERVICES 2yr'!H41+'INST SUPPORT 2yr'!H41</f>
        <v>0</v>
      </c>
      <c r="I41" s="48">
        <f>'ACADEMIC SUPP 2yr'!I41+'STU SERVICES 2yr'!I41+'INST SUPPORT 2yr'!I41</f>
        <v>0</v>
      </c>
      <c r="J41" s="48">
        <f>'ACADEMIC SUPP 2yr'!J41+'STU SERVICES 2yr'!J41+'INST SUPPORT 2yr'!J41</f>
        <v>0</v>
      </c>
      <c r="K41" s="48">
        <f>'ACADEMIC SUPP 2yr'!K41+'STU SERVICES 2yr'!K41+'INST SUPPORT 2yr'!K41</f>
        <v>0</v>
      </c>
      <c r="L41" s="48">
        <f>'ACADEMIC SUPP 2yr'!L41+'STU SERVICES 2yr'!L41+'INST SUPPORT 2yr'!L41</f>
        <v>0</v>
      </c>
      <c r="M41" s="48">
        <f>'ACADEMIC SUPP 2yr'!M41+'STU SERVICES 2yr'!M41+'INST SUPPORT 2yr'!M41</f>
        <v>0</v>
      </c>
      <c r="N41" s="48">
        <f>'ACADEMIC SUPP 2yr'!N41+'STU SERVICES 2yr'!N41+'INST SUPPORT 2yr'!N41</f>
        <v>0</v>
      </c>
      <c r="O41" s="48">
        <f>'ACADEMIC SUPP 2yr'!O41+'STU SERVICES 2yr'!O41+'INST SUPPORT 2yr'!O41</f>
        <v>0</v>
      </c>
      <c r="P41" s="48">
        <f>'ACADEMIC SUPP 2yr'!P41+'STU SERVICES 2yr'!P41+'INST SUPPORT 2yr'!P41</f>
        <v>0</v>
      </c>
      <c r="Q41" s="48">
        <f>'ACADEMIC SUPP 2yr'!Q41+'STU SERVICES 2yr'!Q41+'INST SUPPORT 2yr'!Q41</f>
        <v>0</v>
      </c>
      <c r="R41" s="48">
        <f>'ACADEMIC SUPP 2yr'!R41+'STU SERVICES 2yr'!R41+'INST SUPPORT 2yr'!R41</f>
        <v>0</v>
      </c>
      <c r="S41" s="48">
        <f>'ACADEMIC SUPP 2yr'!S41+'STU SERVICES 2yr'!S41+'INST SUPPORT 2yr'!S41</f>
        <v>0</v>
      </c>
      <c r="T41" s="48">
        <f>'ACADEMIC SUPP 2yr'!T41+'STU SERVICES 2yr'!T41+'INST SUPPORT 2yr'!T41</f>
        <v>0</v>
      </c>
      <c r="U41" s="48">
        <f>'ACADEMIC SUPP 2yr'!U41+'STU SERVICES 2yr'!U41+'INST SUPPORT 2yr'!U41</f>
        <v>0</v>
      </c>
      <c r="V41" s="48">
        <f>'ACADEMIC SUPP 2yr'!V41+'STU SERVICES 2yr'!V41+'INST SUPPORT 2yr'!V41</f>
        <v>0</v>
      </c>
      <c r="W41" s="48">
        <f>'ACADEMIC SUPP 2yr'!W41+'STU SERVICES 2yr'!W41+'INST SUPPORT 2yr'!W41</f>
        <v>0</v>
      </c>
      <c r="X41" s="48">
        <f>'ACADEMIC SUPP 2yr'!X41+'STU SERVICES 2yr'!X41+'INST SUPPORT 2yr'!X41</f>
        <v>0</v>
      </c>
      <c r="Y41" s="48">
        <f>'ACADEMIC SUPP 2yr'!Y41+'STU SERVICES 2yr'!Y41+'INST SUPPORT 2yr'!Y41</f>
        <v>0</v>
      </c>
      <c r="Z41" s="48">
        <f>'ACADEMIC SUPP 2yr'!Z41+'STU SERVICES 2yr'!Z41+'INST SUPPORT 2yr'!Z41</f>
        <v>0</v>
      </c>
      <c r="AA41" s="48">
        <f>'ACADEMIC SUPP 2yr'!AA41+'STU SERVICES 2yr'!AA41+'INST SUPPORT 2yr'!AA41</f>
        <v>0</v>
      </c>
      <c r="AB41" s="48">
        <f>'ACADEMIC SUPP 2yr'!AB41+'STU SERVICES 2yr'!AB41+'INST SUPPORT 2yr'!AB41</f>
        <v>0</v>
      </c>
      <c r="AC41" s="48">
        <f>'ACADEMIC SUPP 2yr'!AC41+'STU SERVICES 2yr'!AC41+'INST SUPPORT 2yr'!AC41</f>
        <v>0</v>
      </c>
    </row>
    <row r="42" spans="1:29">
      <c r="A42" s="1" t="s">
        <v>93</v>
      </c>
      <c r="B42" s="48">
        <f>'ACADEMIC SUPP 2yr'!B42+'STU SERVICES 2yr'!B42+'INST SUPPORT 2yr'!B42</f>
        <v>0</v>
      </c>
      <c r="C42" s="48">
        <f>'ACADEMIC SUPP 2yr'!C42+'STU SERVICES 2yr'!C42+'INST SUPPORT 2yr'!C42</f>
        <v>0</v>
      </c>
      <c r="D42" s="48">
        <f>'ACADEMIC SUPP 2yr'!D42+'STU SERVICES 2yr'!D42+'INST SUPPORT 2yr'!D42</f>
        <v>0</v>
      </c>
      <c r="E42" s="48">
        <f>'ACADEMIC SUPP 2yr'!E42+'STU SERVICES 2yr'!E42+'INST SUPPORT 2yr'!E42</f>
        <v>0</v>
      </c>
      <c r="F42" s="48">
        <f>'ACADEMIC SUPP 2yr'!F42+'STU SERVICES 2yr'!F42+'INST SUPPORT 2yr'!F42</f>
        <v>311986.93900000001</v>
      </c>
      <c r="G42" s="48">
        <f>'ACADEMIC SUPP 2yr'!G42+'STU SERVICES 2yr'!G42+'INST SUPPORT 2yr'!G42</f>
        <v>0</v>
      </c>
      <c r="H42" s="48">
        <f>'ACADEMIC SUPP 2yr'!H42+'STU SERVICES 2yr'!H42+'INST SUPPORT 2yr'!H42</f>
        <v>0</v>
      </c>
      <c r="I42" s="48">
        <f>'ACADEMIC SUPP 2yr'!I42+'STU SERVICES 2yr'!I42+'INST SUPPORT 2yr'!I42</f>
        <v>379695.67700000003</v>
      </c>
      <c r="J42" s="48">
        <f>'ACADEMIC SUPP 2yr'!J42+'STU SERVICES 2yr'!J42+'INST SUPPORT 2yr'!J42</f>
        <v>0</v>
      </c>
      <c r="K42" s="48">
        <f>'ACADEMIC SUPP 2yr'!K42+'STU SERVICES 2yr'!K42+'INST SUPPORT 2yr'!K42</f>
        <v>448148.63328000001</v>
      </c>
      <c r="L42" s="48">
        <f>'ACADEMIC SUPP 2yr'!L42+'STU SERVICES 2yr'!L42+'INST SUPPORT 2yr'!L42</f>
        <v>562355.98600000003</v>
      </c>
      <c r="M42" s="48">
        <f>'ACADEMIC SUPP 2yr'!M42+'STU SERVICES 2yr'!M42+'INST SUPPORT 2yr'!M42</f>
        <v>585028.63100000005</v>
      </c>
      <c r="N42" s="48">
        <f>'ACADEMIC SUPP 2yr'!N42+'STU SERVICES 2yr'!N42+'INST SUPPORT 2yr'!N42</f>
        <v>604544.66</v>
      </c>
      <c r="O42" s="48">
        <f>'ACADEMIC SUPP 2yr'!O42+'STU SERVICES 2yr'!O42+'INST SUPPORT 2yr'!O42</f>
        <v>520947</v>
      </c>
      <c r="P42" s="48">
        <f>'ACADEMIC SUPP 2yr'!P42+'STU SERVICES 2yr'!P42+'INST SUPPORT 2yr'!P42</f>
        <v>651449.03200000001</v>
      </c>
      <c r="Q42" s="48">
        <f>'ACADEMIC SUPP 2yr'!Q42+'STU SERVICES 2yr'!Q42+'INST SUPPORT 2yr'!Q42</f>
        <v>582977.11199999996</v>
      </c>
      <c r="R42" s="48">
        <f>'ACADEMIC SUPP 2yr'!R42+'STU SERVICES 2yr'!R42+'INST SUPPORT 2yr'!R42</f>
        <v>609755.82799999998</v>
      </c>
      <c r="S42" s="48">
        <f>'ACADEMIC SUPP 2yr'!S42+'STU SERVICES 2yr'!S42+'INST SUPPORT 2yr'!S42</f>
        <v>645945.94699999993</v>
      </c>
      <c r="T42" s="48">
        <f>'ACADEMIC SUPP 2yr'!T42+'STU SERVICES 2yr'!T42+'INST SUPPORT 2yr'!T42</f>
        <v>716142.73399999994</v>
      </c>
      <c r="U42" s="48">
        <f>'ACADEMIC SUPP 2yr'!U42+'STU SERVICES 2yr'!U42+'INST SUPPORT 2yr'!U42</f>
        <v>793921.67699999991</v>
      </c>
      <c r="V42" s="48">
        <f>'ACADEMIC SUPP 2yr'!V42+'STU SERVICES 2yr'!V42+'INST SUPPORT 2yr'!V42</f>
        <v>934306.53300000005</v>
      </c>
      <c r="W42" s="48">
        <f>'ACADEMIC SUPP 2yr'!W42+'STU SERVICES 2yr'!W42+'INST SUPPORT 2yr'!W42</f>
        <v>986608.73400000005</v>
      </c>
      <c r="X42" s="48">
        <f>'ACADEMIC SUPP 2yr'!X42+'STU SERVICES 2yr'!X42+'INST SUPPORT 2yr'!X42</f>
        <v>1025142.928</v>
      </c>
      <c r="Y42" s="48">
        <f>'ACADEMIC SUPP 2yr'!Y42+'STU SERVICES 2yr'!Y42+'INST SUPPORT 2yr'!Y42</f>
        <v>636164.81000000006</v>
      </c>
      <c r="Z42" s="48">
        <f>'ACADEMIC SUPP 2yr'!Z42+'STU SERVICES 2yr'!Z42+'INST SUPPORT 2yr'!Z42</f>
        <v>658338.72399999993</v>
      </c>
      <c r="AA42" s="48">
        <f>'ACADEMIC SUPP 2yr'!AA42+'STU SERVICES 2yr'!AA42+'INST SUPPORT 2yr'!AA42</f>
        <v>699176.29399999999</v>
      </c>
      <c r="AB42" s="48">
        <f>'ACADEMIC SUPP 2yr'!AB42+'STU SERVICES 2yr'!AB42+'INST SUPPORT 2yr'!AB42</f>
        <v>1151765.983</v>
      </c>
      <c r="AC42" s="48">
        <f>'ACADEMIC SUPP 2yr'!AC42+'STU SERVICES 2yr'!AC42+'INST SUPPORT 2yr'!AC42</f>
        <v>1195997.6230000001</v>
      </c>
    </row>
    <row r="43" spans="1:29">
      <c r="A43" s="1" t="s">
        <v>58</v>
      </c>
      <c r="B43" s="48">
        <f>'ACADEMIC SUPP 2yr'!B43+'STU SERVICES 2yr'!B43+'INST SUPPORT 2yr'!B43</f>
        <v>0</v>
      </c>
      <c r="C43" s="48">
        <f>'ACADEMIC SUPP 2yr'!C43+'STU SERVICES 2yr'!C43+'INST SUPPORT 2yr'!C43</f>
        <v>0</v>
      </c>
      <c r="D43" s="48">
        <f>'ACADEMIC SUPP 2yr'!D43+'STU SERVICES 2yr'!D43+'INST SUPPORT 2yr'!D43</f>
        <v>0</v>
      </c>
      <c r="E43" s="48">
        <f>'ACADEMIC SUPP 2yr'!E43+'STU SERVICES 2yr'!E43+'INST SUPPORT 2yr'!E43</f>
        <v>0</v>
      </c>
      <c r="F43" s="48">
        <f>'ACADEMIC SUPP 2yr'!F43+'STU SERVICES 2yr'!F43+'INST SUPPORT 2yr'!F43</f>
        <v>43457.861000000004</v>
      </c>
      <c r="G43" s="48">
        <f>'ACADEMIC SUPP 2yr'!G43+'STU SERVICES 2yr'!G43+'INST SUPPORT 2yr'!G43</f>
        <v>0</v>
      </c>
      <c r="H43" s="48">
        <f>'ACADEMIC SUPP 2yr'!H43+'STU SERVICES 2yr'!H43+'INST SUPPORT 2yr'!H43</f>
        <v>0</v>
      </c>
      <c r="I43" s="48">
        <f>'ACADEMIC SUPP 2yr'!I43+'STU SERVICES 2yr'!I43+'INST SUPPORT 2yr'!I43</f>
        <v>47981.884999999995</v>
      </c>
      <c r="J43" s="48">
        <f>'ACADEMIC SUPP 2yr'!J43+'STU SERVICES 2yr'!J43+'INST SUPPORT 2yr'!J43</f>
        <v>0</v>
      </c>
      <c r="K43" s="48">
        <f>'ACADEMIC SUPP 2yr'!K43+'STU SERVICES 2yr'!K43+'INST SUPPORT 2yr'!K43</f>
        <v>65144.349000000002</v>
      </c>
      <c r="L43" s="48">
        <f>'ACADEMIC SUPP 2yr'!L43+'STU SERVICES 2yr'!L43+'INST SUPPORT 2yr'!L43</f>
        <v>60696.457999999999</v>
      </c>
      <c r="M43" s="48">
        <f>'ACADEMIC SUPP 2yr'!M43+'STU SERVICES 2yr'!M43+'INST SUPPORT 2yr'!M43</f>
        <v>64717.021000000001</v>
      </c>
      <c r="N43" s="48">
        <f>'ACADEMIC SUPP 2yr'!N43+'STU SERVICES 2yr'!N43+'INST SUPPORT 2yr'!N43</f>
        <v>69654.95</v>
      </c>
      <c r="O43" s="48">
        <f>'ACADEMIC SUPP 2yr'!O43+'STU SERVICES 2yr'!O43+'INST SUPPORT 2yr'!O43</f>
        <v>71436.22099999999</v>
      </c>
      <c r="P43" s="48">
        <f>'ACADEMIC SUPP 2yr'!P43+'STU SERVICES 2yr'!P43+'INST SUPPORT 2yr'!P43</f>
        <v>63721.611000000004</v>
      </c>
      <c r="Q43" s="48">
        <f>'ACADEMIC SUPP 2yr'!Q43+'STU SERVICES 2yr'!Q43+'INST SUPPORT 2yr'!Q43</f>
        <v>77140.638000000006</v>
      </c>
      <c r="R43" s="48">
        <f>'ACADEMIC SUPP 2yr'!R43+'STU SERVICES 2yr'!R43+'INST SUPPORT 2yr'!R43</f>
        <v>83347.364999999991</v>
      </c>
      <c r="S43" s="48">
        <f>'ACADEMIC SUPP 2yr'!S43+'STU SERVICES 2yr'!S43+'INST SUPPORT 2yr'!S43</f>
        <v>89218.118999999992</v>
      </c>
      <c r="T43" s="48">
        <f>'ACADEMIC SUPP 2yr'!T43+'STU SERVICES 2yr'!T43+'INST SUPPORT 2yr'!T43</f>
        <v>80871.945999999996</v>
      </c>
      <c r="U43" s="48">
        <f>'ACADEMIC SUPP 2yr'!U43+'STU SERVICES 2yr'!U43+'INST SUPPORT 2yr'!U43</f>
        <v>108101.739</v>
      </c>
      <c r="V43" s="48">
        <f>'ACADEMIC SUPP 2yr'!V43+'STU SERVICES 2yr'!V43+'INST SUPPORT 2yr'!V43</f>
        <v>146151.04800000001</v>
      </c>
      <c r="W43" s="48">
        <f>'ACADEMIC SUPP 2yr'!W43+'STU SERVICES 2yr'!W43+'INST SUPPORT 2yr'!W43</f>
        <v>148926.603</v>
      </c>
      <c r="X43" s="48">
        <f>'ACADEMIC SUPP 2yr'!X43+'STU SERVICES 2yr'!X43+'INST SUPPORT 2yr'!X43</f>
        <v>217520.23200000002</v>
      </c>
      <c r="Y43" s="48">
        <f>'ACADEMIC SUPP 2yr'!Y43+'STU SERVICES 2yr'!Y43+'INST SUPPORT 2yr'!Y43</f>
        <v>239742.07400000002</v>
      </c>
      <c r="Z43" s="48">
        <f>'ACADEMIC SUPP 2yr'!Z43+'STU SERVICES 2yr'!Z43+'INST SUPPORT 2yr'!Z43</f>
        <v>249946.02000000002</v>
      </c>
      <c r="AA43" s="48">
        <f>'ACADEMIC SUPP 2yr'!AA43+'STU SERVICES 2yr'!AA43+'INST SUPPORT 2yr'!AA43</f>
        <v>245106.10700000002</v>
      </c>
      <c r="AB43" s="48">
        <f>'ACADEMIC SUPP 2yr'!AB43+'STU SERVICES 2yr'!AB43+'INST SUPPORT 2yr'!AB43</f>
        <v>190874.15100000001</v>
      </c>
      <c r="AC43" s="48">
        <f>'ACADEMIC SUPP 2yr'!AC43+'STU SERVICES 2yr'!AC43+'INST SUPPORT 2yr'!AC43</f>
        <v>223699.579</v>
      </c>
    </row>
    <row r="44" spans="1:29">
      <c r="A44" s="1" t="s">
        <v>94</v>
      </c>
      <c r="B44" s="48">
        <f>'ACADEMIC SUPP 2yr'!B44+'STU SERVICES 2yr'!B44+'INST SUPPORT 2yr'!B44</f>
        <v>0</v>
      </c>
      <c r="C44" s="48">
        <f>'ACADEMIC SUPP 2yr'!C44+'STU SERVICES 2yr'!C44+'INST SUPPORT 2yr'!C44</f>
        <v>0</v>
      </c>
      <c r="D44" s="48">
        <f>'ACADEMIC SUPP 2yr'!D44+'STU SERVICES 2yr'!D44+'INST SUPPORT 2yr'!D44</f>
        <v>0</v>
      </c>
      <c r="E44" s="48">
        <f>'ACADEMIC SUPP 2yr'!E44+'STU SERVICES 2yr'!E44+'INST SUPPORT 2yr'!E44</f>
        <v>0</v>
      </c>
      <c r="F44" s="48">
        <f>'ACADEMIC SUPP 2yr'!F44+'STU SERVICES 2yr'!F44+'INST SUPPORT 2yr'!F44</f>
        <v>76347.894</v>
      </c>
      <c r="G44" s="48">
        <f>'ACADEMIC SUPP 2yr'!G44+'STU SERVICES 2yr'!G44+'INST SUPPORT 2yr'!G44</f>
        <v>0</v>
      </c>
      <c r="H44" s="48">
        <f>'ACADEMIC SUPP 2yr'!H44+'STU SERVICES 2yr'!H44+'INST SUPPORT 2yr'!H44</f>
        <v>0</v>
      </c>
      <c r="I44" s="48">
        <f>'ACADEMIC SUPP 2yr'!I44+'STU SERVICES 2yr'!I44+'INST SUPPORT 2yr'!I44</f>
        <v>88547.54</v>
      </c>
      <c r="J44" s="48">
        <f>'ACADEMIC SUPP 2yr'!J44+'STU SERVICES 2yr'!J44+'INST SUPPORT 2yr'!J44</f>
        <v>0</v>
      </c>
      <c r="K44" s="48">
        <f>'ACADEMIC SUPP 2yr'!K44+'STU SERVICES 2yr'!K44+'INST SUPPORT 2yr'!K44</f>
        <v>95727.758000000002</v>
      </c>
      <c r="L44" s="48">
        <f>'ACADEMIC SUPP 2yr'!L44+'STU SERVICES 2yr'!L44+'INST SUPPORT 2yr'!L44</f>
        <v>128138.35800000001</v>
      </c>
      <c r="M44" s="48">
        <f>'ACADEMIC SUPP 2yr'!M44+'STU SERVICES 2yr'!M44+'INST SUPPORT 2yr'!M44</f>
        <v>134592.36799999999</v>
      </c>
      <c r="N44" s="48">
        <f>'ACADEMIC SUPP 2yr'!N44+'STU SERVICES 2yr'!N44+'INST SUPPORT 2yr'!N44</f>
        <v>145672.845</v>
      </c>
      <c r="O44" s="48">
        <f>'ACADEMIC SUPP 2yr'!O44+'STU SERVICES 2yr'!O44+'INST SUPPORT 2yr'!O44</f>
        <v>129632.405</v>
      </c>
      <c r="P44" s="48">
        <f>'ACADEMIC SUPP 2yr'!P44+'STU SERVICES 2yr'!P44+'INST SUPPORT 2yr'!P44</f>
        <v>146148.09999999998</v>
      </c>
      <c r="Q44" s="48">
        <f>'ACADEMIC SUPP 2yr'!Q44+'STU SERVICES 2yr'!Q44+'INST SUPPORT 2yr'!Q44</f>
        <v>152845.65299999999</v>
      </c>
      <c r="R44" s="48">
        <f>'ACADEMIC SUPP 2yr'!R44+'STU SERVICES 2yr'!R44+'INST SUPPORT 2yr'!R44</f>
        <v>165134.296</v>
      </c>
      <c r="S44" s="48">
        <f>'ACADEMIC SUPP 2yr'!S44+'STU SERVICES 2yr'!S44+'INST SUPPORT 2yr'!S44</f>
        <v>175150.49099999998</v>
      </c>
      <c r="T44" s="48">
        <f>'ACADEMIC SUPP 2yr'!T44+'STU SERVICES 2yr'!T44+'INST SUPPORT 2yr'!T44</f>
        <v>190649.93599999999</v>
      </c>
      <c r="U44" s="48">
        <f>'ACADEMIC SUPP 2yr'!U44+'STU SERVICES 2yr'!U44+'INST SUPPORT 2yr'!U44</f>
        <v>208011.27299999999</v>
      </c>
      <c r="V44" s="48">
        <f>'ACADEMIC SUPP 2yr'!V44+'STU SERVICES 2yr'!V44+'INST SUPPORT 2yr'!V44</f>
        <v>243574.94100000002</v>
      </c>
      <c r="W44" s="48">
        <f>'ACADEMIC SUPP 2yr'!W44+'STU SERVICES 2yr'!W44+'INST SUPPORT 2yr'!W44</f>
        <v>254998.94899999999</v>
      </c>
      <c r="X44" s="48">
        <f>'ACADEMIC SUPP 2yr'!X44+'STU SERVICES 2yr'!X44+'INST SUPPORT 2yr'!X44</f>
        <v>266470.3</v>
      </c>
      <c r="Y44" s="48">
        <f>'ACADEMIC SUPP 2yr'!Y44+'STU SERVICES 2yr'!Y44+'INST SUPPORT 2yr'!Y44</f>
        <v>259969.851</v>
      </c>
      <c r="Z44" s="48">
        <f>'ACADEMIC SUPP 2yr'!Z44+'STU SERVICES 2yr'!Z44+'INST SUPPORT 2yr'!Z44</f>
        <v>274786.46799999999</v>
      </c>
      <c r="AA44" s="48">
        <f>'ACADEMIC SUPP 2yr'!AA44+'STU SERVICES 2yr'!AA44+'INST SUPPORT 2yr'!AA44</f>
        <v>284918.03700000001</v>
      </c>
      <c r="AB44" s="48">
        <f>'ACADEMIC SUPP 2yr'!AB44+'STU SERVICES 2yr'!AB44+'INST SUPPORT 2yr'!AB44</f>
        <v>315056.799</v>
      </c>
      <c r="AC44" s="48">
        <f>'ACADEMIC SUPP 2yr'!AC44+'STU SERVICES 2yr'!AC44+'INST SUPPORT 2yr'!AC44</f>
        <v>329590.21299999999</v>
      </c>
    </row>
    <row r="45" spans="1:29">
      <c r="A45" s="1" t="s">
        <v>95</v>
      </c>
      <c r="B45" s="48">
        <f>'ACADEMIC SUPP 2yr'!B45+'STU SERVICES 2yr'!B45+'INST SUPPORT 2yr'!B45</f>
        <v>0</v>
      </c>
      <c r="C45" s="48">
        <f>'ACADEMIC SUPP 2yr'!C45+'STU SERVICES 2yr'!C45+'INST SUPPORT 2yr'!C45</f>
        <v>0</v>
      </c>
      <c r="D45" s="48">
        <f>'ACADEMIC SUPP 2yr'!D45+'STU SERVICES 2yr'!D45+'INST SUPPORT 2yr'!D45</f>
        <v>0</v>
      </c>
      <c r="E45" s="48">
        <f>'ACADEMIC SUPP 2yr'!E45+'STU SERVICES 2yr'!E45+'INST SUPPORT 2yr'!E45</f>
        <v>0</v>
      </c>
      <c r="F45" s="48">
        <f>'ACADEMIC SUPP 2yr'!F45+'STU SERVICES 2yr'!F45+'INST SUPPORT 2yr'!F45</f>
        <v>73604.540999999997</v>
      </c>
      <c r="G45" s="48">
        <f>'ACADEMIC SUPP 2yr'!G45+'STU SERVICES 2yr'!G45+'INST SUPPORT 2yr'!G45</f>
        <v>0</v>
      </c>
      <c r="H45" s="48">
        <f>'ACADEMIC SUPP 2yr'!H45+'STU SERVICES 2yr'!H45+'INST SUPPORT 2yr'!H45</f>
        <v>0</v>
      </c>
      <c r="I45" s="48">
        <f>'ACADEMIC SUPP 2yr'!I45+'STU SERVICES 2yr'!I45+'INST SUPPORT 2yr'!I45</f>
        <v>88489.752999999997</v>
      </c>
      <c r="J45" s="48">
        <f>'ACADEMIC SUPP 2yr'!J45+'STU SERVICES 2yr'!J45+'INST SUPPORT 2yr'!J45</f>
        <v>0</v>
      </c>
      <c r="K45" s="48">
        <f>'ACADEMIC SUPP 2yr'!K45+'STU SERVICES 2yr'!K45+'INST SUPPORT 2yr'!K45</f>
        <v>101900.63828000001</v>
      </c>
      <c r="L45" s="48">
        <f>'ACADEMIC SUPP 2yr'!L45+'STU SERVICES 2yr'!L45+'INST SUPPORT 2yr'!L45</f>
        <v>121717.31200000001</v>
      </c>
      <c r="M45" s="48">
        <f>'ACADEMIC SUPP 2yr'!M45+'STU SERVICES 2yr'!M45+'INST SUPPORT 2yr'!M45</f>
        <v>133787.823</v>
      </c>
      <c r="N45" s="48">
        <f>'ACADEMIC SUPP 2yr'!N45+'STU SERVICES 2yr'!N45+'INST SUPPORT 2yr'!N45</f>
        <v>142745.83000000002</v>
      </c>
      <c r="O45" s="48">
        <f>'ACADEMIC SUPP 2yr'!O45+'STU SERVICES 2yr'!O45+'INST SUPPORT 2yr'!O45</f>
        <v>139117.91800000001</v>
      </c>
      <c r="P45" s="48">
        <f>'ACADEMIC SUPP 2yr'!P45+'STU SERVICES 2yr'!P45+'INST SUPPORT 2yr'!P45</f>
        <v>141067.07</v>
      </c>
      <c r="Q45" s="48">
        <f>'ACADEMIC SUPP 2yr'!Q45+'STU SERVICES 2yr'!Q45+'INST SUPPORT 2yr'!Q45</f>
        <v>154373.23800000001</v>
      </c>
      <c r="R45" s="48">
        <f>'ACADEMIC SUPP 2yr'!R45+'STU SERVICES 2yr'!R45+'INST SUPPORT 2yr'!R45</f>
        <v>165596.891</v>
      </c>
      <c r="S45" s="48">
        <f>'ACADEMIC SUPP 2yr'!S45+'STU SERVICES 2yr'!S45+'INST SUPPORT 2yr'!S45</f>
        <v>177605.48200000002</v>
      </c>
      <c r="T45" s="48">
        <f>'ACADEMIC SUPP 2yr'!T45+'STU SERVICES 2yr'!T45+'INST SUPPORT 2yr'!T45</f>
        <v>187454.18599999999</v>
      </c>
      <c r="U45" s="48">
        <f>'ACADEMIC SUPP 2yr'!U45+'STU SERVICES 2yr'!U45+'INST SUPPORT 2yr'!U45</f>
        <v>217369.16200000001</v>
      </c>
      <c r="V45" s="48">
        <f>'ACADEMIC SUPP 2yr'!V45+'STU SERVICES 2yr'!V45+'INST SUPPORT 2yr'!V45</f>
        <v>241741.652</v>
      </c>
      <c r="W45" s="48">
        <f>'ACADEMIC SUPP 2yr'!W45+'STU SERVICES 2yr'!W45+'INST SUPPORT 2yr'!W45</f>
        <v>248872.09099999999</v>
      </c>
      <c r="X45" s="48">
        <f>'ACADEMIC SUPP 2yr'!X45+'STU SERVICES 2yr'!X45+'INST SUPPORT 2yr'!X45</f>
        <v>259796.80600000004</v>
      </c>
      <c r="Y45" s="48">
        <f>'ACADEMIC SUPP 2yr'!Y45+'STU SERVICES 2yr'!Y45+'INST SUPPORT 2yr'!Y45</f>
        <v>217562.886</v>
      </c>
      <c r="Z45" s="48">
        <f>'ACADEMIC SUPP 2yr'!Z45+'STU SERVICES 2yr'!Z45+'INST SUPPORT 2yr'!Z45</f>
        <v>221023.27900000001</v>
      </c>
      <c r="AA45" s="48">
        <f>'ACADEMIC SUPP 2yr'!AA45+'STU SERVICES 2yr'!AA45+'INST SUPPORT 2yr'!AA45</f>
        <v>232202.413</v>
      </c>
      <c r="AB45" s="48">
        <f>'ACADEMIC SUPP 2yr'!AB45+'STU SERVICES 2yr'!AB45+'INST SUPPORT 2yr'!AB45</f>
        <v>289812.31599999999</v>
      </c>
      <c r="AC45" s="48">
        <f>'ACADEMIC SUPP 2yr'!AC45+'STU SERVICES 2yr'!AC45+'INST SUPPORT 2yr'!AC45</f>
        <v>291018.77600000001</v>
      </c>
    </row>
    <row r="46" spans="1:29">
      <c r="A46" s="1" t="s">
        <v>98</v>
      </c>
      <c r="B46" s="48">
        <f>'ACADEMIC SUPP 2yr'!B46+'STU SERVICES 2yr'!B46+'INST SUPPORT 2yr'!B46</f>
        <v>0</v>
      </c>
      <c r="C46" s="48">
        <f>'ACADEMIC SUPP 2yr'!C46+'STU SERVICES 2yr'!C46+'INST SUPPORT 2yr'!C46</f>
        <v>0</v>
      </c>
      <c r="D46" s="48">
        <f>'ACADEMIC SUPP 2yr'!D46+'STU SERVICES 2yr'!D46+'INST SUPPORT 2yr'!D46</f>
        <v>0</v>
      </c>
      <c r="E46" s="48">
        <f>'ACADEMIC SUPP 2yr'!E46+'STU SERVICES 2yr'!E46+'INST SUPPORT 2yr'!E46</f>
        <v>0</v>
      </c>
      <c r="F46" s="48">
        <f>'ACADEMIC SUPP 2yr'!F46+'STU SERVICES 2yr'!F46+'INST SUPPORT 2yr'!F46</f>
        <v>266520.36499999999</v>
      </c>
      <c r="G46" s="48">
        <f>'ACADEMIC SUPP 2yr'!G46+'STU SERVICES 2yr'!G46+'INST SUPPORT 2yr'!G46</f>
        <v>0</v>
      </c>
      <c r="H46" s="48">
        <f>'ACADEMIC SUPP 2yr'!H46+'STU SERVICES 2yr'!H46+'INST SUPPORT 2yr'!H46</f>
        <v>0</v>
      </c>
      <c r="I46" s="48">
        <f>'ACADEMIC SUPP 2yr'!I46+'STU SERVICES 2yr'!I46+'INST SUPPORT 2yr'!I46</f>
        <v>298278.01699999999</v>
      </c>
      <c r="J46" s="48">
        <f>'ACADEMIC SUPP 2yr'!J46+'STU SERVICES 2yr'!J46+'INST SUPPORT 2yr'!J46</f>
        <v>0</v>
      </c>
      <c r="K46" s="48">
        <f>'ACADEMIC SUPP 2yr'!K46+'STU SERVICES 2yr'!K46+'INST SUPPORT 2yr'!K46</f>
        <v>330907.00781000004</v>
      </c>
      <c r="L46" s="48">
        <f>'ACADEMIC SUPP 2yr'!L46+'STU SERVICES 2yr'!L46+'INST SUPPORT 2yr'!L46</f>
        <v>406954.98499999999</v>
      </c>
      <c r="M46" s="48">
        <f>'ACADEMIC SUPP 2yr'!M46+'STU SERVICES 2yr'!M46+'INST SUPPORT 2yr'!M46</f>
        <v>420820.08600000001</v>
      </c>
      <c r="N46" s="48">
        <f>'ACADEMIC SUPP 2yr'!N46+'STU SERVICES 2yr'!N46+'INST SUPPORT 2yr'!N46</f>
        <v>481042.09600000002</v>
      </c>
      <c r="O46" s="48">
        <f>'ACADEMIC SUPP 2yr'!O46+'STU SERVICES 2yr'!O46+'INST SUPPORT 2yr'!O46</f>
        <v>511733.71699999995</v>
      </c>
      <c r="P46" s="48">
        <f>'ACADEMIC SUPP 2yr'!P46+'STU SERVICES 2yr'!P46+'INST SUPPORT 2yr'!P46</f>
        <v>538565.59499999997</v>
      </c>
      <c r="Q46" s="48">
        <f>'ACADEMIC SUPP 2yr'!Q46+'STU SERVICES 2yr'!Q46+'INST SUPPORT 2yr'!Q46</f>
        <v>534737.54799999995</v>
      </c>
      <c r="R46" s="48">
        <f>'ACADEMIC SUPP 2yr'!R46+'STU SERVICES 2yr'!R46+'INST SUPPORT 2yr'!R46</f>
        <v>561118.97</v>
      </c>
      <c r="S46" s="48">
        <f>'ACADEMIC SUPP 2yr'!S46+'STU SERVICES 2yr'!S46+'INST SUPPORT 2yr'!S46</f>
        <v>585003.08900000004</v>
      </c>
      <c r="T46" s="48">
        <f>'ACADEMIC SUPP 2yr'!T46+'STU SERVICES 2yr'!T46+'INST SUPPORT 2yr'!T46</f>
        <v>573912.62100000004</v>
      </c>
      <c r="U46" s="48">
        <f>'ACADEMIC SUPP 2yr'!U46+'STU SERVICES 2yr'!U46+'INST SUPPORT 2yr'!U46</f>
        <v>605469.13199999998</v>
      </c>
      <c r="V46" s="48">
        <f>'ACADEMIC SUPP 2yr'!V46+'STU SERVICES 2yr'!V46+'INST SUPPORT 2yr'!V46</f>
        <v>767852.57199999993</v>
      </c>
      <c r="W46" s="48">
        <f>'ACADEMIC SUPP 2yr'!W46+'STU SERVICES 2yr'!W46+'INST SUPPORT 2yr'!W46</f>
        <v>746227.91499999992</v>
      </c>
      <c r="X46" s="48">
        <f>'ACADEMIC SUPP 2yr'!X46+'STU SERVICES 2yr'!X46+'INST SUPPORT 2yr'!X46</f>
        <v>751411.18099999998</v>
      </c>
      <c r="Y46" s="48">
        <f>'ACADEMIC SUPP 2yr'!Y46+'STU SERVICES 2yr'!Y46+'INST SUPPORT 2yr'!Y46</f>
        <v>678114.201</v>
      </c>
      <c r="Z46" s="48">
        <f>'ACADEMIC SUPP 2yr'!Z46+'STU SERVICES 2yr'!Z46+'INST SUPPORT 2yr'!Z46</f>
        <v>668569.93900000001</v>
      </c>
      <c r="AA46" s="48">
        <f>'ACADEMIC SUPP 2yr'!AA46+'STU SERVICES 2yr'!AA46+'INST SUPPORT 2yr'!AA46</f>
        <v>694181.51</v>
      </c>
      <c r="AB46" s="48">
        <f>'ACADEMIC SUPP 2yr'!AB46+'STU SERVICES 2yr'!AB46+'INST SUPPORT 2yr'!AB46</f>
        <v>747551.60600000003</v>
      </c>
      <c r="AC46" s="48">
        <f>'ACADEMIC SUPP 2yr'!AC46+'STU SERVICES 2yr'!AC46+'INST SUPPORT 2yr'!AC46</f>
        <v>750363.95799999998</v>
      </c>
    </row>
    <row r="47" spans="1:29">
      <c r="A47" s="1" t="s">
        <v>99</v>
      </c>
      <c r="B47" s="48">
        <f>'ACADEMIC SUPP 2yr'!B47+'STU SERVICES 2yr'!B47+'INST SUPPORT 2yr'!B47</f>
        <v>0</v>
      </c>
      <c r="C47" s="48">
        <f>'ACADEMIC SUPP 2yr'!C47+'STU SERVICES 2yr'!C47+'INST SUPPORT 2yr'!C47</f>
        <v>0</v>
      </c>
      <c r="D47" s="48">
        <f>'ACADEMIC SUPP 2yr'!D47+'STU SERVICES 2yr'!D47+'INST SUPPORT 2yr'!D47</f>
        <v>0</v>
      </c>
      <c r="E47" s="48">
        <f>'ACADEMIC SUPP 2yr'!E47+'STU SERVICES 2yr'!E47+'INST SUPPORT 2yr'!E47</f>
        <v>0</v>
      </c>
      <c r="F47" s="48">
        <f>'ACADEMIC SUPP 2yr'!F47+'STU SERVICES 2yr'!F47+'INST SUPPORT 2yr'!F47</f>
        <v>113633.352</v>
      </c>
      <c r="G47" s="48">
        <f>'ACADEMIC SUPP 2yr'!G47+'STU SERVICES 2yr'!G47+'INST SUPPORT 2yr'!G47</f>
        <v>0</v>
      </c>
      <c r="H47" s="48">
        <f>'ACADEMIC SUPP 2yr'!H47+'STU SERVICES 2yr'!H47+'INST SUPPORT 2yr'!H47</f>
        <v>0</v>
      </c>
      <c r="I47" s="48">
        <f>'ACADEMIC SUPP 2yr'!I47+'STU SERVICES 2yr'!I47+'INST SUPPORT 2yr'!I47</f>
        <v>154117.34299999999</v>
      </c>
      <c r="J47" s="48">
        <f>'ACADEMIC SUPP 2yr'!J47+'STU SERVICES 2yr'!J47+'INST SUPPORT 2yr'!J47</f>
        <v>0</v>
      </c>
      <c r="K47" s="48">
        <f>'ACADEMIC SUPP 2yr'!K47+'STU SERVICES 2yr'!K47+'INST SUPPORT 2yr'!K47</f>
        <v>204374.09265000001</v>
      </c>
      <c r="L47" s="48">
        <f>'ACADEMIC SUPP 2yr'!L47+'STU SERVICES 2yr'!L47+'INST SUPPORT 2yr'!L47</f>
        <v>222265.57299999997</v>
      </c>
      <c r="M47" s="48">
        <f>'ACADEMIC SUPP 2yr'!M47+'STU SERVICES 2yr'!M47+'INST SUPPORT 2yr'!M47</f>
        <v>241668.67799999999</v>
      </c>
      <c r="N47" s="48">
        <f>'ACADEMIC SUPP 2yr'!N47+'STU SERVICES 2yr'!N47+'INST SUPPORT 2yr'!N47</f>
        <v>242735.448</v>
      </c>
      <c r="O47" s="48">
        <f>'ACADEMIC SUPP 2yr'!O47+'STU SERVICES 2yr'!O47+'INST SUPPORT 2yr'!O47</f>
        <v>230977.22899999999</v>
      </c>
      <c r="P47" s="48">
        <f>'ACADEMIC SUPP 2yr'!P47+'STU SERVICES 2yr'!P47+'INST SUPPORT 2yr'!P47</f>
        <v>248517.46500000003</v>
      </c>
      <c r="Q47" s="48">
        <f>'ACADEMIC SUPP 2yr'!Q47+'STU SERVICES 2yr'!Q47+'INST SUPPORT 2yr'!Q47</f>
        <v>264486.223</v>
      </c>
      <c r="R47" s="48">
        <f>'ACADEMIC SUPP 2yr'!R47+'STU SERVICES 2yr'!R47+'INST SUPPORT 2yr'!R47</f>
        <v>278514.16899999999</v>
      </c>
      <c r="S47" s="48">
        <f>'ACADEMIC SUPP 2yr'!S47+'STU SERVICES 2yr'!S47+'INST SUPPORT 2yr'!S47</f>
        <v>298297.83</v>
      </c>
      <c r="T47" s="48">
        <f>'ACADEMIC SUPP 2yr'!T47+'STU SERVICES 2yr'!T47+'INST SUPPORT 2yr'!T47</f>
        <v>338058.26400000002</v>
      </c>
      <c r="U47" s="48">
        <f>'ACADEMIC SUPP 2yr'!U47+'STU SERVICES 2yr'!U47+'INST SUPPORT 2yr'!U47</f>
        <v>351635.94699999999</v>
      </c>
      <c r="V47" s="48">
        <f>'ACADEMIC SUPP 2yr'!V47+'STU SERVICES 2yr'!V47+'INST SUPPORT 2yr'!V47</f>
        <v>405362.91700000002</v>
      </c>
      <c r="W47" s="48">
        <f>'ACADEMIC SUPP 2yr'!W47+'STU SERVICES 2yr'!W47+'INST SUPPORT 2yr'!W47</f>
        <v>416314</v>
      </c>
      <c r="X47" s="48">
        <f>'ACADEMIC SUPP 2yr'!X47+'STU SERVICES 2yr'!X47+'INST SUPPORT 2yr'!X47</f>
        <v>402368.04499999998</v>
      </c>
      <c r="Y47" s="48">
        <f>'ACADEMIC SUPP 2yr'!Y47+'STU SERVICES 2yr'!Y47+'INST SUPPORT 2yr'!Y47</f>
        <v>321237.29600000003</v>
      </c>
      <c r="Z47" s="48">
        <f>'ACADEMIC SUPP 2yr'!Z47+'STU SERVICES 2yr'!Z47+'INST SUPPORT 2yr'!Z47</f>
        <v>325027.47899999999</v>
      </c>
      <c r="AA47" s="48">
        <f>'ACADEMIC SUPP 2yr'!AA47+'STU SERVICES 2yr'!AA47+'INST SUPPORT 2yr'!AA47</f>
        <v>327963.087</v>
      </c>
      <c r="AB47" s="48">
        <f>'ACADEMIC SUPP 2yr'!AB47+'STU SERVICES 2yr'!AB47+'INST SUPPORT 2yr'!AB47</f>
        <v>423245.29200000002</v>
      </c>
      <c r="AC47" s="48">
        <f>'ACADEMIC SUPP 2yr'!AC47+'STU SERVICES 2yr'!AC47+'INST SUPPORT 2yr'!AC47</f>
        <v>427100.57999999996</v>
      </c>
    </row>
    <row r="48" spans="1:29">
      <c r="A48" s="1" t="s">
        <v>59</v>
      </c>
      <c r="B48" s="48">
        <f>'ACADEMIC SUPP 2yr'!B48+'STU SERVICES 2yr'!B48+'INST SUPPORT 2yr'!B48</f>
        <v>0</v>
      </c>
      <c r="C48" s="48">
        <f>'ACADEMIC SUPP 2yr'!C48+'STU SERVICES 2yr'!C48+'INST SUPPORT 2yr'!C48</f>
        <v>0</v>
      </c>
      <c r="D48" s="48">
        <f>'ACADEMIC SUPP 2yr'!D48+'STU SERVICES 2yr'!D48+'INST SUPPORT 2yr'!D48</f>
        <v>0</v>
      </c>
      <c r="E48" s="48">
        <f>'ACADEMIC SUPP 2yr'!E48+'STU SERVICES 2yr'!E48+'INST SUPPORT 2yr'!E48</f>
        <v>0</v>
      </c>
      <c r="F48" s="48">
        <f>'ACADEMIC SUPP 2yr'!F48+'STU SERVICES 2yr'!F48+'INST SUPPORT 2yr'!F48</f>
        <v>63777.624000000003</v>
      </c>
      <c r="G48" s="48">
        <f>'ACADEMIC SUPP 2yr'!G48+'STU SERVICES 2yr'!G48+'INST SUPPORT 2yr'!G48</f>
        <v>0</v>
      </c>
      <c r="H48" s="48">
        <f>'ACADEMIC SUPP 2yr'!H48+'STU SERVICES 2yr'!H48+'INST SUPPORT 2yr'!H48</f>
        <v>0</v>
      </c>
      <c r="I48" s="48">
        <f>'ACADEMIC SUPP 2yr'!I48+'STU SERVICES 2yr'!I48+'INST SUPPORT 2yr'!I48</f>
        <v>28589.809999999998</v>
      </c>
      <c r="J48" s="48">
        <f>'ACADEMIC SUPP 2yr'!J48+'STU SERVICES 2yr'!J48+'INST SUPPORT 2yr'!J48</f>
        <v>0</v>
      </c>
      <c r="K48" s="48">
        <f>'ACADEMIC SUPP 2yr'!K48+'STU SERVICES 2yr'!K48+'INST SUPPORT 2yr'!K48</f>
        <v>97162.141999999993</v>
      </c>
      <c r="L48" s="48">
        <f>'ACADEMIC SUPP 2yr'!L48+'STU SERVICES 2yr'!L48+'INST SUPPORT 2yr'!L48</f>
        <v>49277.941000000006</v>
      </c>
      <c r="M48" s="48">
        <f>'ACADEMIC SUPP 2yr'!M48+'STU SERVICES 2yr'!M48+'INST SUPPORT 2yr'!M48</f>
        <v>62783.708000000006</v>
      </c>
      <c r="N48" s="48">
        <f>'ACADEMIC SUPP 2yr'!N48+'STU SERVICES 2yr'!N48+'INST SUPPORT 2yr'!N48</f>
        <v>52775.256999999998</v>
      </c>
      <c r="O48" s="48">
        <f>'ACADEMIC SUPP 2yr'!O48+'STU SERVICES 2yr'!O48+'INST SUPPORT 2yr'!O48</f>
        <v>57198.509000000005</v>
      </c>
      <c r="P48" s="48">
        <f>'ACADEMIC SUPP 2yr'!P48+'STU SERVICES 2yr'!P48+'INST SUPPORT 2yr'!P48</f>
        <v>60796.411999999997</v>
      </c>
      <c r="Q48" s="48">
        <f>'ACADEMIC SUPP 2yr'!Q48+'STU SERVICES 2yr'!Q48+'INST SUPPORT 2yr'!Q48</f>
        <v>67343.687000000005</v>
      </c>
      <c r="R48" s="48">
        <f>'ACADEMIC SUPP 2yr'!R48+'STU SERVICES 2yr'!R48+'INST SUPPORT 2yr'!R48</f>
        <v>73771.195000000007</v>
      </c>
      <c r="S48" s="48">
        <f>'ACADEMIC SUPP 2yr'!S48+'STU SERVICES 2yr'!S48+'INST SUPPORT 2yr'!S48</f>
        <v>76761.187999999995</v>
      </c>
      <c r="T48" s="48">
        <f>'ACADEMIC SUPP 2yr'!T48+'STU SERVICES 2yr'!T48+'INST SUPPORT 2yr'!T48</f>
        <v>86726.054999999993</v>
      </c>
      <c r="U48" s="48">
        <f>'ACADEMIC SUPP 2yr'!U48+'STU SERVICES 2yr'!U48+'INST SUPPORT 2yr'!U48</f>
        <v>97473.688999999998</v>
      </c>
      <c r="V48" s="48">
        <f>'ACADEMIC SUPP 2yr'!V48+'STU SERVICES 2yr'!V48+'INST SUPPORT 2yr'!V48</f>
        <v>109217.81200000001</v>
      </c>
      <c r="W48" s="48">
        <f>'ACADEMIC SUPP 2yr'!W48+'STU SERVICES 2yr'!W48+'INST SUPPORT 2yr'!W48</f>
        <v>198329.008</v>
      </c>
      <c r="X48" s="48">
        <f>'ACADEMIC SUPP 2yr'!X48+'STU SERVICES 2yr'!X48+'INST SUPPORT 2yr'!X48</f>
        <v>211820.747</v>
      </c>
      <c r="Y48" s="48">
        <f>'ACADEMIC SUPP 2yr'!Y48+'STU SERVICES 2yr'!Y48+'INST SUPPORT 2yr'!Y48</f>
        <v>205475.47</v>
      </c>
      <c r="Z48" s="48">
        <f>'ACADEMIC SUPP 2yr'!Z48+'STU SERVICES 2yr'!Z48+'INST SUPPORT 2yr'!Z48</f>
        <v>267943.18900000001</v>
      </c>
      <c r="AA48" s="48">
        <f>'ACADEMIC SUPP 2yr'!AA48+'STU SERVICES 2yr'!AA48+'INST SUPPORT 2yr'!AA48</f>
        <v>256484.106</v>
      </c>
      <c r="AB48" s="48">
        <f>'ACADEMIC SUPP 2yr'!AB48+'STU SERVICES 2yr'!AB48+'INST SUPPORT 2yr'!AB48</f>
        <v>283894.77500000002</v>
      </c>
      <c r="AC48" s="48">
        <f>'ACADEMIC SUPP 2yr'!AC48+'STU SERVICES 2yr'!AC48+'INST SUPPORT 2yr'!AC48</f>
        <v>282403.39800000004</v>
      </c>
    </row>
    <row r="49" spans="1:29">
      <c r="A49" s="1" t="s">
        <v>101</v>
      </c>
      <c r="B49" s="48">
        <f>'ACADEMIC SUPP 2yr'!B49+'STU SERVICES 2yr'!B49+'INST SUPPORT 2yr'!B49</f>
        <v>0</v>
      </c>
      <c r="C49" s="48">
        <f>'ACADEMIC SUPP 2yr'!C49+'STU SERVICES 2yr'!C49+'INST SUPPORT 2yr'!C49</f>
        <v>0</v>
      </c>
      <c r="D49" s="48">
        <f>'ACADEMIC SUPP 2yr'!D49+'STU SERVICES 2yr'!D49+'INST SUPPORT 2yr'!D49</f>
        <v>0</v>
      </c>
      <c r="E49" s="48">
        <f>'ACADEMIC SUPP 2yr'!E49+'STU SERVICES 2yr'!E49+'INST SUPPORT 2yr'!E49</f>
        <v>0</v>
      </c>
      <c r="F49" s="48">
        <f>'ACADEMIC SUPP 2yr'!F49+'STU SERVICES 2yr'!F49+'INST SUPPORT 2yr'!F49</f>
        <v>30534.481</v>
      </c>
      <c r="G49" s="48">
        <f>'ACADEMIC SUPP 2yr'!G49+'STU SERVICES 2yr'!G49+'INST SUPPORT 2yr'!G49</f>
        <v>0</v>
      </c>
      <c r="H49" s="48">
        <f>'ACADEMIC SUPP 2yr'!H49+'STU SERVICES 2yr'!H49+'INST SUPPORT 2yr'!H49</f>
        <v>0</v>
      </c>
      <c r="I49" s="48">
        <f>'ACADEMIC SUPP 2yr'!I49+'STU SERVICES 2yr'!I49+'INST SUPPORT 2yr'!I49</f>
        <v>34509.885999999999</v>
      </c>
      <c r="J49" s="48">
        <f>'ACADEMIC SUPP 2yr'!J49+'STU SERVICES 2yr'!J49+'INST SUPPORT 2yr'!J49</f>
        <v>0</v>
      </c>
      <c r="K49" s="48">
        <f>'ACADEMIC SUPP 2yr'!K49+'STU SERVICES 2yr'!K49+'INST SUPPORT 2yr'!K49</f>
        <v>51850.368000000002</v>
      </c>
      <c r="L49" s="48">
        <f>'ACADEMIC SUPP 2yr'!L49+'STU SERVICES 2yr'!L49+'INST SUPPORT 2yr'!L49</f>
        <v>62991.790999999997</v>
      </c>
      <c r="M49" s="48">
        <f>'ACADEMIC SUPP 2yr'!M49+'STU SERVICES 2yr'!M49+'INST SUPPORT 2yr'!M49</f>
        <v>66463.652000000002</v>
      </c>
      <c r="N49" s="48">
        <f>'ACADEMIC SUPP 2yr'!N49+'STU SERVICES 2yr'!N49+'INST SUPPORT 2yr'!N49</f>
        <v>69882.643000000011</v>
      </c>
      <c r="O49" s="48">
        <f>'ACADEMIC SUPP 2yr'!O49+'STU SERVICES 2yr'!O49+'INST SUPPORT 2yr'!O49</f>
        <v>74591.768000000011</v>
      </c>
      <c r="P49" s="48">
        <f>'ACADEMIC SUPP 2yr'!P49+'STU SERVICES 2yr'!P49+'INST SUPPORT 2yr'!P49</f>
        <v>78758.82699999999</v>
      </c>
      <c r="Q49" s="48">
        <f>'ACADEMIC SUPP 2yr'!Q49+'STU SERVICES 2yr'!Q49+'INST SUPPORT 2yr'!Q49</f>
        <v>80122.953999999998</v>
      </c>
      <c r="R49" s="48">
        <f>'ACADEMIC SUPP 2yr'!R49+'STU SERVICES 2yr'!R49+'INST SUPPORT 2yr'!R49</f>
        <v>84202.006999999998</v>
      </c>
      <c r="S49" s="48">
        <f>'ACADEMIC SUPP 2yr'!S49+'STU SERVICES 2yr'!S49+'INST SUPPORT 2yr'!S49</f>
        <v>88268.157999999996</v>
      </c>
      <c r="T49" s="48">
        <f>'ACADEMIC SUPP 2yr'!T49+'STU SERVICES 2yr'!T49+'INST SUPPORT 2yr'!T49</f>
        <v>93294.203000000009</v>
      </c>
      <c r="U49" s="48">
        <f>'ACADEMIC SUPP 2yr'!U49+'STU SERVICES 2yr'!U49+'INST SUPPORT 2yr'!U49</f>
        <v>98835.502000000008</v>
      </c>
      <c r="V49" s="48">
        <f>'ACADEMIC SUPP 2yr'!V49+'STU SERVICES 2yr'!V49+'INST SUPPORT 2yr'!V49</f>
        <v>119858.202</v>
      </c>
      <c r="W49" s="48">
        <f>'ACADEMIC SUPP 2yr'!W49+'STU SERVICES 2yr'!W49+'INST SUPPORT 2yr'!W49</f>
        <v>128637.96100000001</v>
      </c>
      <c r="X49" s="48">
        <f>'ACADEMIC SUPP 2yr'!X49+'STU SERVICES 2yr'!X49+'INST SUPPORT 2yr'!X49</f>
        <v>133639.22999999998</v>
      </c>
      <c r="Y49" s="48">
        <f>'ACADEMIC SUPP 2yr'!Y49+'STU SERVICES 2yr'!Y49+'INST SUPPORT 2yr'!Y49</f>
        <v>112410.63400000001</v>
      </c>
      <c r="Z49" s="48">
        <f>'ACADEMIC SUPP 2yr'!Z49+'STU SERVICES 2yr'!Z49+'INST SUPPORT 2yr'!Z49</f>
        <v>118585.155</v>
      </c>
      <c r="AA49" s="48">
        <f>'ACADEMIC SUPP 2yr'!AA49+'STU SERVICES 2yr'!AA49+'INST SUPPORT 2yr'!AA49</f>
        <v>127821.48999999999</v>
      </c>
      <c r="AB49" s="48">
        <f>'ACADEMIC SUPP 2yr'!AB49+'STU SERVICES 2yr'!AB49+'INST SUPPORT 2yr'!AB49</f>
        <v>167605.93700000001</v>
      </c>
      <c r="AC49" s="48">
        <f>'ACADEMIC SUPP 2yr'!AC49+'STU SERVICES 2yr'!AC49+'INST SUPPORT 2yr'!AC49</f>
        <v>172507.951</v>
      </c>
    </row>
    <row r="50" spans="1:29">
      <c r="A50" s="1" t="s">
        <v>107</v>
      </c>
      <c r="B50" s="48">
        <f>'ACADEMIC SUPP 2yr'!B50+'STU SERVICES 2yr'!B50+'INST SUPPORT 2yr'!B50</f>
        <v>0</v>
      </c>
      <c r="C50" s="48">
        <f>'ACADEMIC SUPP 2yr'!C50+'STU SERVICES 2yr'!C50+'INST SUPPORT 2yr'!C50</f>
        <v>0</v>
      </c>
      <c r="D50" s="48">
        <f>'ACADEMIC SUPP 2yr'!D50+'STU SERVICES 2yr'!D50+'INST SUPPORT 2yr'!D50</f>
        <v>0</v>
      </c>
      <c r="E50" s="48">
        <f>'ACADEMIC SUPP 2yr'!E50+'STU SERVICES 2yr'!E50+'INST SUPPORT 2yr'!E50</f>
        <v>0</v>
      </c>
      <c r="F50" s="48">
        <f>'ACADEMIC SUPP 2yr'!F50+'STU SERVICES 2yr'!F50+'INST SUPPORT 2yr'!F50</f>
        <v>11368.238000000001</v>
      </c>
      <c r="G50" s="48">
        <f>'ACADEMIC SUPP 2yr'!G50+'STU SERVICES 2yr'!G50+'INST SUPPORT 2yr'!G50</f>
        <v>0</v>
      </c>
      <c r="H50" s="48">
        <f>'ACADEMIC SUPP 2yr'!H50+'STU SERVICES 2yr'!H50+'INST SUPPORT 2yr'!H50</f>
        <v>0</v>
      </c>
      <c r="I50" s="48">
        <f>'ACADEMIC SUPP 2yr'!I50+'STU SERVICES 2yr'!I50+'INST SUPPORT 2yr'!I50</f>
        <v>12024.779999999999</v>
      </c>
      <c r="J50" s="48">
        <f>'ACADEMIC SUPP 2yr'!J50+'STU SERVICES 2yr'!J50+'INST SUPPORT 2yr'!J50</f>
        <v>0</v>
      </c>
      <c r="K50" s="48">
        <f>'ACADEMIC SUPP 2yr'!K50+'STU SERVICES 2yr'!K50+'INST SUPPORT 2yr'!K50</f>
        <v>13366.028010000002</v>
      </c>
      <c r="L50" s="48">
        <f>'ACADEMIC SUPP 2yr'!L50+'STU SERVICES 2yr'!L50+'INST SUPPORT 2yr'!L50</f>
        <v>18668.205000000002</v>
      </c>
      <c r="M50" s="48">
        <f>'ACADEMIC SUPP 2yr'!M50+'STU SERVICES 2yr'!M50+'INST SUPPORT 2yr'!M50</f>
        <v>14878.691999999999</v>
      </c>
      <c r="N50" s="48">
        <f>'ACADEMIC SUPP 2yr'!N50+'STU SERVICES 2yr'!N50+'INST SUPPORT 2yr'!N50</f>
        <v>16501.181</v>
      </c>
      <c r="O50" s="48">
        <f>'ACADEMIC SUPP 2yr'!O50+'STU SERVICES 2yr'!O50+'INST SUPPORT 2yr'!O50</f>
        <v>16437.364999999998</v>
      </c>
      <c r="P50" s="48">
        <f>'ACADEMIC SUPP 2yr'!P50+'STU SERVICES 2yr'!P50+'INST SUPPORT 2yr'!P50</f>
        <v>17162.779000000002</v>
      </c>
      <c r="Q50" s="48">
        <f>'ACADEMIC SUPP 2yr'!Q50+'STU SERVICES 2yr'!Q50+'INST SUPPORT 2yr'!Q50</f>
        <v>23115.521999999997</v>
      </c>
      <c r="R50" s="48">
        <f>'ACADEMIC SUPP 2yr'!R50+'STU SERVICES 2yr'!R50+'INST SUPPORT 2yr'!R50</f>
        <v>24922.311000000002</v>
      </c>
      <c r="S50" s="48">
        <f>'ACADEMIC SUPP 2yr'!S50+'STU SERVICES 2yr'!S50+'INST SUPPORT 2yr'!S50</f>
        <v>22301.411</v>
      </c>
      <c r="T50" s="48">
        <f>'ACADEMIC SUPP 2yr'!T50+'STU SERVICES 2yr'!T50+'INST SUPPORT 2yr'!T50</f>
        <v>16313.994999999999</v>
      </c>
      <c r="U50" s="48">
        <f>'ACADEMIC SUPP 2yr'!U50+'STU SERVICES 2yr'!U50+'INST SUPPORT 2yr'!U50</f>
        <v>27863.139000000003</v>
      </c>
      <c r="V50" s="48">
        <f>'ACADEMIC SUPP 2yr'!V50+'STU SERVICES 2yr'!V50+'INST SUPPORT 2yr'!V50</f>
        <v>33972.801999999996</v>
      </c>
      <c r="W50" s="48">
        <f>'ACADEMIC SUPP 2yr'!W50+'STU SERVICES 2yr'!W50+'INST SUPPORT 2yr'!W50</f>
        <v>37096.173999999999</v>
      </c>
      <c r="X50" s="48">
        <f>'ACADEMIC SUPP 2yr'!X50+'STU SERVICES 2yr'!X50+'INST SUPPORT 2yr'!X50</f>
        <v>40953.752</v>
      </c>
      <c r="Y50" s="48">
        <f>'ACADEMIC SUPP 2yr'!Y50+'STU SERVICES 2yr'!Y50+'INST SUPPORT 2yr'!Y50</f>
        <v>42880.008000000002</v>
      </c>
      <c r="Z50" s="48">
        <f>'ACADEMIC SUPP 2yr'!Z50+'STU SERVICES 2yr'!Z50+'INST SUPPORT 2yr'!Z50</f>
        <v>49527.383000000002</v>
      </c>
      <c r="AA50" s="48">
        <f>'ACADEMIC SUPP 2yr'!AA50+'STU SERVICES 2yr'!AA50+'INST SUPPORT 2yr'!AA50</f>
        <v>51199.588999999993</v>
      </c>
      <c r="AB50" s="48">
        <f>'ACADEMIC SUPP 2yr'!AB50+'STU SERVICES 2yr'!AB50+'INST SUPPORT 2yr'!AB50</f>
        <v>55395.576000000001</v>
      </c>
      <c r="AC50" s="48">
        <f>'ACADEMIC SUPP 2yr'!AC50+'STU SERVICES 2yr'!AC50+'INST SUPPORT 2yr'!AC50</f>
        <v>55270.513999999996</v>
      </c>
    </row>
    <row r="51" spans="1:29">
      <c r="A51" s="1" t="s">
        <v>108</v>
      </c>
      <c r="B51" s="48">
        <f>'ACADEMIC SUPP 2yr'!B51+'STU SERVICES 2yr'!B51+'INST SUPPORT 2yr'!B51</f>
        <v>0</v>
      </c>
      <c r="C51" s="48">
        <f>'ACADEMIC SUPP 2yr'!C51+'STU SERVICES 2yr'!C51+'INST SUPPORT 2yr'!C51</f>
        <v>0</v>
      </c>
      <c r="D51" s="48">
        <f>'ACADEMIC SUPP 2yr'!D51+'STU SERVICES 2yr'!D51+'INST SUPPORT 2yr'!D51</f>
        <v>0</v>
      </c>
      <c r="E51" s="48">
        <f>'ACADEMIC SUPP 2yr'!E51+'STU SERVICES 2yr'!E51+'INST SUPPORT 2yr'!E51</f>
        <v>0</v>
      </c>
      <c r="F51" s="48">
        <f>'ACADEMIC SUPP 2yr'!F51+'STU SERVICES 2yr'!F51+'INST SUPPORT 2yr'!F51</f>
        <v>167082.122</v>
      </c>
      <c r="G51" s="48">
        <f>'ACADEMIC SUPP 2yr'!G51+'STU SERVICES 2yr'!G51+'INST SUPPORT 2yr'!G51</f>
        <v>0</v>
      </c>
      <c r="H51" s="48">
        <f>'ACADEMIC SUPP 2yr'!H51+'STU SERVICES 2yr'!H51+'INST SUPPORT 2yr'!H51</f>
        <v>0</v>
      </c>
      <c r="I51" s="48">
        <f>'ACADEMIC SUPP 2yr'!I51+'STU SERVICES 2yr'!I51+'INST SUPPORT 2yr'!I51</f>
        <v>197712.326</v>
      </c>
      <c r="J51" s="48">
        <f>'ACADEMIC SUPP 2yr'!J51+'STU SERVICES 2yr'!J51+'INST SUPPORT 2yr'!J51</f>
        <v>0</v>
      </c>
      <c r="K51" s="48">
        <f>'ACADEMIC SUPP 2yr'!K51+'STU SERVICES 2yr'!K51+'INST SUPPORT 2yr'!K51</f>
        <v>219731.647</v>
      </c>
      <c r="L51" s="48">
        <f>'ACADEMIC SUPP 2yr'!L51+'STU SERVICES 2yr'!L51+'INST SUPPORT 2yr'!L51</f>
        <v>277427.511</v>
      </c>
      <c r="M51" s="48">
        <f>'ACADEMIC SUPP 2yr'!M51+'STU SERVICES 2yr'!M51+'INST SUPPORT 2yr'!M51</f>
        <v>295094.201</v>
      </c>
      <c r="N51" s="48">
        <f>'ACADEMIC SUPP 2yr'!N51+'STU SERVICES 2yr'!N51+'INST SUPPORT 2yr'!N51</f>
        <v>282643.04599999997</v>
      </c>
      <c r="O51" s="48">
        <f>'ACADEMIC SUPP 2yr'!O51+'STU SERVICES 2yr'!O51+'INST SUPPORT 2yr'!O51</f>
        <v>308948.533</v>
      </c>
      <c r="P51" s="48">
        <f>'ACADEMIC SUPP 2yr'!P51+'STU SERVICES 2yr'!P51+'INST SUPPORT 2yr'!P51</f>
        <v>313588.08400000003</v>
      </c>
      <c r="Q51" s="48">
        <f>'ACADEMIC SUPP 2yr'!Q51+'STU SERVICES 2yr'!Q51+'INST SUPPORT 2yr'!Q51</f>
        <v>324665.00699999998</v>
      </c>
      <c r="R51" s="48">
        <f>'ACADEMIC SUPP 2yr'!R51+'STU SERVICES 2yr'!R51+'INST SUPPORT 2yr'!R51</f>
        <v>346744.59699999995</v>
      </c>
      <c r="S51" s="48">
        <f>'ACADEMIC SUPP 2yr'!S51+'STU SERVICES 2yr'!S51+'INST SUPPORT 2yr'!S51</f>
        <v>352003.87</v>
      </c>
      <c r="T51" s="48">
        <f>'ACADEMIC SUPP 2yr'!T51+'STU SERVICES 2yr'!T51+'INST SUPPORT 2yr'!T51</f>
        <v>423948.43799999997</v>
      </c>
      <c r="U51" s="48">
        <f>'ACADEMIC SUPP 2yr'!U51+'STU SERVICES 2yr'!U51+'INST SUPPORT 2yr'!U51</f>
        <v>499313.56799999997</v>
      </c>
      <c r="V51" s="48">
        <f>'ACADEMIC SUPP 2yr'!V51+'STU SERVICES 2yr'!V51+'INST SUPPORT 2yr'!V51</f>
        <v>548998.29299999995</v>
      </c>
      <c r="W51" s="48">
        <f>'ACADEMIC SUPP 2yr'!W51+'STU SERVICES 2yr'!W51+'INST SUPPORT 2yr'!W51</f>
        <v>583536.76799999992</v>
      </c>
      <c r="X51" s="48">
        <f>'ACADEMIC SUPP 2yr'!X51+'STU SERVICES 2yr'!X51+'INST SUPPORT 2yr'!X51</f>
        <v>601817.34400000004</v>
      </c>
      <c r="Y51" s="48">
        <f>'ACADEMIC SUPP 2yr'!Y51+'STU SERVICES 2yr'!Y51+'INST SUPPORT 2yr'!Y51</f>
        <v>592624.82799999998</v>
      </c>
      <c r="Z51" s="48">
        <f>'ACADEMIC SUPP 2yr'!Z51+'STU SERVICES 2yr'!Z51+'INST SUPPORT 2yr'!Z51</f>
        <v>595612.96</v>
      </c>
      <c r="AA51" s="48">
        <f>'ACADEMIC SUPP 2yr'!AA51+'STU SERVICES 2yr'!AA51+'INST SUPPORT 2yr'!AA51</f>
        <v>590014.64199999999</v>
      </c>
      <c r="AB51" s="48">
        <f>'ACADEMIC SUPP 2yr'!AB51+'STU SERVICES 2yr'!AB51+'INST SUPPORT 2yr'!AB51</f>
        <v>606710.01199999999</v>
      </c>
      <c r="AC51" s="48">
        <f>'ACADEMIC SUPP 2yr'!AC51+'STU SERVICES 2yr'!AC51+'INST SUPPORT 2yr'!AC51</f>
        <v>638518.84499999997</v>
      </c>
    </row>
    <row r="52" spans="1:29">
      <c r="A52" s="1" t="s">
        <v>112</v>
      </c>
      <c r="B52" s="48">
        <f>'ACADEMIC SUPP 2yr'!B52+'STU SERVICES 2yr'!B52+'INST SUPPORT 2yr'!B52</f>
        <v>0</v>
      </c>
      <c r="C52" s="48">
        <f>'ACADEMIC SUPP 2yr'!C52+'STU SERVICES 2yr'!C52+'INST SUPPORT 2yr'!C52</f>
        <v>0</v>
      </c>
      <c r="D52" s="48">
        <f>'ACADEMIC SUPP 2yr'!D52+'STU SERVICES 2yr'!D52+'INST SUPPORT 2yr'!D52</f>
        <v>0</v>
      </c>
      <c r="E52" s="48">
        <f>'ACADEMIC SUPP 2yr'!E52+'STU SERVICES 2yr'!E52+'INST SUPPORT 2yr'!E52</f>
        <v>0</v>
      </c>
      <c r="F52" s="48">
        <f>'ACADEMIC SUPP 2yr'!F52+'STU SERVICES 2yr'!F52+'INST SUPPORT 2yr'!F52</f>
        <v>249.44</v>
      </c>
      <c r="G52" s="48">
        <f>'ACADEMIC SUPP 2yr'!G52+'STU SERVICES 2yr'!G52+'INST SUPPORT 2yr'!G52</f>
        <v>0</v>
      </c>
      <c r="H52" s="48">
        <f>'ACADEMIC SUPP 2yr'!H52+'STU SERVICES 2yr'!H52+'INST SUPPORT 2yr'!H52</f>
        <v>0</v>
      </c>
      <c r="I52" s="48">
        <f>'ACADEMIC SUPP 2yr'!I52+'STU SERVICES 2yr'!I52+'INST SUPPORT 2yr'!I52</f>
        <v>532.13300000000004</v>
      </c>
      <c r="J52" s="48">
        <f>'ACADEMIC SUPP 2yr'!J52+'STU SERVICES 2yr'!J52+'INST SUPPORT 2yr'!J52</f>
        <v>0</v>
      </c>
      <c r="K52" s="48">
        <f>'ACADEMIC SUPP 2yr'!K52+'STU SERVICES 2yr'!K52+'INST SUPPORT 2yr'!K52</f>
        <v>7618.0184999999965</v>
      </c>
      <c r="L52" s="48">
        <f>'ACADEMIC SUPP 2yr'!L52+'STU SERVICES 2yr'!L52+'INST SUPPORT 2yr'!L52</f>
        <v>9756.9650000000001</v>
      </c>
      <c r="M52" s="48">
        <f>'ACADEMIC SUPP 2yr'!M52+'STU SERVICES 2yr'!M52+'INST SUPPORT 2yr'!M52</f>
        <v>9591.3389999999999</v>
      </c>
      <c r="N52" s="48">
        <f>'ACADEMIC SUPP 2yr'!N52+'STU SERVICES 2yr'!N52+'INST SUPPORT 2yr'!N52</f>
        <v>10951.16</v>
      </c>
      <c r="O52" s="48">
        <f>'ACADEMIC SUPP 2yr'!O52+'STU SERVICES 2yr'!O52+'INST SUPPORT 2yr'!O52</f>
        <v>12180.011</v>
      </c>
      <c r="P52" s="48">
        <f>'ACADEMIC SUPP 2yr'!P52+'STU SERVICES 2yr'!P52+'INST SUPPORT 2yr'!P52</f>
        <v>9795.7439999999988</v>
      </c>
      <c r="Q52" s="48">
        <f>'ACADEMIC SUPP 2yr'!Q52+'STU SERVICES 2yr'!Q52+'INST SUPPORT 2yr'!Q52</f>
        <v>8686.4380000000001</v>
      </c>
      <c r="R52" s="48">
        <f>'ACADEMIC SUPP 2yr'!R52+'STU SERVICES 2yr'!R52+'INST SUPPORT 2yr'!R52</f>
        <v>10366.192999999999</v>
      </c>
      <c r="S52" s="48">
        <f>'ACADEMIC SUPP 2yr'!S52+'STU SERVICES 2yr'!S52+'INST SUPPORT 2yr'!S52</f>
        <v>15774.739</v>
      </c>
      <c r="T52" s="48">
        <f>'ACADEMIC SUPP 2yr'!T52+'STU SERVICES 2yr'!T52+'INST SUPPORT 2yr'!T52</f>
        <v>17135.645</v>
      </c>
      <c r="U52" s="48">
        <f>'ACADEMIC SUPP 2yr'!U52+'STU SERVICES 2yr'!U52+'INST SUPPORT 2yr'!U52</f>
        <v>23504.671000000002</v>
      </c>
      <c r="V52" s="48">
        <f>'ACADEMIC SUPP 2yr'!V52+'STU SERVICES 2yr'!V52+'INST SUPPORT 2yr'!V52</f>
        <v>19689.116999999998</v>
      </c>
      <c r="W52" s="48">
        <f>'ACADEMIC SUPP 2yr'!W52+'STU SERVICES 2yr'!W52+'INST SUPPORT 2yr'!W52</f>
        <v>21188.129000000001</v>
      </c>
      <c r="X52" s="48">
        <f>'ACADEMIC SUPP 2yr'!X52+'STU SERVICES 2yr'!X52+'INST SUPPORT 2yr'!X52</f>
        <v>20486.592000000001</v>
      </c>
      <c r="Y52" s="48">
        <f>'ACADEMIC SUPP 2yr'!Y52+'STU SERVICES 2yr'!Y52+'INST SUPPORT 2yr'!Y52</f>
        <v>30450.373</v>
      </c>
      <c r="Z52" s="48">
        <f>'ACADEMIC SUPP 2yr'!Z52+'STU SERVICES 2yr'!Z52+'INST SUPPORT 2yr'!Z52</f>
        <v>30970.374</v>
      </c>
      <c r="AA52" s="48">
        <f>'ACADEMIC SUPP 2yr'!AA52+'STU SERVICES 2yr'!AA52+'INST SUPPORT 2yr'!AA52</f>
        <v>34446.381000000001</v>
      </c>
      <c r="AB52" s="48">
        <f>'ACADEMIC SUPP 2yr'!AB52+'STU SERVICES 2yr'!AB52+'INST SUPPORT 2yr'!AB52</f>
        <v>34550.853000000003</v>
      </c>
      <c r="AC52" s="48">
        <f>'ACADEMIC SUPP 2yr'!AC52+'STU SERVICES 2yr'!AC52+'INST SUPPORT 2yr'!AC52</f>
        <v>33976.384000000005</v>
      </c>
    </row>
    <row r="53" spans="1:29">
      <c r="A53" s="24" t="s">
        <v>116</v>
      </c>
      <c r="B53" s="50">
        <f>'ACADEMIC SUPP 2yr'!B53+'STU SERVICES 2yr'!B53+'INST SUPPORT 2yr'!B53</f>
        <v>0</v>
      </c>
      <c r="C53" s="50">
        <f>'ACADEMIC SUPP 2yr'!C53+'STU SERVICES 2yr'!C53+'INST SUPPORT 2yr'!C53</f>
        <v>0</v>
      </c>
      <c r="D53" s="50">
        <f>'ACADEMIC SUPP 2yr'!D53+'STU SERVICES 2yr'!D53+'INST SUPPORT 2yr'!D53</f>
        <v>0</v>
      </c>
      <c r="E53" s="50">
        <f>'ACADEMIC SUPP 2yr'!E53+'STU SERVICES 2yr'!E53+'INST SUPPORT 2yr'!E53</f>
        <v>0</v>
      </c>
      <c r="F53" s="50">
        <f>'ACADEMIC SUPP 2yr'!F53+'STU SERVICES 2yr'!F53+'INST SUPPORT 2yr'!F53</f>
        <v>113682.98000000001</v>
      </c>
      <c r="G53" s="50">
        <f>'ACADEMIC SUPP 2yr'!G53+'STU SERVICES 2yr'!G53+'INST SUPPORT 2yr'!G53</f>
        <v>0</v>
      </c>
      <c r="H53" s="50">
        <f>'ACADEMIC SUPP 2yr'!H53+'STU SERVICES 2yr'!H53+'INST SUPPORT 2yr'!H53</f>
        <v>0</v>
      </c>
      <c r="I53" s="50">
        <f>'ACADEMIC SUPP 2yr'!I53+'STU SERVICES 2yr'!I53+'INST SUPPORT 2yr'!I53</f>
        <v>138886.62400000001</v>
      </c>
      <c r="J53" s="50">
        <f>'ACADEMIC SUPP 2yr'!J53+'STU SERVICES 2yr'!J53+'INST SUPPORT 2yr'!J53</f>
        <v>0</v>
      </c>
      <c r="K53" s="50">
        <f>'ACADEMIC SUPP 2yr'!K53+'STU SERVICES 2yr'!K53+'INST SUPPORT 2yr'!K53</f>
        <v>154580.552</v>
      </c>
      <c r="L53" s="50">
        <f>'ACADEMIC SUPP 2yr'!L53+'STU SERVICES 2yr'!L53+'INST SUPPORT 2yr'!L53</f>
        <v>188249.28399999999</v>
      </c>
      <c r="M53" s="50">
        <f>'ACADEMIC SUPP 2yr'!M53+'STU SERVICES 2yr'!M53+'INST SUPPORT 2yr'!M53</f>
        <v>202432.73200000002</v>
      </c>
      <c r="N53" s="50">
        <f>'ACADEMIC SUPP 2yr'!N53+'STU SERVICES 2yr'!N53+'INST SUPPORT 2yr'!N53</f>
        <v>217456.405</v>
      </c>
      <c r="O53" s="50">
        <f>'ACADEMIC SUPP 2yr'!O53+'STU SERVICES 2yr'!O53+'INST SUPPORT 2yr'!O53</f>
        <v>234835.65</v>
      </c>
      <c r="P53" s="50">
        <f>'ACADEMIC SUPP 2yr'!P53+'STU SERVICES 2yr'!P53+'INST SUPPORT 2yr'!P53</f>
        <v>241782.24599999998</v>
      </c>
      <c r="Q53" s="50">
        <f>'ACADEMIC SUPP 2yr'!Q53+'STU SERVICES 2yr'!Q53+'INST SUPPORT 2yr'!Q53</f>
        <v>257752.15399999998</v>
      </c>
      <c r="R53" s="50">
        <f>'ACADEMIC SUPP 2yr'!R53+'STU SERVICES 2yr'!R53+'INST SUPPORT 2yr'!R53</f>
        <v>269215.663</v>
      </c>
      <c r="S53" s="50">
        <f>'ACADEMIC SUPP 2yr'!S53+'STU SERVICES 2yr'!S53+'INST SUPPORT 2yr'!S53</f>
        <v>253267.97600000002</v>
      </c>
      <c r="T53" s="50">
        <f>'ACADEMIC SUPP 2yr'!T53+'STU SERVICES 2yr'!T53+'INST SUPPORT 2yr'!T53</f>
        <v>275238.66899999999</v>
      </c>
      <c r="U53" s="50">
        <f>'ACADEMIC SUPP 2yr'!U53+'STU SERVICES 2yr'!U53+'INST SUPPORT 2yr'!U53</f>
        <v>299727.45199999999</v>
      </c>
      <c r="V53" s="50">
        <f>'ACADEMIC SUPP 2yr'!V53+'STU SERVICES 2yr'!V53+'INST SUPPORT 2yr'!V53</f>
        <v>373401.71400000004</v>
      </c>
      <c r="W53" s="50">
        <f>'ACADEMIC SUPP 2yr'!W53+'STU SERVICES 2yr'!W53+'INST SUPPORT 2yr'!W53</f>
        <v>400458.19700000004</v>
      </c>
      <c r="X53" s="50">
        <f>'ACADEMIC SUPP 2yr'!X53+'STU SERVICES 2yr'!X53+'INST SUPPORT 2yr'!X53</f>
        <v>391516.12699999998</v>
      </c>
      <c r="Y53" s="50">
        <f>'ACADEMIC SUPP 2yr'!Y53+'STU SERVICES 2yr'!Y53+'INST SUPPORT 2yr'!Y53</f>
        <v>94907.206999999995</v>
      </c>
      <c r="Z53" s="50">
        <f>'ACADEMIC SUPP 2yr'!Z53+'STU SERVICES 2yr'!Z53+'INST SUPPORT 2yr'!Z53</f>
        <v>98576.877999999997</v>
      </c>
      <c r="AA53" s="50">
        <f>'ACADEMIC SUPP 2yr'!AA53+'STU SERVICES 2yr'!AA53+'INST SUPPORT 2yr'!AA53</f>
        <v>102404.344</v>
      </c>
      <c r="AB53" s="50">
        <f>'ACADEMIC SUPP 2yr'!AB53+'STU SERVICES 2yr'!AB53+'INST SUPPORT 2yr'!AB53</f>
        <v>435875.26500000001</v>
      </c>
      <c r="AC53" s="50">
        <f>'ACADEMIC SUPP 2yr'!AC53+'STU SERVICES 2yr'!AC53+'INST SUPPORT 2yr'!AC53</f>
        <v>432164.55099999998</v>
      </c>
    </row>
    <row r="54" spans="1:29">
      <c r="A54" s="7" t="s">
        <v>122</v>
      </c>
      <c r="B54" s="48">
        <f>'ACADEMIC SUPP 2yr'!B54+'STU SERVICES 2yr'!B54+'INST SUPPORT 2yr'!B54</f>
        <v>0</v>
      </c>
      <c r="C54" s="48">
        <f>'ACADEMIC SUPP 2yr'!C54+'STU SERVICES 2yr'!C54+'INST SUPPORT 2yr'!C54</f>
        <v>0</v>
      </c>
      <c r="D54" s="48">
        <f>'ACADEMIC SUPP 2yr'!D54+'STU SERVICES 2yr'!D54+'INST SUPPORT 2yr'!D54</f>
        <v>0</v>
      </c>
      <c r="E54" s="48">
        <f>'ACADEMIC SUPP 2yr'!E54+'STU SERVICES 2yr'!E54+'INST SUPPORT 2yr'!E54</f>
        <v>0</v>
      </c>
      <c r="F54" s="48">
        <f>'ACADEMIC SUPP 2yr'!F54+'STU SERVICES 2yr'!F54+'INST SUPPORT 2yr'!F54</f>
        <v>749238.21600000001</v>
      </c>
      <c r="G54" s="48">
        <f>'ACADEMIC SUPP 2yr'!G54+'STU SERVICES 2yr'!G54+'INST SUPPORT 2yr'!G54</f>
        <v>0</v>
      </c>
      <c r="H54" s="48">
        <f>'ACADEMIC SUPP 2yr'!H54+'STU SERVICES 2yr'!H54+'INST SUPPORT 2yr'!H54</f>
        <v>0</v>
      </c>
      <c r="I54" s="48">
        <f>'ACADEMIC SUPP 2yr'!I54+'STU SERVICES 2yr'!I54+'INST SUPPORT 2yr'!I54</f>
        <v>913855.16599999997</v>
      </c>
      <c r="J54" s="48">
        <f>'ACADEMIC SUPP 2yr'!J54+'STU SERVICES 2yr'!J54+'INST SUPPORT 2yr'!J54</f>
        <v>0</v>
      </c>
      <c r="K54" s="48">
        <f>'ACADEMIC SUPP 2yr'!K54+'STU SERVICES 2yr'!K54+'INST SUPPORT 2yr'!K54</f>
        <v>1064701.2766200001</v>
      </c>
      <c r="L54" s="48">
        <f>'ACADEMIC SUPP 2yr'!L54+'STU SERVICES 2yr'!L54+'INST SUPPORT 2yr'!L54</f>
        <v>1166781.4869999997</v>
      </c>
      <c r="M54" s="48">
        <f>'ACADEMIC SUPP 2yr'!M54+'STU SERVICES 2yr'!M54+'INST SUPPORT 2yr'!M54</f>
        <v>1316999.415</v>
      </c>
      <c r="N54" s="48">
        <f>'ACADEMIC SUPP 2yr'!N54+'STU SERVICES 2yr'!N54+'INST SUPPORT 2yr'!N54</f>
        <v>1375479.0079999999</v>
      </c>
      <c r="O54" s="48">
        <f>'ACADEMIC SUPP 2yr'!O54+'STU SERVICES 2yr'!O54+'INST SUPPORT 2yr'!O54</f>
        <v>1447872.6489999997</v>
      </c>
      <c r="P54" s="48">
        <f>'ACADEMIC SUPP 2yr'!P54+'STU SERVICES 2yr'!P54+'INST SUPPORT 2yr'!P54</f>
        <v>1539187.0130000003</v>
      </c>
      <c r="Q54" s="48">
        <f>'ACADEMIC SUPP 2yr'!Q54+'STU SERVICES 2yr'!Q54+'INST SUPPORT 2yr'!Q54</f>
        <v>1625740.2140000002</v>
      </c>
      <c r="R54" s="48">
        <f>'ACADEMIC SUPP 2yr'!R54+'STU SERVICES 2yr'!R54+'INST SUPPORT 2yr'!R54</f>
        <v>1704880.3129999998</v>
      </c>
      <c r="S54" s="48">
        <f>'ACADEMIC SUPP 2yr'!S54+'STU SERVICES 2yr'!S54+'INST SUPPORT 2yr'!S54</f>
        <v>1821798.412</v>
      </c>
      <c r="T54" s="48">
        <f>'ACADEMIC SUPP 2yr'!T54+'STU SERVICES 2yr'!T54+'INST SUPPORT 2yr'!T54</f>
        <v>1993300.2920000001</v>
      </c>
      <c r="U54" s="48">
        <f>'ACADEMIC SUPP 2yr'!U54+'STU SERVICES 2yr'!U54+'INST SUPPORT 2yr'!U54</f>
        <v>2231173.3529999997</v>
      </c>
      <c r="V54" s="48">
        <f>'ACADEMIC SUPP 2yr'!V54+'STU SERVICES 2yr'!V54+'INST SUPPORT 2yr'!V54</f>
        <v>2608082.7540000002</v>
      </c>
      <c r="W54" s="48">
        <f>'ACADEMIC SUPP 2yr'!W54+'STU SERVICES 2yr'!W54+'INST SUPPORT 2yr'!W54</f>
        <v>2702106.9579999996</v>
      </c>
      <c r="X54" s="48">
        <f>'ACADEMIC SUPP 2yr'!X54+'STU SERVICES 2yr'!X54+'INST SUPPORT 2yr'!X54</f>
        <v>2746076.0559999999</v>
      </c>
      <c r="Y54" s="48">
        <f>'ACADEMIC SUPP 2yr'!Y54+'STU SERVICES 2yr'!Y54+'INST SUPPORT 2yr'!Y54</f>
        <v>2831945.2890000003</v>
      </c>
      <c r="Z54" s="48">
        <f>'ACADEMIC SUPP 2yr'!Z54+'STU SERVICES 2yr'!Z54+'INST SUPPORT 2yr'!Z54</f>
        <v>2952761.773</v>
      </c>
      <c r="AA54" s="48">
        <f>'ACADEMIC SUPP 2yr'!AA54+'STU SERVICES 2yr'!AA54+'INST SUPPORT 2yr'!AA54</f>
        <v>2957084.5599999996</v>
      </c>
      <c r="AB54" s="48">
        <f>'ACADEMIC SUPP 2yr'!AB54+'STU SERVICES 2yr'!AB54+'INST SUPPORT 2yr'!AB54</f>
        <v>2925117.4019999998</v>
      </c>
      <c r="AC54" s="48">
        <f>'ACADEMIC SUPP 2yr'!AC54+'STU SERVICES 2yr'!AC54+'INST SUPPORT 2yr'!AC54</f>
        <v>2955904.2420000006</v>
      </c>
    </row>
    <row r="55" spans="1:29">
      <c r="A55" s="7" t="s">
        <v>119</v>
      </c>
      <c r="B55" s="48">
        <f>'ACADEMIC SUPP 2yr'!B55+'STU SERVICES 2yr'!B55+'INST SUPPORT 2yr'!B55</f>
        <v>0</v>
      </c>
      <c r="C55" s="48">
        <f>'ACADEMIC SUPP 2yr'!C55+'STU SERVICES 2yr'!C55+'INST SUPPORT 2yr'!C55</f>
        <v>0</v>
      </c>
      <c r="D55" s="48">
        <f>'ACADEMIC SUPP 2yr'!D55+'STU SERVICES 2yr'!D55+'INST SUPPORT 2yr'!D55</f>
        <v>0</v>
      </c>
      <c r="E55" s="48">
        <f>'ACADEMIC SUPP 2yr'!E55+'STU SERVICES 2yr'!E55+'INST SUPPORT 2yr'!E55</f>
        <v>0</v>
      </c>
      <c r="F55" s="48">
        <f>'ACADEMIC SUPP 2yr'!F55+'STU SERVICES 2yr'!F55+'INST SUPPORT 2yr'!F55</f>
        <v>0</v>
      </c>
      <c r="G55" s="48">
        <f>'ACADEMIC SUPP 2yr'!G55+'STU SERVICES 2yr'!G55+'INST SUPPORT 2yr'!G55</f>
        <v>0</v>
      </c>
      <c r="H55" s="48">
        <f>'ACADEMIC SUPP 2yr'!H55+'STU SERVICES 2yr'!H55+'INST SUPPORT 2yr'!H55</f>
        <v>0</v>
      </c>
      <c r="I55" s="48">
        <f>'ACADEMIC SUPP 2yr'!I55+'STU SERVICES 2yr'!I55+'INST SUPPORT 2yr'!I55</f>
        <v>0</v>
      </c>
      <c r="J55" s="48">
        <f>'ACADEMIC SUPP 2yr'!J55+'STU SERVICES 2yr'!J55+'INST SUPPORT 2yr'!J55</f>
        <v>0</v>
      </c>
      <c r="K55" s="48">
        <f>'ACADEMIC SUPP 2yr'!K55+'STU SERVICES 2yr'!K55+'INST SUPPORT 2yr'!K55</f>
        <v>0</v>
      </c>
      <c r="L55" s="48">
        <f>'ACADEMIC SUPP 2yr'!L55+'STU SERVICES 2yr'!L55+'INST SUPPORT 2yr'!L55</f>
        <v>0</v>
      </c>
      <c r="M55" s="48">
        <f>'ACADEMIC SUPP 2yr'!M55+'STU SERVICES 2yr'!M55+'INST SUPPORT 2yr'!M55</f>
        <v>0</v>
      </c>
      <c r="N55" s="48">
        <f>'ACADEMIC SUPP 2yr'!N55+'STU SERVICES 2yr'!N55+'INST SUPPORT 2yr'!N55</f>
        <v>0</v>
      </c>
      <c r="O55" s="48">
        <f>'ACADEMIC SUPP 2yr'!O55+'STU SERVICES 2yr'!O55+'INST SUPPORT 2yr'!O55</f>
        <v>0</v>
      </c>
      <c r="P55" s="48">
        <f>'ACADEMIC SUPP 2yr'!P55+'STU SERVICES 2yr'!P55+'INST SUPPORT 2yr'!P55</f>
        <v>0</v>
      </c>
      <c r="Q55" s="48">
        <f>'ACADEMIC SUPP 2yr'!Q55+'STU SERVICES 2yr'!Q55+'INST SUPPORT 2yr'!Q55</f>
        <v>0</v>
      </c>
      <c r="R55" s="48">
        <f>'ACADEMIC SUPP 2yr'!R55+'STU SERVICES 2yr'!R55+'INST SUPPORT 2yr'!R55</f>
        <v>0</v>
      </c>
      <c r="S55" s="48">
        <f>'ACADEMIC SUPP 2yr'!S55+'STU SERVICES 2yr'!S55+'INST SUPPORT 2yr'!S55</f>
        <v>0</v>
      </c>
      <c r="T55" s="48">
        <f>'ACADEMIC SUPP 2yr'!T55+'STU SERVICES 2yr'!T55+'INST SUPPORT 2yr'!T55</f>
        <v>0</v>
      </c>
      <c r="U55" s="48">
        <f>'ACADEMIC SUPP 2yr'!U55+'STU SERVICES 2yr'!U55+'INST SUPPORT 2yr'!U55</f>
        <v>0</v>
      </c>
      <c r="V55" s="48">
        <f>'ACADEMIC SUPP 2yr'!V55+'STU SERVICES 2yr'!V55+'INST SUPPORT 2yr'!V55</f>
        <v>0</v>
      </c>
      <c r="W55" s="48">
        <f>'ACADEMIC SUPP 2yr'!W55+'STU SERVICES 2yr'!W55+'INST SUPPORT 2yr'!W55</f>
        <v>0</v>
      </c>
      <c r="X55" s="48">
        <f>'ACADEMIC SUPP 2yr'!X55+'STU SERVICES 2yr'!X55+'INST SUPPORT 2yr'!X55</f>
        <v>0</v>
      </c>
      <c r="Y55" s="48">
        <f>'ACADEMIC SUPP 2yr'!Y55+'STU SERVICES 2yr'!Y55+'INST SUPPORT 2yr'!Y55</f>
        <v>0</v>
      </c>
      <c r="Z55" s="48">
        <f>'ACADEMIC SUPP 2yr'!Z55+'STU SERVICES 2yr'!Z55+'INST SUPPORT 2yr'!Z55</f>
        <v>0</v>
      </c>
      <c r="AA55" s="48">
        <f>'ACADEMIC SUPP 2yr'!AA55+'STU SERVICES 2yr'!AA55+'INST SUPPORT 2yr'!AA55</f>
        <v>0</v>
      </c>
      <c r="AB55" s="48">
        <f>'ACADEMIC SUPP 2yr'!AB55+'STU SERVICES 2yr'!AB55+'INST SUPPORT 2yr'!AB55</f>
        <v>0</v>
      </c>
      <c r="AC55" s="48">
        <f>'ACADEMIC SUPP 2yr'!AC55+'STU SERVICES 2yr'!AC55+'INST SUPPORT 2yr'!AC55</f>
        <v>0</v>
      </c>
    </row>
    <row r="56" spans="1:29">
      <c r="A56" s="1" t="s">
        <v>89</v>
      </c>
      <c r="B56" s="48">
        <f>'ACADEMIC SUPP 2yr'!B56+'STU SERVICES 2yr'!B56+'INST SUPPORT 2yr'!B56</f>
        <v>0</v>
      </c>
      <c r="C56" s="48">
        <f>'ACADEMIC SUPP 2yr'!C56+'STU SERVICES 2yr'!C56+'INST SUPPORT 2yr'!C56</f>
        <v>0</v>
      </c>
      <c r="D56" s="48">
        <f>'ACADEMIC SUPP 2yr'!D56+'STU SERVICES 2yr'!D56+'INST SUPPORT 2yr'!D56</f>
        <v>0</v>
      </c>
      <c r="E56" s="48">
        <f>'ACADEMIC SUPP 2yr'!E56+'STU SERVICES 2yr'!E56+'INST SUPPORT 2yr'!E56</f>
        <v>0</v>
      </c>
      <c r="F56" s="48">
        <f>'ACADEMIC SUPP 2yr'!F56+'STU SERVICES 2yr'!F56+'INST SUPPORT 2yr'!F56</f>
        <v>56842.539999999994</v>
      </c>
      <c r="G56" s="48"/>
      <c r="H56" s="48">
        <f>'ACADEMIC SUPP 2yr'!H56+'STU SERVICES 2yr'!H56+'INST SUPPORT 2yr'!H56</f>
        <v>0</v>
      </c>
      <c r="I56" s="48">
        <f>'ACADEMIC SUPP 2yr'!I56+'STU SERVICES 2yr'!I56+'INST SUPPORT 2yr'!I56</f>
        <v>60051.144</v>
      </c>
      <c r="J56" s="48">
        <f>'ACADEMIC SUPP 2yr'!J56+'STU SERVICES 2yr'!J56+'INST SUPPORT 2yr'!J56</f>
        <v>0</v>
      </c>
      <c r="K56" s="48">
        <f>'ACADEMIC SUPP 2yr'!K56+'STU SERVICES 2yr'!K56+'INST SUPPORT 2yr'!K56</f>
        <v>84821.226380000007</v>
      </c>
      <c r="L56" s="48">
        <f>'ACADEMIC SUPP 2yr'!L56+'STU SERVICES 2yr'!L56+'INST SUPPORT 2yr'!L56</f>
        <v>106152.897</v>
      </c>
      <c r="M56" s="48">
        <f>'ACADEMIC SUPP 2yr'!M56+'STU SERVICES 2yr'!M56+'INST SUPPORT 2yr'!M56</f>
        <v>107196.02600000001</v>
      </c>
      <c r="N56" s="48">
        <f>'ACADEMIC SUPP 2yr'!N56+'STU SERVICES 2yr'!N56+'INST SUPPORT 2yr'!N56</f>
        <v>115720.99600000001</v>
      </c>
      <c r="O56" s="48">
        <f>'ACADEMIC SUPP 2yr'!O56+'STU SERVICES 2yr'!O56+'INST SUPPORT 2yr'!O56</f>
        <v>116230.448</v>
      </c>
      <c r="P56" s="48">
        <f>'ACADEMIC SUPP 2yr'!P56+'STU SERVICES 2yr'!P56+'INST SUPPORT 2yr'!P56</f>
        <v>119850.52099999999</v>
      </c>
      <c r="Q56" s="48">
        <f>'ACADEMIC SUPP 2yr'!Q56+'STU SERVICES 2yr'!Q56+'INST SUPPORT 2yr'!Q56</f>
        <v>130518.01899999999</v>
      </c>
      <c r="R56" s="48">
        <f>'ACADEMIC SUPP 2yr'!R56+'STU SERVICES 2yr'!R56+'INST SUPPORT 2yr'!R56</f>
        <v>137218.00400000002</v>
      </c>
      <c r="S56" s="48">
        <f>'ACADEMIC SUPP 2yr'!S56+'STU SERVICES 2yr'!S56+'INST SUPPORT 2yr'!S56</f>
        <v>145773.522</v>
      </c>
      <c r="T56" s="48">
        <f>'ACADEMIC SUPP 2yr'!T56+'STU SERVICES 2yr'!T56+'INST SUPPORT 2yr'!T56</f>
        <v>163397.973</v>
      </c>
      <c r="U56" s="48">
        <f>'ACADEMIC SUPP 2yr'!U56+'STU SERVICES 2yr'!U56+'INST SUPPORT 2yr'!U56</f>
        <v>172847.78600000002</v>
      </c>
      <c r="V56" s="48">
        <f>'ACADEMIC SUPP 2yr'!V56+'STU SERVICES 2yr'!V56+'INST SUPPORT 2yr'!V56</f>
        <v>194538.49900000001</v>
      </c>
      <c r="W56" s="48">
        <f>'ACADEMIC SUPP 2yr'!W56+'STU SERVICES 2yr'!W56+'INST SUPPORT 2yr'!W56</f>
        <v>197784.05900000001</v>
      </c>
      <c r="X56" s="48">
        <f>'ACADEMIC SUPP 2yr'!X56+'STU SERVICES 2yr'!X56+'INST SUPPORT 2yr'!X56</f>
        <v>196458.70599999998</v>
      </c>
      <c r="Y56" s="48">
        <f>'ACADEMIC SUPP 2yr'!Y56+'STU SERVICES 2yr'!Y56+'INST SUPPORT 2yr'!Y56</f>
        <v>199461.70199999999</v>
      </c>
      <c r="Z56" s="48">
        <f>'ACADEMIC SUPP 2yr'!Z56+'STU SERVICES 2yr'!Z56+'INST SUPPORT 2yr'!Z56</f>
        <v>211629.00200000001</v>
      </c>
      <c r="AA56" s="48">
        <f>'ACADEMIC SUPP 2yr'!AA56+'STU SERVICES 2yr'!AA56+'INST SUPPORT 2yr'!AA56</f>
        <v>224292.62399999998</v>
      </c>
      <c r="AB56" s="48">
        <f>'ACADEMIC SUPP 2yr'!AB56+'STU SERVICES 2yr'!AB56+'INST SUPPORT 2yr'!AB56</f>
        <v>195393.94399999999</v>
      </c>
      <c r="AC56" s="48">
        <f>'ACADEMIC SUPP 2yr'!AC56+'STU SERVICES 2yr'!AC56+'INST SUPPORT 2yr'!AC56</f>
        <v>194741.89200000002</v>
      </c>
    </row>
    <row r="57" spans="1:29">
      <c r="A57" s="1" t="s">
        <v>96</v>
      </c>
      <c r="B57" s="48">
        <f>'ACADEMIC SUPP 2yr'!B57+'STU SERVICES 2yr'!B57+'INST SUPPORT 2yr'!B57</f>
        <v>0</v>
      </c>
      <c r="C57" s="48">
        <f>'ACADEMIC SUPP 2yr'!C57+'STU SERVICES 2yr'!C57+'INST SUPPORT 2yr'!C57</f>
        <v>0</v>
      </c>
      <c r="D57" s="48">
        <f>'ACADEMIC SUPP 2yr'!D57+'STU SERVICES 2yr'!D57+'INST SUPPORT 2yr'!D57</f>
        <v>0</v>
      </c>
      <c r="E57" s="48">
        <f>'ACADEMIC SUPP 2yr'!E57+'STU SERVICES 2yr'!E57+'INST SUPPORT 2yr'!E57</f>
        <v>0</v>
      </c>
      <c r="F57" s="48">
        <f>'ACADEMIC SUPP 2yr'!F57+'STU SERVICES 2yr'!F57+'INST SUPPORT 2yr'!F57</f>
        <v>10901.255999999999</v>
      </c>
      <c r="G57" s="48">
        <f>'ACADEMIC SUPP 2yr'!G57+'STU SERVICES 2yr'!G57+'INST SUPPORT 2yr'!G57</f>
        <v>0</v>
      </c>
      <c r="H57" s="48">
        <f>'ACADEMIC SUPP 2yr'!H57+'STU SERVICES 2yr'!H57+'INST SUPPORT 2yr'!H57</f>
        <v>0</v>
      </c>
      <c r="I57" s="48">
        <f>'ACADEMIC SUPP 2yr'!I57+'STU SERVICES 2yr'!I57+'INST SUPPORT 2yr'!I57</f>
        <v>13340.585999999999</v>
      </c>
      <c r="J57" s="48">
        <f>'ACADEMIC SUPP 2yr'!J57+'STU SERVICES 2yr'!J57+'INST SUPPORT 2yr'!J57</f>
        <v>0</v>
      </c>
      <c r="K57" s="48">
        <f>'ACADEMIC SUPP 2yr'!K57+'STU SERVICES 2yr'!K57+'INST SUPPORT 2yr'!K57</f>
        <v>15166.312999999998</v>
      </c>
      <c r="L57" s="48">
        <f>'ACADEMIC SUPP 2yr'!L57+'STU SERVICES 2yr'!L57+'INST SUPPORT 2yr'!L57</f>
        <v>20080.828000000001</v>
      </c>
      <c r="M57" s="48">
        <f>'ACADEMIC SUPP 2yr'!M57+'STU SERVICES 2yr'!M57+'INST SUPPORT 2yr'!M57</f>
        <v>20770.659</v>
      </c>
      <c r="N57" s="48">
        <f>'ACADEMIC SUPP 2yr'!N57+'STU SERVICES 2yr'!N57+'INST SUPPORT 2yr'!N57</f>
        <v>21639.589</v>
      </c>
      <c r="O57" s="48">
        <f>'ACADEMIC SUPP 2yr'!O57+'STU SERVICES 2yr'!O57+'INST SUPPORT 2yr'!O57</f>
        <v>22574.451999999997</v>
      </c>
      <c r="P57" s="48">
        <f>'ACADEMIC SUPP 2yr'!P57+'STU SERVICES 2yr'!P57+'INST SUPPORT 2yr'!P57</f>
        <v>24172.52</v>
      </c>
      <c r="Q57" s="48">
        <f>'ACADEMIC SUPP 2yr'!Q57+'STU SERVICES 2yr'!Q57+'INST SUPPORT 2yr'!Q57</f>
        <v>24539.275000000001</v>
      </c>
      <c r="R57" s="48">
        <f>'ACADEMIC SUPP 2yr'!R57+'STU SERVICES 2yr'!R57+'INST SUPPORT 2yr'!R57</f>
        <v>25742.200999999997</v>
      </c>
      <c r="S57" s="48">
        <f>'ACADEMIC SUPP 2yr'!S57+'STU SERVICES 2yr'!S57+'INST SUPPORT 2yr'!S57</f>
        <v>26930.698000000004</v>
      </c>
      <c r="T57" s="48">
        <f>'ACADEMIC SUPP 2yr'!T57+'STU SERVICES 2yr'!T57+'INST SUPPORT 2yr'!T57</f>
        <v>29905.963</v>
      </c>
      <c r="U57" s="48">
        <f>'ACADEMIC SUPP 2yr'!U57+'STU SERVICES 2yr'!U57+'INST SUPPORT 2yr'!U57</f>
        <v>38033.362000000001</v>
      </c>
      <c r="V57" s="48">
        <f>'ACADEMIC SUPP 2yr'!V57+'STU SERVICES 2yr'!V57+'INST SUPPORT 2yr'!V57</f>
        <v>38681.284</v>
      </c>
      <c r="W57" s="48">
        <f>'ACADEMIC SUPP 2yr'!W57+'STU SERVICES 2yr'!W57+'INST SUPPORT 2yr'!W57</f>
        <v>40539.491000000002</v>
      </c>
      <c r="X57" s="48">
        <f>'ACADEMIC SUPP 2yr'!X57+'STU SERVICES 2yr'!X57+'INST SUPPORT 2yr'!X57</f>
        <v>43330.449000000001</v>
      </c>
      <c r="Y57" s="48">
        <f>'ACADEMIC SUPP 2yr'!Y57+'STU SERVICES 2yr'!Y57+'INST SUPPORT 2yr'!Y57</f>
        <v>45417.284</v>
      </c>
      <c r="Z57" s="48">
        <f>'ACADEMIC SUPP 2yr'!Z57+'STU SERVICES 2yr'!Z57+'INST SUPPORT 2yr'!Z57</f>
        <v>45527.668000000005</v>
      </c>
      <c r="AA57" s="48">
        <f>'ACADEMIC SUPP 2yr'!AA57+'STU SERVICES 2yr'!AA57+'INST SUPPORT 2yr'!AA57</f>
        <v>47837.112000000001</v>
      </c>
      <c r="AB57" s="48">
        <f>'ACADEMIC SUPP 2yr'!AB57+'STU SERVICES 2yr'!AB57+'INST SUPPORT 2yr'!AB57</f>
        <v>47736.751999999993</v>
      </c>
      <c r="AC57" s="48">
        <f>'ACADEMIC SUPP 2yr'!AC57+'STU SERVICES 2yr'!AC57+'INST SUPPORT 2yr'!AC57</f>
        <v>49320.551999999996</v>
      </c>
    </row>
    <row r="58" spans="1:29" s="11" customFormat="1">
      <c r="A58" s="1" t="s">
        <v>97</v>
      </c>
      <c r="B58" s="48">
        <f>'ACADEMIC SUPP 2yr'!B58+'STU SERVICES 2yr'!B58+'INST SUPPORT 2yr'!B58</f>
        <v>0</v>
      </c>
      <c r="C58" s="48">
        <f>'ACADEMIC SUPP 2yr'!C58+'STU SERVICES 2yr'!C58+'INST SUPPORT 2yr'!C58</f>
        <v>0</v>
      </c>
      <c r="D58" s="48">
        <f>'ACADEMIC SUPP 2yr'!D58+'STU SERVICES 2yr'!D58+'INST SUPPORT 2yr'!D58</f>
        <v>0</v>
      </c>
      <c r="E58" s="48">
        <f>'ACADEMIC SUPP 2yr'!E58+'STU SERVICES 2yr'!E58+'INST SUPPORT 2yr'!E58</f>
        <v>0</v>
      </c>
      <c r="F58" s="48">
        <f>'ACADEMIC SUPP 2yr'!F58+'STU SERVICES 2yr'!F58+'INST SUPPORT 2yr'!F58</f>
        <v>83256.008000000002</v>
      </c>
      <c r="G58" s="48">
        <f>'ACADEMIC SUPP 2yr'!G58+'STU SERVICES 2yr'!G58+'INST SUPPORT 2yr'!G58</f>
        <v>0</v>
      </c>
      <c r="H58" s="48">
        <f>'ACADEMIC SUPP 2yr'!H58+'STU SERVICES 2yr'!H58+'INST SUPPORT 2yr'!H58</f>
        <v>0</v>
      </c>
      <c r="I58" s="48">
        <f>'ACADEMIC SUPP 2yr'!I58+'STU SERVICES 2yr'!I58+'INST SUPPORT 2yr'!I58</f>
        <v>122870.54200000002</v>
      </c>
      <c r="J58" s="48">
        <f>'ACADEMIC SUPP 2yr'!J58+'STU SERVICES 2yr'!J58+'INST SUPPORT 2yr'!J58</f>
        <v>0</v>
      </c>
      <c r="K58" s="48">
        <f>'ACADEMIC SUPP 2yr'!K58+'STU SERVICES 2yr'!K58+'INST SUPPORT 2yr'!K58</f>
        <v>142947.02399999998</v>
      </c>
      <c r="L58" s="48">
        <f>'ACADEMIC SUPP 2yr'!L58+'STU SERVICES 2yr'!L58+'INST SUPPORT 2yr'!L58</f>
        <v>181584.48699999999</v>
      </c>
      <c r="M58" s="48">
        <f>'ACADEMIC SUPP 2yr'!M58+'STU SERVICES 2yr'!M58+'INST SUPPORT 2yr'!M58</f>
        <v>198998.435</v>
      </c>
      <c r="N58" s="48">
        <f>'ACADEMIC SUPP 2yr'!N58+'STU SERVICES 2yr'!N58+'INST SUPPORT 2yr'!N58</f>
        <v>196116.87599999999</v>
      </c>
      <c r="O58" s="48">
        <f>'ACADEMIC SUPP 2yr'!O58+'STU SERVICES 2yr'!O58+'INST SUPPORT 2yr'!O58</f>
        <v>193034.84</v>
      </c>
      <c r="P58" s="48">
        <f>'ACADEMIC SUPP 2yr'!P58+'STU SERVICES 2yr'!P58+'INST SUPPORT 2yr'!P58</f>
        <v>203012.85500000001</v>
      </c>
      <c r="Q58" s="48">
        <f>'ACADEMIC SUPP 2yr'!Q58+'STU SERVICES 2yr'!Q58+'INST SUPPORT 2yr'!Q58</f>
        <v>218476.85399999999</v>
      </c>
      <c r="R58" s="48">
        <f>'ACADEMIC SUPP 2yr'!R58+'STU SERVICES 2yr'!R58+'INST SUPPORT 2yr'!R58</f>
        <v>237797.99900000001</v>
      </c>
      <c r="S58" s="48">
        <f>'ACADEMIC SUPP 2yr'!S58+'STU SERVICES 2yr'!S58+'INST SUPPORT 2yr'!S58</f>
        <v>250339.13200000001</v>
      </c>
      <c r="T58" s="48">
        <f>'ACADEMIC SUPP 2yr'!T58+'STU SERVICES 2yr'!T58+'INST SUPPORT 2yr'!T58</f>
        <v>264240.98600000003</v>
      </c>
      <c r="U58" s="48">
        <f>'ACADEMIC SUPP 2yr'!U58+'STU SERVICES 2yr'!U58+'INST SUPPORT 2yr'!U58</f>
        <v>255126.88500000001</v>
      </c>
      <c r="V58" s="48">
        <f>'ACADEMIC SUPP 2yr'!V58+'STU SERVICES 2yr'!V58+'INST SUPPORT 2yr'!V58</f>
        <v>299661.05200000003</v>
      </c>
      <c r="W58" s="48">
        <f>'ACADEMIC SUPP 2yr'!W58+'STU SERVICES 2yr'!W58+'INST SUPPORT 2yr'!W58</f>
        <v>319484.48200000002</v>
      </c>
      <c r="X58" s="48">
        <f>'ACADEMIC SUPP 2yr'!X58+'STU SERVICES 2yr'!X58+'INST SUPPORT 2yr'!X58</f>
        <v>335008.01100000006</v>
      </c>
      <c r="Y58" s="48">
        <f>'ACADEMIC SUPP 2yr'!Y58+'STU SERVICES 2yr'!Y58+'INST SUPPORT 2yr'!Y58</f>
        <v>344580.15399999998</v>
      </c>
      <c r="Z58" s="48">
        <f>'ACADEMIC SUPP 2yr'!Z58+'STU SERVICES 2yr'!Z58+'INST SUPPORT 2yr'!Z58</f>
        <v>365072.55900000001</v>
      </c>
      <c r="AA58" s="48">
        <f>'ACADEMIC SUPP 2yr'!AA58+'STU SERVICES 2yr'!AA58+'INST SUPPORT 2yr'!AA58</f>
        <v>388391.326</v>
      </c>
      <c r="AB58" s="48">
        <f>'ACADEMIC SUPP 2yr'!AB58+'STU SERVICES 2yr'!AB58+'INST SUPPORT 2yr'!AB58</f>
        <v>387394.62899999996</v>
      </c>
      <c r="AC58" s="48">
        <f>'ACADEMIC SUPP 2yr'!AC58+'STU SERVICES 2yr'!AC58+'INST SUPPORT 2yr'!AC58</f>
        <v>399573.13599999994</v>
      </c>
    </row>
    <row r="59" spans="1:29">
      <c r="A59" s="1" t="s">
        <v>103</v>
      </c>
      <c r="B59" s="48">
        <f>'ACADEMIC SUPP 2yr'!B59+'STU SERVICES 2yr'!B59+'INST SUPPORT 2yr'!B59</f>
        <v>0</v>
      </c>
      <c r="C59" s="48">
        <f>'ACADEMIC SUPP 2yr'!C59+'STU SERVICES 2yr'!C59+'INST SUPPORT 2yr'!C59</f>
        <v>0</v>
      </c>
      <c r="D59" s="48">
        <f>'ACADEMIC SUPP 2yr'!D59+'STU SERVICES 2yr'!D59+'INST SUPPORT 2yr'!D59</f>
        <v>0</v>
      </c>
      <c r="E59" s="48">
        <f>'ACADEMIC SUPP 2yr'!E59+'STU SERVICES 2yr'!E59+'INST SUPPORT 2yr'!E59</f>
        <v>0</v>
      </c>
      <c r="F59" s="48">
        <f>'ACADEMIC SUPP 2yr'!F59+'STU SERVICES 2yr'!F59+'INST SUPPORT 2yr'!F59</f>
        <v>9499.8349999999991</v>
      </c>
      <c r="G59" s="48">
        <f>'ACADEMIC SUPP 2yr'!G59+'STU SERVICES 2yr'!G59+'INST SUPPORT 2yr'!G59</f>
        <v>0</v>
      </c>
      <c r="H59" s="48">
        <f>'ACADEMIC SUPP 2yr'!H59+'STU SERVICES 2yr'!H59+'INST SUPPORT 2yr'!H59</f>
        <v>0</v>
      </c>
      <c r="I59" s="48">
        <f>'ACADEMIC SUPP 2yr'!I59+'STU SERVICES 2yr'!I59+'INST SUPPORT 2yr'!I59</f>
        <v>16250.873000000001</v>
      </c>
      <c r="J59" s="48">
        <f>'ACADEMIC SUPP 2yr'!J59+'STU SERVICES 2yr'!J59+'INST SUPPORT 2yr'!J59</f>
        <v>0</v>
      </c>
      <c r="K59" s="48">
        <f>'ACADEMIC SUPP 2yr'!K59+'STU SERVICES 2yr'!K59+'INST SUPPORT 2yr'!K59</f>
        <v>20643.48271</v>
      </c>
      <c r="L59" s="48">
        <f>'ACADEMIC SUPP 2yr'!L59+'STU SERVICES 2yr'!L59+'INST SUPPORT 2yr'!L59</f>
        <v>20476.095999999998</v>
      </c>
      <c r="M59" s="48">
        <f>'ACADEMIC SUPP 2yr'!M59+'STU SERVICES 2yr'!M59+'INST SUPPORT 2yr'!M59</f>
        <v>21662.987000000001</v>
      </c>
      <c r="N59" s="48">
        <f>'ACADEMIC SUPP 2yr'!N59+'STU SERVICES 2yr'!N59+'INST SUPPORT 2yr'!N59</f>
        <v>23517.95</v>
      </c>
      <c r="O59" s="48">
        <f>'ACADEMIC SUPP 2yr'!O59+'STU SERVICES 2yr'!O59+'INST SUPPORT 2yr'!O59</f>
        <v>25842.241000000002</v>
      </c>
      <c r="P59" s="48">
        <f>'ACADEMIC SUPP 2yr'!P59+'STU SERVICES 2yr'!P59+'INST SUPPORT 2yr'!P59</f>
        <v>28157.664000000001</v>
      </c>
      <c r="Q59" s="48">
        <f>'ACADEMIC SUPP 2yr'!Q59+'STU SERVICES 2yr'!Q59+'INST SUPPORT 2yr'!Q59</f>
        <v>31393.897000000001</v>
      </c>
      <c r="R59" s="48">
        <f>'ACADEMIC SUPP 2yr'!R59+'STU SERVICES 2yr'!R59+'INST SUPPORT 2yr'!R59</f>
        <v>27987.628000000001</v>
      </c>
      <c r="S59" s="48">
        <f>'ACADEMIC SUPP 2yr'!S59+'STU SERVICES 2yr'!S59+'INST SUPPORT 2yr'!S59</f>
        <v>38344.504000000001</v>
      </c>
      <c r="T59" s="48">
        <f>'ACADEMIC SUPP 2yr'!T59+'STU SERVICES 2yr'!T59+'INST SUPPORT 2yr'!T59</f>
        <v>39217.883999999998</v>
      </c>
      <c r="U59" s="48">
        <f>'ACADEMIC SUPP 2yr'!U59+'STU SERVICES 2yr'!U59+'INST SUPPORT 2yr'!U59</f>
        <v>44479.37</v>
      </c>
      <c r="V59" s="48">
        <f>'ACADEMIC SUPP 2yr'!V59+'STU SERVICES 2yr'!V59+'INST SUPPORT 2yr'!V59</f>
        <v>63019.858</v>
      </c>
      <c r="W59" s="48">
        <f>'ACADEMIC SUPP 2yr'!W59+'STU SERVICES 2yr'!W59+'INST SUPPORT 2yr'!W59</f>
        <v>76015.491999999998</v>
      </c>
      <c r="X59" s="48">
        <f>'ACADEMIC SUPP 2yr'!X59+'STU SERVICES 2yr'!X59+'INST SUPPORT 2yr'!X59</f>
        <v>53361.747000000003</v>
      </c>
      <c r="Y59" s="48">
        <f>'ACADEMIC SUPP 2yr'!Y59+'STU SERVICES 2yr'!Y59+'INST SUPPORT 2yr'!Y59</f>
        <v>54002.114999999998</v>
      </c>
      <c r="Z59" s="48">
        <f>'ACADEMIC SUPP 2yr'!Z59+'STU SERVICES 2yr'!Z59+'INST SUPPORT 2yr'!Z59</f>
        <v>54274.347000000002</v>
      </c>
      <c r="AA59" s="48">
        <f>'ACADEMIC SUPP 2yr'!AA59+'STU SERVICES 2yr'!AA59+'INST SUPPORT 2yr'!AA59</f>
        <v>56979.013999999996</v>
      </c>
      <c r="AB59" s="48">
        <f>'ACADEMIC SUPP 2yr'!AB59+'STU SERVICES 2yr'!AB59+'INST SUPPORT 2yr'!AB59</f>
        <v>56076.368000000002</v>
      </c>
      <c r="AC59" s="48">
        <f>'ACADEMIC SUPP 2yr'!AC59+'STU SERVICES 2yr'!AC59+'INST SUPPORT 2yr'!AC59</f>
        <v>57732.896999999997</v>
      </c>
    </row>
    <row r="60" spans="1:29">
      <c r="A60" s="1" t="s">
        <v>104</v>
      </c>
      <c r="B60" s="48">
        <f>'ACADEMIC SUPP 2yr'!B60+'STU SERVICES 2yr'!B60+'INST SUPPORT 2yr'!B60</f>
        <v>0</v>
      </c>
      <c r="C60" s="48">
        <f>'ACADEMIC SUPP 2yr'!C60+'STU SERVICES 2yr'!C60+'INST SUPPORT 2yr'!C60</f>
        <v>0</v>
      </c>
      <c r="D60" s="48">
        <f>'ACADEMIC SUPP 2yr'!D60+'STU SERVICES 2yr'!D60+'INST SUPPORT 2yr'!D60</f>
        <v>0</v>
      </c>
      <c r="E60" s="48">
        <f>'ACADEMIC SUPP 2yr'!E60+'STU SERVICES 2yr'!E60+'INST SUPPORT 2yr'!E60</f>
        <v>0</v>
      </c>
      <c r="F60" s="48">
        <f>'ACADEMIC SUPP 2yr'!F60+'STU SERVICES 2yr'!F60+'INST SUPPORT 2yr'!F60</f>
        <v>155432.85499999998</v>
      </c>
      <c r="G60" s="48">
        <f>'ACADEMIC SUPP 2yr'!G60+'STU SERVICES 2yr'!G60+'INST SUPPORT 2yr'!G60</f>
        <v>0</v>
      </c>
      <c r="H60" s="48">
        <f>'ACADEMIC SUPP 2yr'!H60+'STU SERVICES 2yr'!H60+'INST SUPPORT 2yr'!H60</f>
        <v>0</v>
      </c>
      <c r="I60" s="48">
        <f>'ACADEMIC SUPP 2yr'!I60+'STU SERVICES 2yr'!I60+'INST SUPPORT 2yr'!I60</f>
        <v>186319.33100000001</v>
      </c>
      <c r="J60" s="48">
        <f>'ACADEMIC SUPP 2yr'!J60+'STU SERVICES 2yr'!J60+'INST SUPPORT 2yr'!J60</f>
        <v>0</v>
      </c>
      <c r="K60" s="48">
        <f>'ACADEMIC SUPP 2yr'!K60+'STU SERVICES 2yr'!K60+'INST SUPPORT 2yr'!K60</f>
        <v>202467.36199999999</v>
      </c>
      <c r="L60" s="48">
        <f>'ACADEMIC SUPP 2yr'!L60+'STU SERVICES 2yr'!L60+'INST SUPPORT 2yr'!L60</f>
        <v>225687.09299999999</v>
      </c>
      <c r="M60" s="48">
        <f>'ACADEMIC SUPP 2yr'!M60+'STU SERVICES 2yr'!M60+'INST SUPPORT 2yr'!M60</f>
        <v>247055.91100000002</v>
      </c>
      <c r="N60" s="48">
        <f>'ACADEMIC SUPP 2yr'!N60+'STU SERVICES 2yr'!N60+'INST SUPPORT 2yr'!N60</f>
        <v>254849.38699999999</v>
      </c>
      <c r="O60" s="48">
        <f>'ACADEMIC SUPP 2yr'!O60+'STU SERVICES 2yr'!O60+'INST SUPPORT 2yr'!O60</f>
        <v>279654.97400000005</v>
      </c>
      <c r="P60" s="48">
        <f>'ACADEMIC SUPP 2yr'!P60+'STU SERVICES 2yr'!P60+'INST SUPPORT 2yr'!P60</f>
        <v>300749.71399999998</v>
      </c>
      <c r="Q60" s="48">
        <f>'ACADEMIC SUPP 2yr'!Q60+'STU SERVICES 2yr'!Q60+'INST SUPPORT 2yr'!Q60</f>
        <v>312584.03500000003</v>
      </c>
      <c r="R60" s="48">
        <f>'ACADEMIC SUPP 2yr'!R60+'STU SERVICES 2yr'!R60+'INST SUPPORT 2yr'!R60</f>
        <v>322191.69299999997</v>
      </c>
      <c r="S60" s="48">
        <f>'ACADEMIC SUPP 2yr'!S60+'STU SERVICES 2yr'!S60+'INST SUPPORT 2yr'!S60</f>
        <v>330565.34000000003</v>
      </c>
      <c r="T60" s="48">
        <f>'ACADEMIC SUPP 2yr'!T60+'STU SERVICES 2yr'!T60+'INST SUPPORT 2yr'!T60</f>
        <v>365091.78</v>
      </c>
      <c r="U60" s="48">
        <f>'ACADEMIC SUPP 2yr'!U60+'STU SERVICES 2yr'!U60+'INST SUPPORT 2yr'!U60</f>
        <v>392457.61699999997</v>
      </c>
      <c r="V60" s="48">
        <f>'ACADEMIC SUPP 2yr'!V60+'STU SERVICES 2yr'!V60+'INST SUPPORT 2yr'!V60</f>
        <v>479518.66200000001</v>
      </c>
      <c r="W60" s="48">
        <f>'ACADEMIC SUPP 2yr'!W60+'STU SERVICES 2yr'!W60+'INST SUPPORT 2yr'!W60</f>
        <v>488439.511</v>
      </c>
      <c r="X60" s="48">
        <f>'ACADEMIC SUPP 2yr'!X60+'STU SERVICES 2yr'!X60+'INST SUPPORT 2yr'!X60</f>
        <v>487614.14799999999</v>
      </c>
      <c r="Y60" s="48">
        <f>'ACADEMIC SUPP 2yr'!Y60+'STU SERVICES 2yr'!Y60+'INST SUPPORT 2yr'!Y60</f>
        <v>484767.60499999998</v>
      </c>
      <c r="Z60" s="48">
        <f>'ACADEMIC SUPP 2yr'!Z60+'STU SERVICES 2yr'!Z60+'INST SUPPORT 2yr'!Z60</f>
        <v>486999.40599999996</v>
      </c>
      <c r="AA60" s="48">
        <f>'ACADEMIC SUPP 2yr'!AA60+'STU SERVICES 2yr'!AA60+'INST SUPPORT 2yr'!AA60</f>
        <v>484306.79300000001</v>
      </c>
      <c r="AB60" s="48">
        <f>'ACADEMIC SUPP 2yr'!AB60+'STU SERVICES 2yr'!AB60+'INST SUPPORT 2yr'!AB60</f>
        <v>465756.78500000003</v>
      </c>
      <c r="AC60" s="48">
        <f>'ACADEMIC SUPP 2yr'!AC60+'STU SERVICES 2yr'!AC60+'INST SUPPORT 2yr'!AC60</f>
        <v>495002.63899999997</v>
      </c>
    </row>
    <row r="61" spans="1:29">
      <c r="A61" s="1" t="s">
        <v>106</v>
      </c>
      <c r="B61" s="48">
        <f>'ACADEMIC SUPP 2yr'!B61+'STU SERVICES 2yr'!B61+'INST SUPPORT 2yr'!B61</f>
        <v>0</v>
      </c>
      <c r="C61" s="48">
        <f>'ACADEMIC SUPP 2yr'!C61+'STU SERVICES 2yr'!C61+'INST SUPPORT 2yr'!C61</f>
        <v>0</v>
      </c>
      <c r="D61" s="48">
        <f>'ACADEMIC SUPP 2yr'!D61+'STU SERVICES 2yr'!D61+'INST SUPPORT 2yr'!D61</f>
        <v>0</v>
      </c>
      <c r="E61" s="48">
        <f>'ACADEMIC SUPP 2yr'!E61+'STU SERVICES 2yr'!E61+'INST SUPPORT 2yr'!E61</f>
        <v>0</v>
      </c>
      <c r="F61" s="48">
        <f>'ACADEMIC SUPP 2yr'!F61+'STU SERVICES 2yr'!F61+'INST SUPPORT 2yr'!F61</f>
        <v>293134.21499999997</v>
      </c>
      <c r="G61" s="48">
        <f>'ACADEMIC SUPP 2yr'!G61+'STU SERVICES 2yr'!G61+'INST SUPPORT 2yr'!G61</f>
        <v>0</v>
      </c>
      <c r="H61" s="48">
        <f>'ACADEMIC SUPP 2yr'!H61+'STU SERVICES 2yr'!H61+'INST SUPPORT 2yr'!H61</f>
        <v>0</v>
      </c>
      <c r="I61" s="48">
        <f>'ACADEMIC SUPP 2yr'!I61+'STU SERVICES 2yr'!I61+'INST SUPPORT 2yr'!I61</f>
        <v>356506.93200000003</v>
      </c>
      <c r="J61" s="48">
        <f>'ACADEMIC SUPP 2yr'!J61+'STU SERVICES 2yr'!J61+'INST SUPPORT 2yr'!J61</f>
        <v>0</v>
      </c>
      <c r="K61" s="48">
        <f>'ACADEMIC SUPP 2yr'!K61+'STU SERVICES 2yr'!K61+'INST SUPPORT 2yr'!K61</f>
        <v>421409.52800000005</v>
      </c>
      <c r="L61" s="48">
        <f>'ACADEMIC SUPP 2yr'!L61+'STU SERVICES 2yr'!L61+'INST SUPPORT 2yr'!L61</f>
        <v>418255.98499999999</v>
      </c>
      <c r="M61" s="48">
        <f>'ACADEMIC SUPP 2yr'!M61+'STU SERVICES 2yr'!M61+'INST SUPPORT 2yr'!M61</f>
        <v>512516.85099999997</v>
      </c>
      <c r="N61" s="48">
        <f>'ACADEMIC SUPP 2yr'!N61+'STU SERVICES 2yr'!N61+'INST SUPPORT 2yr'!N61</f>
        <v>538951.75300000003</v>
      </c>
      <c r="O61" s="48">
        <f>'ACADEMIC SUPP 2yr'!O61+'STU SERVICES 2yr'!O61+'INST SUPPORT 2yr'!O61</f>
        <v>565481.72600000002</v>
      </c>
      <c r="P61" s="48">
        <f>'ACADEMIC SUPP 2yr'!P61+'STU SERVICES 2yr'!P61+'INST SUPPORT 2yr'!P61</f>
        <v>599003.94200000004</v>
      </c>
      <c r="Q61" s="48">
        <f>'ACADEMIC SUPP 2yr'!Q61+'STU SERVICES 2yr'!Q61+'INST SUPPORT 2yr'!Q61</f>
        <v>624085.90599999996</v>
      </c>
      <c r="R61" s="48">
        <f>'ACADEMIC SUPP 2yr'!R61+'STU SERVICES 2yr'!R61+'INST SUPPORT 2yr'!R61</f>
        <v>651355.19999999995</v>
      </c>
      <c r="S61" s="48">
        <f>'ACADEMIC SUPP 2yr'!S61+'STU SERVICES 2yr'!S61+'INST SUPPORT 2yr'!S61</f>
        <v>719306.96100000001</v>
      </c>
      <c r="T61" s="48">
        <f>'ACADEMIC SUPP 2yr'!T61+'STU SERVICES 2yr'!T61+'INST SUPPORT 2yr'!T61</f>
        <v>771034.25499999989</v>
      </c>
      <c r="U61" s="48">
        <f>'ACADEMIC SUPP 2yr'!U61+'STU SERVICES 2yr'!U61+'INST SUPPORT 2yr'!U61</f>
        <v>915976.83499999996</v>
      </c>
      <c r="V61" s="48">
        <f>'ACADEMIC SUPP 2yr'!V61+'STU SERVICES 2yr'!V61+'INST SUPPORT 2yr'!V61</f>
        <v>1080337.2540000002</v>
      </c>
      <c r="W61" s="48">
        <f>'ACADEMIC SUPP 2yr'!W61+'STU SERVICES 2yr'!W61+'INST SUPPORT 2yr'!W61</f>
        <v>1113827.2620000001</v>
      </c>
      <c r="X61" s="48">
        <f>'ACADEMIC SUPP 2yr'!X61+'STU SERVICES 2yr'!X61+'INST SUPPORT 2yr'!X61</f>
        <v>1142437.3470000001</v>
      </c>
      <c r="Y61" s="48">
        <f>'ACADEMIC SUPP 2yr'!Y61+'STU SERVICES 2yr'!Y61+'INST SUPPORT 2yr'!Y61</f>
        <v>1188076.023</v>
      </c>
      <c r="Z61" s="48">
        <f>'ACADEMIC SUPP 2yr'!Z61+'STU SERVICES 2yr'!Z61+'INST SUPPORT 2yr'!Z61</f>
        <v>1260184.943</v>
      </c>
      <c r="AA61" s="48">
        <f>'ACADEMIC SUPP 2yr'!AA61+'STU SERVICES 2yr'!AA61+'INST SUPPORT 2yr'!AA61</f>
        <v>1228780.8999999999</v>
      </c>
      <c r="AB61" s="48">
        <f>'ACADEMIC SUPP 2yr'!AB61+'STU SERVICES 2yr'!AB61+'INST SUPPORT 2yr'!AB61</f>
        <v>1267043.247</v>
      </c>
      <c r="AC61" s="48">
        <f>'ACADEMIC SUPP 2yr'!AC61+'STU SERVICES 2yr'!AC61+'INST SUPPORT 2yr'!AC61</f>
        <v>1248295.6430000002</v>
      </c>
    </row>
    <row r="62" spans="1:29">
      <c r="A62" s="1" t="s">
        <v>110</v>
      </c>
      <c r="B62" s="48">
        <f>'ACADEMIC SUPP 2yr'!B62+'STU SERVICES 2yr'!B62+'INST SUPPORT 2yr'!B62</f>
        <v>0</v>
      </c>
      <c r="C62" s="48">
        <f>'ACADEMIC SUPP 2yr'!C62+'STU SERVICES 2yr'!C62+'INST SUPPORT 2yr'!C62</f>
        <v>0</v>
      </c>
      <c r="D62" s="48">
        <f>'ACADEMIC SUPP 2yr'!D62+'STU SERVICES 2yr'!D62+'INST SUPPORT 2yr'!D62</f>
        <v>0</v>
      </c>
      <c r="E62" s="48">
        <f>'ACADEMIC SUPP 2yr'!E62+'STU SERVICES 2yr'!E62+'INST SUPPORT 2yr'!E62</f>
        <v>0</v>
      </c>
      <c r="F62" s="48">
        <f>'ACADEMIC SUPP 2yr'!F62+'STU SERVICES 2yr'!F62+'INST SUPPORT 2yr'!F62</f>
        <v>119245.993</v>
      </c>
      <c r="G62" s="48">
        <f>'ACADEMIC SUPP 2yr'!G62+'STU SERVICES 2yr'!G62+'INST SUPPORT 2yr'!G62</f>
        <v>0</v>
      </c>
      <c r="H62" s="48">
        <f>'ACADEMIC SUPP 2yr'!H62+'STU SERVICES 2yr'!H62+'INST SUPPORT 2yr'!H62</f>
        <v>0</v>
      </c>
      <c r="I62" s="48">
        <f>'ACADEMIC SUPP 2yr'!I62+'STU SERVICES 2yr'!I62+'INST SUPPORT 2yr'!I62</f>
        <v>138423.80300000001</v>
      </c>
      <c r="J62" s="48">
        <f>'ACADEMIC SUPP 2yr'!J62+'STU SERVICES 2yr'!J62+'INST SUPPORT 2yr'!J62</f>
        <v>0</v>
      </c>
      <c r="K62" s="48">
        <f>'ACADEMIC SUPP 2yr'!K62+'STU SERVICES 2yr'!K62+'INST SUPPORT 2yr'!K62</f>
        <v>154935.51053000003</v>
      </c>
      <c r="L62" s="48">
        <f>'ACADEMIC SUPP 2yr'!L62+'STU SERVICES 2yr'!L62+'INST SUPPORT 2yr'!L62</f>
        <v>168232.655</v>
      </c>
      <c r="M62" s="48">
        <f>'ACADEMIC SUPP 2yr'!M62+'STU SERVICES 2yr'!M62+'INST SUPPORT 2yr'!M62</f>
        <v>180725.15299999999</v>
      </c>
      <c r="N62" s="48">
        <f>'ACADEMIC SUPP 2yr'!N62+'STU SERVICES 2yr'!N62+'INST SUPPORT 2yr'!N62</f>
        <v>193930.73700000002</v>
      </c>
      <c r="O62" s="48">
        <f>'ACADEMIC SUPP 2yr'!O62+'STU SERVICES 2yr'!O62+'INST SUPPORT 2yr'!O62</f>
        <v>212063.55</v>
      </c>
      <c r="P62" s="48">
        <f>'ACADEMIC SUPP 2yr'!P62+'STU SERVICES 2yr'!P62+'INST SUPPORT 2yr'!P62</f>
        <v>228148.43799999999</v>
      </c>
      <c r="Q62" s="48">
        <f>'ACADEMIC SUPP 2yr'!Q62+'STU SERVICES 2yr'!Q62+'INST SUPPORT 2yr'!Q62</f>
        <v>243294.288</v>
      </c>
      <c r="R62" s="48">
        <f>'ACADEMIC SUPP 2yr'!R62+'STU SERVICES 2yr'!R62+'INST SUPPORT 2yr'!R62</f>
        <v>258306.99199999997</v>
      </c>
      <c r="S62" s="48">
        <f>'ACADEMIC SUPP 2yr'!S62+'STU SERVICES 2yr'!S62+'INST SUPPORT 2yr'!S62</f>
        <v>266138.15099999995</v>
      </c>
      <c r="T62" s="48">
        <f>'ACADEMIC SUPP 2yr'!T62+'STU SERVICES 2yr'!T62+'INST SUPPORT 2yr'!T62</f>
        <v>310979.875</v>
      </c>
      <c r="U62" s="48">
        <f>'ACADEMIC SUPP 2yr'!U62+'STU SERVICES 2yr'!U62+'INST SUPPORT 2yr'!U62</f>
        <v>346313.44299999997</v>
      </c>
      <c r="V62" s="48">
        <f>'ACADEMIC SUPP 2yr'!V62+'STU SERVICES 2yr'!V62+'INST SUPPORT 2yr'!V62</f>
        <v>395496.55699999997</v>
      </c>
      <c r="W62" s="48">
        <f>'ACADEMIC SUPP 2yr'!W62+'STU SERVICES 2yr'!W62+'INST SUPPORT 2yr'!W62</f>
        <v>406797.64599999995</v>
      </c>
      <c r="X62" s="48">
        <f>'ACADEMIC SUPP 2yr'!X62+'STU SERVICES 2yr'!X62+'INST SUPPORT 2yr'!X62</f>
        <v>426278.97700000001</v>
      </c>
      <c r="Y62" s="48">
        <f>'ACADEMIC SUPP 2yr'!Y62+'STU SERVICES 2yr'!Y62+'INST SUPPORT 2yr'!Y62</f>
        <v>437460.72</v>
      </c>
      <c r="Z62" s="48">
        <f>'ACADEMIC SUPP 2yr'!Z62+'STU SERVICES 2yr'!Z62+'INST SUPPORT 2yr'!Z62</f>
        <v>450039.14199999999</v>
      </c>
      <c r="AA62" s="48">
        <f>'ACADEMIC SUPP 2yr'!AA62+'STU SERVICES 2yr'!AA62+'INST SUPPORT 2yr'!AA62</f>
        <v>448152.69400000002</v>
      </c>
      <c r="AB62" s="48">
        <f>'ACADEMIC SUPP 2yr'!AB62+'STU SERVICES 2yr'!AB62+'INST SUPPORT 2yr'!AB62</f>
        <v>440671.93900000001</v>
      </c>
      <c r="AC62" s="48">
        <f>'ACADEMIC SUPP 2yr'!AC62+'STU SERVICES 2yr'!AC62+'INST SUPPORT 2yr'!AC62</f>
        <v>443756.68500000006</v>
      </c>
    </row>
    <row r="63" spans="1:29">
      <c r="A63" s="1" t="s">
        <v>111</v>
      </c>
      <c r="B63" s="48">
        <f>'ACADEMIC SUPP 2yr'!B63+'STU SERVICES 2yr'!B63+'INST SUPPORT 2yr'!B63</f>
        <v>0</v>
      </c>
      <c r="C63" s="48">
        <f>'ACADEMIC SUPP 2yr'!C63+'STU SERVICES 2yr'!C63+'INST SUPPORT 2yr'!C63</f>
        <v>0</v>
      </c>
      <c r="D63" s="48">
        <f>'ACADEMIC SUPP 2yr'!D63+'STU SERVICES 2yr'!D63+'INST SUPPORT 2yr'!D63</f>
        <v>0</v>
      </c>
      <c r="E63" s="48">
        <f>'ACADEMIC SUPP 2yr'!E63+'STU SERVICES 2yr'!E63+'INST SUPPORT 2yr'!E63</f>
        <v>0</v>
      </c>
      <c r="F63" s="48">
        <f>'ACADEMIC SUPP 2yr'!F63+'STU SERVICES 2yr'!F63+'INST SUPPORT 2yr'!F63</f>
        <v>12810.611000000001</v>
      </c>
      <c r="G63" s="48">
        <f>'ACADEMIC SUPP 2yr'!G63+'STU SERVICES 2yr'!G63+'INST SUPPORT 2yr'!G63</f>
        <v>0</v>
      </c>
      <c r="H63" s="48">
        <f>'ACADEMIC SUPP 2yr'!H63+'STU SERVICES 2yr'!H63+'INST SUPPORT 2yr'!H63</f>
        <v>0</v>
      </c>
      <c r="I63" s="48">
        <f>'ACADEMIC SUPP 2yr'!I63+'STU SERVICES 2yr'!I63+'INST SUPPORT 2yr'!I63</f>
        <v>15014.993999999999</v>
      </c>
      <c r="J63" s="48">
        <f>'ACADEMIC SUPP 2yr'!J63+'STU SERVICES 2yr'!J63+'INST SUPPORT 2yr'!J63</f>
        <v>0</v>
      </c>
      <c r="K63" s="48">
        <f>'ACADEMIC SUPP 2yr'!K63+'STU SERVICES 2yr'!K63+'INST SUPPORT 2yr'!K63</f>
        <v>16514.331999999999</v>
      </c>
      <c r="L63" s="48">
        <f>'ACADEMIC SUPP 2yr'!L63+'STU SERVICES 2yr'!L63+'INST SUPPORT 2yr'!L63</f>
        <v>19461.917000000001</v>
      </c>
      <c r="M63" s="48">
        <f>'ACADEMIC SUPP 2yr'!M63+'STU SERVICES 2yr'!M63+'INST SUPPORT 2yr'!M63</f>
        <v>20758.657999999999</v>
      </c>
      <c r="N63" s="48">
        <f>'ACADEMIC SUPP 2yr'!N63+'STU SERVICES 2yr'!N63+'INST SUPPORT 2yr'!N63</f>
        <v>21328.11</v>
      </c>
      <c r="O63" s="48">
        <f>'ACADEMIC SUPP 2yr'!O63+'STU SERVICES 2yr'!O63+'INST SUPPORT 2yr'!O63</f>
        <v>22630.550999999999</v>
      </c>
      <c r="P63" s="48">
        <f>'ACADEMIC SUPP 2yr'!P63+'STU SERVICES 2yr'!P63+'INST SUPPORT 2yr'!P63</f>
        <v>24744.468000000001</v>
      </c>
      <c r="Q63" s="48">
        <f>'ACADEMIC SUPP 2yr'!Q63+'STU SERVICES 2yr'!Q63+'INST SUPPORT 2yr'!Q63</f>
        <v>28789.781999999999</v>
      </c>
      <c r="R63" s="48">
        <f>'ACADEMIC SUPP 2yr'!R63+'STU SERVICES 2yr'!R63+'INST SUPPORT 2yr'!R63</f>
        <v>31607.991999999998</v>
      </c>
      <c r="S63" s="48">
        <f>'ACADEMIC SUPP 2yr'!S63+'STU SERVICES 2yr'!S63+'INST SUPPORT 2yr'!S63</f>
        <v>32928.452000000005</v>
      </c>
      <c r="T63" s="48">
        <f>'ACADEMIC SUPP 2yr'!T63+'STU SERVICES 2yr'!T63+'INST SUPPORT 2yr'!T63</f>
        <v>34598.021999999997</v>
      </c>
      <c r="U63" s="48">
        <f>'ACADEMIC SUPP 2yr'!U63+'STU SERVICES 2yr'!U63+'INST SUPPORT 2yr'!U63</f>
        <v>39250.741999999998</v>
      </c>
      <c r="V63" s="48">
        <f>'ACADEMIC SUPP 2yr'!V63+'STU SERVICES 2yr'!V63+'INST SUPPORT 2yr'!V63</f>
        <v>38805.118999999999</v>
      </c>
      <c r="W63" s="48">
        <f>'ACADEMIC SUPP 2yr'!W63+'STU SERVICES 2yr'!W63+'INST SUPPORT 2yr'!W63</f>
        <v>39902.934000000001</v>
      </c>
      <c r="X63" s="48">
        <f>'ACADEMIC SUPP 2yr'!X63+'STU SERVICES 2yr'!X63+'INST SUPPORT 2yr'!X63</f>
        <v>40972.120000000003</v>
      </c>
      <c r="Y63" s="48">
        <f>'ACADEMIC SUPP 2yr'!Y63+'STU SERVICES 2yr'!Y63+'INST SUPPORT 2yr'!Y63</f>
        <v>41367.633999999998</v>
      </c>
      <c r="Z63" s="48">
        <f>'ACADEMIC SUPP 2yr'!Z63+'STU SERVICES 2yr'!Z63+'INST SUPPORT 2yr'!Z63</f>
        <v>43399.926999999996</v>
      </c>
      <c r="AA63" s="48">
        <f>'ACADEMIC SUPP 2yr'!AA63+'STU SERVICES 2yr'!AA63+'INST SUPPORT 2yr'!AA63</f>
        <v>44671.100000000006</v>
      </c>
      <c r="AB63" s="48">
        <f>'ACADEMIC SUPP 2yr'!AB63+'STU SERVICES 2yr'!AB63+'INST SUPPORT 2yr'!AB63</f>
        <v>46351.937999999995</v>
      </c>
      <c r="AC63" s="48">
        <f>'ACADEMIC SUPP 2yr'!AC63+'STU SERVICES 2yr'!AC63+'INST SUPPORT 2yr'!AC63</f>
        <v>46906.637000000002</v>
      </c>
    </row>
    <row r="64" spans="1:29">
      <c r="A64" s="24" t="s">
        <v>114</v>
      </c>
      <c r="B64" s="50">
        <f>'ACADEMIC SUPP 2yr'!B64+'STU SERVICES 2yr'!B64+'INST SUPPORT 2yr'!B64</f>
        <v>0</v>
      </c>
      <c r="C64" s="50">
        <f>'ACADEMIC SUPP 2yr'!C64+'STU SERVICES 2yr'!C64+'INST SUPPORT 2yr'!C64</f>
        <v>0</v>
      </c>
      <c r="D64" s="50">
        <f>'ACADEMIC SUPP 2yr'!D64+'STU SERVICES 2yr'!D64+'INST SUPPORT 2yr'!D64</f>
        <v>0</v>
      </c>
      <c r="E64" s="50">
        <f>'ACADEMIC SUPP 2yr'!E64+'STU SERVICES 2yr'!E64+'INST SUPPORT 2yr'!E64</f>
        <v>0</v>
      </c>
      <c r="F64" s="50">
        <f>'ACADEMIC SUPP 2yr'!F64+'STU SERVICES 2yr'!F64+'INST SUPPORT 2yr'!F64</f>
        <v>8114.9030000000002</v>
      </c>
      <c r="G64" s="50">
        <f>'ACADEMIC SUPP 2yr'!G64+'STU SERVICES 2yr'!G64+'INST SUPPORT 2yr'!G64</f>
        <v>0</v>
      </c>
      <c r="H64" s="50">
        <f>'ACADEMIC SUPP 2yr'!H64+'STU SERVICES 2yr'!H64+'INST SUPPORT 2yr'!H64</f>
        <v>0</v>
      </c>
      <c r="I64" s="50">
        <f>'ACADEMIC SUPP 2yr'!I64+'STU SERVICES 2yr'!I64+'INST SUPPORT 2yr'!I64</f>
        <v>5076.9610000000002</v>
      </c>
      <c r="J64" s="50">
        <f>'ACADEMIC SUPP 2yr'!J64+'STU SERVICES 2yr'!J64+'INST SUPPORT 2yr'!J64</f>
        <v>0</v>
      </c>
      <c r="K64" s="50">
        <f>'ACADEMIC SUPP 2yr'!K64+'STU SERVICES 2yr'!K64+'INST SUPPORT 2yr'!K64</f>
        <v>5796.4979999999996</v>
      </c>
      <c r="L64" s="50">
        <f>'ACADEMIC SUPP 2yr'!L64+'STU SERVICES 2yr'!L64+'INST SUPPORT 2yr'!L64</f>
        <v>6849.5290000000005</v>
      </c>
      <c r="M64" s="50">
        <f>'ACADEMIC SUPP 2yr'!M64+'STU SERVICES 2yr'!M64+'INST SUPPORT 2yr'!M64</f>
        <v>7314.7350000000006</v>
      </c>
      <c r="N64" s="50">
        <f>'ACADEMIC SUPP 2yr'!N64+'STU SERVICES 2yr'!N64+'INST SUPPORT 2yr'!N64</f>
        <v>9423.61</v>
      </c>
      <c r="O64" s="50">
        <f>'ACADEMIC SUPP 2yr'!O64+'STU SERVICES 2yr'!O64+'INST SUPPORT 2yr'!O64</f>
        <v>10359.866999999998</v>
      </c>
      <c r="P64" s="50">
        <f>'ACADEMIC SUPP 2yr'!P64+'STU SERVICES 2yr'!P64+'INST SUPPORT 2yr'!P64</f>
        <v>11346.891</v>
      </c>
      <c r="Q64" s="50">
        <f>'ACADEMIC SUPP 2yr'!Q64+'STU SERVICES 2yr'!Q64+'INST SUPPORT 2yr'!Q64</f>
        <v>12058.157999999999</v>
      </c>
      <c r="R64" s="50">
        <f>'ACADEMIC SUPP 2yr'!R64+'STU SERVICES 2yr'!R64+'INST SUPPORT 2yr'!R64</f>
        <v>12672.603999999999</v>
      </c>
      <c r="S64" s="50">
        <f>'ACADEMIC SUPP 2yr'!S64+'STU SERVICES 2yr'!S64+'INST SUPPORT 2yr'!S64</f>
        <v>11471.652</v>
      </c>
      <c r="T64" s="50">
        <f>'ACADEMIC SUPP 2yr'!T64+'STU SERVICES 2yr'!T64+'INST SUPPORT 2yr'!T64</f>
        <v>14833.554</v>
      </c>
      <c r="U64" s="50">
        <f>'ACADEMIC SUPP 2yr'!U64+'STU SERVICES 2yr'!U64+'INST SUPPORT 2yr'!U64</f>
        <v>26687.313000000002</v>
      </c>
      <c r="V64" s="50">
        <f>'ACADEMIC SUPP 2yr'!V64+'STU SERVICES 2yr'!V64+'INST SUPPORT 2yr'!V64</f>
        <v>18024.468999999997</v>
      </c>
      <c r="W64" s="50">
        <f>'ACADEMIC SUPP 2yr'!W64+'STU SERVICES 2yr'!W64+'INST SUPPORT 2yr'!W64</f>
        <v>19316.080999999998</v>
      </c>
      <c r="X64" s="50">
        <f>'ACADEMIC SUPP 2yr'!X64+'STU SERVICES 2yr'!X64+'INST SUPPORT 2yr'!X64</f>
        <v>20614.550999999999</v>
      </c>
      <c r="Y64" s="50">
        <f>'ACADEMIC SUPP 2yr'!Y64+'STU SERVICES 2yr'!Y64+'INST SUPPORT 2yr'!Y64</f>
        <v>36812.051999999996</v>
      </c>
      <c r="Z64" s="50">
        <f>'ACADEMIC SUPP 2yr'!Z64+'STU SERVICES 2yr'!Z64+'INST SUPPORT 2yr'!Z64</f>
        <v>35634.779000000002</v>
      </c>
      <c r="AA64" s="50">
        <f>'ACADEMIC SUPP 2yr'!AA64+'STU SERVICES 2yr'!AA64+'INST SUPPORT 2yr'!AA64</f>
        <v>33672.997000000003</v>
      </c>
      <c r="AB64" s="50">
        <f>'ACADEMIC SUPP 2yr'!AB64+'STU SERVICES 2yr'!AB64+'INST SUPPORT 2yr'!AB64</f>
        <v>18691.8</v>
      </c>
      <c r="AC64" s="50">
        <f>'ACADEMIC SUPP 2yr'!AC64+'STU SERVICES 2yr'!AC64+'INST SUPPORT 2yr'!AC64</f>
        <v>20574.161</v>
      </c>
    </row>
    <row r="65" spans="1:29">
      <c r="A65" s="46" t="s">
        <v>90</v>
      </c>
      <c r="B65" s="51">
        <f>'ACADEMIC SUPP 2yr'!B65+'STU SERVICES 2yr'!B65+'INST SUPPORT 2yr'!B65</f>
        <v>0</v>
      </c>
      <c r="C65" s="51">
        <f>'ACADEMIC SUPP 2yr'!C65+'STU SERVICES 2yr'!C65+'INST SUPPORT 2yr'!C65</f>
        <v>0</v>
      </c>
      <c r="D65" s="51">
        <f>'ACADEMIC SUPP 2yr'!D65+'STU SERVICES 2yr'!D65+'INST SUPPORT 2yr'!D65</f>
        <v>0</v>
      </c>
      <c r="E65" s="51">
        <f>'ACADEMIC SUPP 2yr'!E65+'STU SERVICES 2yr'!E65+'INST SUPPORT 2yr'!E65</f>
        <v>0</v>
      </c>
      <c r="F65" s="51">
        <f>'ACADEMIC SUPP 2yr'!F65+'STU SERVICES 2yr'!F65+'INST SUPPORT 2yr'!F65</f>
        <v>0</v>
      </c>
      <c r="G65" s="51">
        <f>'ACADEMIC SUPP 2yr'!G65+'STU SERVICES 2yr'!G65+'INST SUPPORT 2yr'!G65</f>
        <v>0</v>
      </c>
      <c r="H65" s="51">
        <f>'ACADEMIC SUPP 2yr'!H65+'STU SERVICES 2yr'!H65+'INST SUPPORT 2yr'!H65</f>
        <v>0</v>
      </c>
      <c r="I65" s="51">
        <f>'ACADEMIC SUPP 2yr'!I65+'STU SERVICES 2yr'!I65+'INST SUPPORT 2yr'!I65</f>
        <v>0</v>
      </c>
      <c r="J65" s="51">
        <f>'ACADEMIC SUPP 2yr'!J65+'STU SERVICES 2yr'!J65+'INST SUPPORT 2yr'!J65</f>
        <v>0</v>
      </c>
      <c r="K65" s="51">
        <f>'ACADEMIC SUPP 2yr'!K65+'STU SERVICES 2yr'!K65+'INST SUPPORT 2yr'!K65</f>
        <v>0</v>
      </c>
      <c r="L65" s="51">
        <f>'ACADEMIC SUPP 2yr'!L65+'STU SERVICES 2yr'!L65+'INST SUPPORT 2yr'!L65</f>
        <v>0</v>
      </c>
      <c r="M65" s="51">
        <f>'ACADEMIC SUPP 2yr'!M65+'STU SERVICES 2yr'!M65+'INST SUPPORT 2yr'!M65</f>
        <v>0</v>
      </c>
      <c r="N65" s="51">
        <f>'ACADEMIC SUPP 2yr'!N65+'STU SERVICES 2yr'!N65+'INST SUPPORT 2yr'!N65</f>
        <v>0</v>
      </c>
      <c r="O65" s="51">
        <f>'ACADEMIC SUPP 2yr'!O65+'STU SERVICES 2yr'!O65+'INST SUPPORT 2yr'!O65</f>
        <v>0</v>
      </c>
      <c r="P65" s="51">
        <f>'ACADEMIC SUPP 2yr'!P65+'STU SERVICES 2yr'!P65+'INST SUPPORT 2yr'!P65</f>
        <v>0</v>
      </c>
      <c r="Q65" s="51">
        <f>'ACADEMIC SUPP 2yr'!Q65+'STU SERVICES 2yr'!Q65+'INST SUPPORT 2yr'!Q65</f>
        <v>0</v>
      </c>
      <c r="R65" s="51">
        <f>'ACADEMIC SUPP 2yr'!R65+'STU SERVICES 2yr'!R65+'INST SUPPORT 2yr'!R65</f>
        <v>0</v>
      </c>
      <c r="S65" s="51">
        <f>'ACADEMIC SUPP 2yr'!S65+'STU SERVICES 2yr'!S65+'INST SUPPORT 2yr'!S65</f>
        <v>0</v>
      </c>
      <c r="T65" s="51">
        <f>'ACADEMIC SUPP 2yr'!T65+'STU SERVICES 2yr'!T65+'INST SUPPORT 2yr'!T65</f>
        <v>0</v>
      </c>
      <c r="U65" s="51">
        <f>'ACADEMIC SUPP 2yr'!U65+'STU SERVICES 2yr'!U65+'INST SUPPORT 2yr'!U65</f>
        <v>0</v>
      </c>
      <c r="V65" s="51">
        <f>'ACADEMIC SUPP 2yr'!V65+'STU SERVICES 2yr'!V65+'INST SUPPORT 2yr'!V65</f>
        <v>0</v>
      </c>
      <c r="W65" s="51">
        <f>'ACADEMIC SUPP 2yr'!W65+'STU SERVICES 2yr'!W65+'INST SUPPORT 2yr'!W65</f>
        <v>0</v>
      </c>
      <c r="X65" s="46"/>
      <c r="Y65" s="46"/>
      <c r="Z65" s="46"/>
      <c r="AA65" s="46"/>
      <c r="AB65" s="46"/>
      <c r="AC65" s="46"/>
    </row>
    <row r="67" spans="1:29">
      <c r="I67" s="1" t="s">
        <v>78</v>
      </c>
      <c r="P67" s="1" t="s">
        <v>78</v>
      </c>
      <c r="Q67" s="1" t="s">
        <v>78</v>
      </c>
      <c r="R67" s="1" t="s">
        <v>78</v>
      </c>
      <c r="S67" s="1" t="s">
        <v>78</v>
      </c>
      <c r="T67" s="1" t="s">
        <v>78</v>
      </c>
    </row>
    <row r="68" spans="1:29">
      <c r="I68" s="1" t="s">
        <v>79</v>
      </c>
      <c r="P68" s="1" t="s">
        <v>79</v>
      </c>
      <c r="Q68" s="1" t="s">
        <v>79</v>
      </c>
      <c r="R68" s="1" t="s">
        <v>79</v>
      </c>
      <c r="S68" s="1" t="s">
        <v>79</v>
      </c>
      <c r="T68" s="1" t="s">
        <v>79</v>
      </c>
    </row>
    <row r="69" spans="1:29">
      <c r="I69" s="1" t="s">
        <v>80</v>
      </c>
      <c r="P69" s="1" t="s">
        <v>80</v>
      </c>
      <c r="Q69" s="1" t="s">
        <v>80</v>
      </c>
      <c r="R69" s="1" t="s">
        <v>80</v>
      </c>
      <c r="S69" s="1" t="s">
        <v>80</v>
      </c>
      <c r="T69" s="1" t="s">
        <v>80</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abColor theme="4" tint="0.39997558519241921"/>
  </sheetPr>
  <dimension ref="A1:AC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AA54" sqref="AA54:AC54"/>
    </sheetView>
  </sheetViews>
  <sheetFormatPr defaultColWidth="9.7109375" defaultRowHeight="12.75"/>
  <cols>
    <col min="1" max="1" width="23.42578125" style="44" customWidth="1"/>
    <col min="2" max="23" width="12.42578125" style="1" customWidth="1"/>
    <col min="24" max="24" width="14.42578125" style="1" bestFit="1" customWidth="1"/>
    <col min="25" max="58" width="10.7109375" style="1" customWidth="1"/>
    <col min="59" max="16384" width="9.7109375" style="1"/>
  </cols>
  <sheetData>
    <row r="1" spans="1:29">
      <c r="A1" s="7" t="s">
        <v>39</v>
      </c>
      <c r="B1"/>
      <c r="C1"/>
      <c r="D1"/>
      <c r="E1"/>
      <c r="F1"/>
      <c r="G1"/>
      <c r="H1"/>
      <c r="I1"/>
      <c r="J1"/>
      <c r="K1"/>
      <c r="L1"/>
      <c r="M1"/>
      <c r="N1"/>
      <c r="O1"/>
      <c r="P1"/>
      <c r="Q1"/>
      <c r="R1"/>
      <c r="S1"/>
      <c r="T1"/>
      <c r="U1"/>
      <c r="V1"/>
      <c r="W1"/>
    </row>
    <row r="2" spans="1:29">
      <c r="A2" s="7"/>
      <c r="B2" s="9"/>
      <c r="C2" s="9"/>
      <c r="D2" s="9"/>
      <c r="E2" s="9"/>
      <c r="F2" s="9"/>
      <c r="AA2" s="1">
        <v>1000</v>
      </c>
    </row>
    <row r="3" spans="1:29">
      <c r="A3" s="7" t="s">
        <v>21</v>
      </c>
      <c r="B3"/>
      <c r="C3"/>
      <c r="D3"/>
      <c r="E3"/>
      <c r="F3"/>
      <c r="G3"/>
      <c r="H3"/>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c r="W5" s="8" t="s">
        <v>1</v>
      </c>
      <c r="X5" s="8" t="s">
        <v>1</v>
      </c>
      <c r="Y5" s="8" t="s">
        <v>1</v>
      </c>
      <c r="Z5" s="8" t="s">
        <v>1</v>
      </c>
      <c r="AA5" s="8" t="s">
        <v>1</v>
      </c>
      <c r="AB5" s="8" t="s">
        <v>1</v>
      </c>
      <c r="AC5" s="8" t="s">
        <v>1</v>
      </c>
    </row>
    <row r="6" spans="1:29">
      <c r="A6" s="24" t="s">
        <v>118</v>
      </c>
      <c r="B6" s="1">
        <f>1340864+1745239</f>
        <v>3086103</v>
      </c>
      <c r="C6" s="1">
        <f>1497739+1962049</f>
        <v>3459788</v>
      </c>
      <c r="D6" s="1">
        <f>1663790+2152070</f>
        <v>3815860</v>
      </c>
      <c r="E6" s="1">
        <v>5545293.8880000003</v>
      </c>
      <c r="F6" s="49">
        <f>+F7+F25+F40+F54+F65</f>
        <v>5686630.2650000006</v>
      </c>
      <c r="G6" s="1">
        <v>6089686.9409999996</v>
      </c>
      <c r="H6" s="1">
        <v>6397088.4950000001</v>
      </c>
      <c r="I6" s="49">
        <f>+I7+I25+I40+I54+I65</f>
        <v>6610321.2369999997</v>
      </c>
      <c r="J6" s="42">
        <v>7152346.4639999997</v>
      </c>
      <c r="K6" s="49">
        <f t="shared" ref="K6:U6" si="0">+K7+K25+K40+K54+K65</f>
        <v>7642417.0765899988</v>
      </c>
      <c r="L6" s="49">
        <f t="shared" si="0"/>
        <v>9308598.353000002</v>
      </c>
      <c r="M6" s="49">
        <f t="shared" si="0"/>
        <v>9934908.8570000026</v>
      </c>
      <c r="N6" s="49">
        <f t="shared" si="0"/>
        <v>9351352.3530000001</v>
      </c>
      <c r="O6" s="49">
        <f t="shared" si="0"/>
        <v>9570340.6500000004</v>
      </c>
      <c r="P6" s="49">
        <f t="shared" si="0"/>
        <v>10000296.972000001</v>
      </c>
      <c r="Q6" s="49">
        <f t="shared" si="0"/>
        <v>10742711.851</v>
      </c>
      <c r="R6" s="49">
        <f t="shared" si="0"/>
        <v>11409273.796999998</v>
      </c>
      <c r="S6" s="49">
        <f t="shared" si="0"/>
        <v>12204171.228999998</v>
      </c>
      <c r="T6" s="49">
        <f t="shared" si="0"/>
        <v>14015910.691</v>
      </c>
      <c r="U6" s="49">
        <f t="shared" si="0"/>
        <v>13830159.676000001</v>
      </c>
      <c r="V6" s="49">
        <f t="shared" ref="V6:W6" si="1">+V7+V25+V40+V54+V65</f>
        <v>16736699.464999998</v>
      </c>
      <c r="W6" s="49">
        <f t="shared" si="1"/>
        <v>17264267.664000001</v>
      </c>
      <c r="X6" s="49">
        <f t="shared" ref="X6:Y6" si="2">+X7+X25+X40+X54+X65</f>
        <v>18310507.02</v>
      </c>
      <c r="Y6" s="49">
        <f t="shared" si="2"/>
        <v>18777636.374000002</v>
      </c>
      <c r="Z6" s="49">
        <f t="shared" ref="Z6:AA6" si="3">+Z7+Z25+Z40+Z54+Z65</f>
        <v>19927761.537999999</v>
      </c>
      <c r="AA6" s="49">
        <f t="shared" si="3"/>
        <v>20861180.876000002</v>
      </c>
      <c r="AB6" s="49">
        <f t="shared" ref="AB6:AC6" si="4">+AB7+AB25+AB40+AB54+AB65</f>
        <v>22441081.347999997</v>
      </c>
      <c r="AC6" s="49">
        <f t="shared" si="4"/>
        <v>23688014.59</v>
      </c>
    </row>
    <row r="7" spans="1:29">
      <c r="A7" s="1" t="s">
        <v>56</v>
      </c>
      <c r="B7" s="48">
        <f>SUM(B8:B24)</f>
        <v>916254</v>
      </c>
      <c r="C7" s="48">
        <f t="shared" ref="C7:U7" si="5">SUM(C8:C24)</f>
        <v>1048195</v>
      </c>
      <c r="D7" s="48">
        <f t="shared" si="5"/>
        <v>1157910</v>
      </c>
      <c r="E7" s="48">
        <f t="shared" si="5"/>
        <v>1708975.7900000003</v>
      </c>
      <c r="F7" s="48">
        <f t="shared" si="5"/>
        <v>1781559.5590000001</v>
      </c>
      <c r="G7" s="48">
        <f t="shared" si="5"/>
        <v>1855990.443</v>
      </c>
      <c r="H7" s="48">
        <f t="shared" si="5"/>
        <v>1999621.3380000002</v>
      </c>
      <c r="I7" s="48">
        <f t="shared" si="5"/>
        <v>2131579.6979999999</v>
      </c>
      <c r="J7" s="48">
        <f t="shared" si="5"/>
        <v>2288677.9049999998</v>
      </c>
      <c r="K7" s="48">
        <f t="shared" si="5"/>
        <v>2469315.33421</v>
      </c>
      <c r="L7" s="48">
        <f t="shared" si="5"/>
        <v>3126516.9830000005</v>
      </c>
      <c r="M7" s="48">
        <f t="shared" si="5"/>
        <v>3358742.0889999997</v>
      </c>
      <c r="N7" s="48">
        <f t="shared" si="5"/>
        <v>3217045.787</v>
      </c>
      <c r="O7" s="48">
        <f t="shared" si="5"/>
        <v>3394675.8839999996</v>
      </c>
      <c r="P7" s="48">
        <f t="shared" si="5"/>
        <v>3566866.5219999999</v>
      </c>
      <c r="Q7" s="48">
        <f t="shared" si="5"/>
        <v>3845494.6290000007</v>
      </c>
      <c r="R7" s="48">
        <f t="shared" si="5"/>
        <v>4165709.577</v>
      </c>
      <c r="S7" s="48">
        <f t="shared" si="5"/>
        <v>4505167.892</v>
      </c>
      <c r="T7" s="48">
        <f t="shared" si="5"/>
        <v>5292637.17</v>
      </c>
      <c r="U7" s="48">
        <f t="shared" si="5"/>
        <v>4977174.4350000005</v>
      </c>
      <c r="V7" s="48">
        <f t="shared" ref="V7:W7" si="6">SUM(V8:V24)</f>
        <v>6256231.2989999996</v>
      </c>
      <c r="W7" s="48">
        <f t="shared" si="6"/>
        <v>6190337.0389999999</v>
      </c>
      <c r="X7" s="48">
        <f t="shared" ref="X7:Y7" si="7">SUM(X8:X24)</f>
        <v>6502030.6059999997</v>
      </c>
      <c r="Y7" s="48">
        <f t="shared" si="7"/>
        <v>6395915.506000001</v>
      </c>
      <c r="Z7" s="48">
        <f t="shared" ref="Z7:AA7" si="8">SUM(Z8:Z24)</f>
        <v>6840363.0499999998</v>
      </c>
      <c r="AA7" s="48">
        <f t="shared" si="8"/>
        <v>7158812.5969999991</v>
      </c>
      <c r="AB7" s="48">
        <f t="shared" ref="AB7:AC7" si="9">SUM(AB8:AB24)</f>
        <v>7859007.4060000004</v>
      </c>
      <c r="AC7" s="48">
        <f t="shared" si="9"/>
        <v>8249105.5719999988</v>
      </c>
    </row>
    <row r="8" spans="1:29">
      <c r="A8" s="7" t="s">
        <v>119</v>
      </c>
    </row>
    <row r="9" spans="1:29">
      <c r="A9" s="1" t="s">
        <v>3</v>
      </c>
      <c r="B9" s="1">
        <f>25615+35905</f>
        <v>61520</v>
      </c>
      <c r="C9" s="1">
        <f>28890+41626</f>
        <v>70516</v>
      </c>
      <c r="D9" s="1">
        <f>33922+45346</f>
        <v>79268</v>
      </c>
      <c r="E9" s="1">
        <v>110100.664</v>
      </c>
      <c r="F9" s="42">
        <v>108756.65700000001</v>
      </c>
      <c r="G9" s="1">
        <v>115096.978</v>
      </c>
      <c r="H9" s="1">
        <v>127401.758</v>
      </c>
      <c r="I9" s="1">
        <v>133333.34599999999</v>
      </c>
      <c r="J9" s="1">
        <v>135539.451</v>
      </c>
      <c r="K9" s="1">
        <v>141989.24799999999</v>
      </c>
      <c r="L9" s="1">
        <v>153601.701</v>
      </c>
      <c r="M9" s="1">
        <v>169250.83</v>
      </c>
      <c r="N9" s="1">
        <v>181261.66399999999</v>
      </c>
      <c r="O9" s="1">
        <v>201757.223</v>
      </c>
      <c r="P9" s="1">
        <v>206559.2</v>
      </c>
      <c r="Q9" s="1">
        <v>219637.364</v>
      </c>
      <c r="R9" s="1">
        <v>251150.09700000001</v>
      </c>
      <c r="S9" s="1">
        <v>285823.14</v>
      </c>
      <c r="T9" s="1">
        <v>591271.804</v>
      </c>
      <c r="U9" s="1">
        <v>644171.08299999998</v>
      </c>
      <c r="V9" s="1">
        <v>693045.54700000002</v>
      </c>
      <c r="W9" s="1">
        <v>394940.67599999998</v>
      </c>
      <c r="X9" s="1">
        <v>408920.652</v>
      </c>
      <c r="Y9" s="1">
        <v>420115.61800000002</v>
      </c>
      <c r="Z9" s="1">
        <v>435734.34600000002</v>
      </c>
      <c r="AA9" s="1">
        <v>443378.69</v>
      </c>
      <c r="AB9" s="1">
        <v>444657.826</v>
      </c>
      <c r="AC9" s="1">
        <v>489441.06599999999</v>
      </c>
    </row>
    <row r="10" spans="1:29">
      <c r="A10" s="1" t="s">
        <v>4</v>
      </c>
      <c r="B10" s="1">
        <f>6520+15542</f>
        <v>22062</v>
      </c>
      <c r="C10" s="1">
        <f>7855+19015</f>
        <v>26870</v>
      </c>
      <c r="D10" s="1">
        <f>8006+20154</f>
        <v>28160</v>
      </c>
      <c r="E10" s="1">
        <v>39920.677000000003</v>
      </c>
      <c r="F10" s="42">
        <v>43140.13</v>
      </c>
      <c r="G10" s="1">
        <v>47770.264000000003</v>
      </c>
      <c r="H10" s="1">
        <v>50813.23</v>
      </c>
      <c r="I10" s="1">
        <v>52712.851999999999</v>
      </c>
      <c r="J10" s="1">
        <v>55786.163</v>
      </c>
      <c r="K10" s="1">
        <v>63344.834999999999</v>
      </c>
      <c r="L10" s="1">
        <v>78238.900999999998</v>
      </c>
      <c r="M10" s="1">
        <v>81971.017999999996</v>
      </c>
      <c r="N10" s="1">
        <v>81908.138000000006</v>
      </c>
      <c r="O10" s="1">
        <v>83250.335000000006</v>
      </c>
      <c r="P10" s="1">
        <v>90656.142999999996</v>
      </c>
      <c r="Q10" s="1">
        <v>96635.864000000001</v>
      </c>
      <c r="R10" s="1">
        <v>101573.209</v>
      </c>
      <c r="S10" s="1">
        <v>101262.742</v>
      </c>
      <c r="T10" s="1">
        <v>108227.382</v>
      </c>
      <c r="U10" s="1">
        <v>105733.94</v>
      </c>
      <c r="V10" s="1">
        <v>144299.80900000001</v>
      </c>
      <c r="W10" s="1">
        <v>147289.791</v>
      </c>
      <c r="X10" s="1">
        <v>161077.78599999999</v>
      </c>
      <c r="Y10" s="1">
        <v>171954.883</v>
      </c>
      <c r="Z10" s="1">
        <v>169000.77900000001</v>
      </c>
      <c r="AA10" s="1">
        <v>178090.62700000001</v>
      </c>
      <c r="AB10" s="1">
        <v>176118.88099999999</v>
      </c>
      <c r="AC10" s="1">
        <v>193122.51300000001</v>
      </c>
    </row>
    <row r="11" spans="1:29">
      <c r="A11" s="1" t="s">
        <v>52</v>
      </c>
      <c r="D11" s="1">
        <f>9387+1309</f>
        <v>10696</v>
      </c>
      <c r="E11" s="1">
        <v>18999.953000000001</v>
      </c>
      <c r="F11" s="42">
        <v>20785.327000000001</v>
      </c>
      <c r="I11" s="1">
        <v>24190.928</v>
      </c>
      <c r="J11" s="1">
        <v>22193.017</v>
      </c>
      <c r="K11" s="1">
        <v>24808.441999999999</v>
      </c>
      <c r="L11" s="1">
        <v>33788.309000000001</v>
      </c>
      <c r="M11" s="1">
        <v>37477.786</v>
      </c>
      <c r="N11" s="1">
        <v>39336.582000000002</v>
      </c>
      <c r="O11" s="1">
        <v>41519.186000000002</v>
      </c>
      <c r="P11" s="1">
        <v>46364.057000000001</v>
      </c>
      <c r="Q11" s="1">
        <f>3772.744+46689.985</f>
        <v>50462.728999999999</v>
      </c>
      <c r="R11" s="1">
        <v>53003.067000000003</v>
      </c>
      <c r="S11" s="1">
        <v>59000.673999999999</v>
      </c>
      <c r="T11" s="1">
        <v>60254.773999999998</v>
      </c>
      <c r="U11" s="1">
        <v>62150.786</v>
      </c>
      <c r="V11" s="1">
        <v>62321.694000000003</v>
      </c>
      <c r="W11" s="1">
        <v>64022.552000000003</v>
      </c>
      <c r="X11" s="1">
        <v>62912.044999999998</v>
      </c>
      <c r="Y11" s="1">
        <v>5390.3069999999998</v>
      </c>
      <c r="Z11" s="1">
        <v>71137.656000000003</v>
      </c>
      <c r="AA11" s="1">
        <v>77798.281000000003</v>
      </c>
      <c r="AB11" s="1">
        <v>81330.671000000002</v>
      </c>
      <c r="AC11" s="1">
        <v>5621.1819999999998</v>
      </c>
    </row>
    <row r="12" spans="1:29">
      <c r="A12" s="1" t="s">
        <v>5</v>
      </c>
      <c r="B12" s="1">
        <f>23955+49411</f>
        <v>73366</v>
      </c>
      <c r="C12" s="1">
        <f>29405+55474</f>
        <v>84879</v>
      </c>
      <c r="D12" s="1">
        <f>31123+64222</f>
        <v>95345</v>
      </c>
      <c r="E12" s="1">
        <v>190161.557</v>
      </c>
      <c r="F12" s="42">
        <v>192407.628</v>
      </c>
      <c r="G12" s="1">
        <v>207661.484</v>
      </c>
      <c r="H12" s="1">
        <v>236564.796</v>
      </c>
      <c r="I12" s="1">
        <v>214479.09899999999</v>
      </c>
      <c r="J12" s="1">
        <v>259068.42</v>
      </c>
      <c r="K12" s="1">
        <v>292791.47200000001</v>
      </c>
      <c r="L12" s="1">
        <v>358582.67099999997</v>
      </c>
      <c r="M12" s="1">
        <v>386316.72700000001</v>
      </c>
      <c r="N12" s="1">
        <v>362871.89799999999</v>
      </c>
      <c r="O12" s="1">
        <v>420166.24200000003</v>
      </c>
      <c r="P12" s="1">
        <v>445341.57699999999</v>
      </c>
      <c r="Q12" s="1">
        <v>489523.603</v>
      </c>
      <c r="R12" s="1">
        <v>506429.18099999998</v>
      </c>
      <c r="S12" s="1">
        <v>505604.20500000002</v>
      </c>
      <c r="T12" s="1">
        <v>539813.37600000005</v>
      </c>
      <c r="U12" s="1">
        <v>522360.49800000002</v>
      </c>
      <c r="V12" s="1">
        <v>604796.37600000005</v>
      </c>
      <c r="W12" s="1">
        <v>668980.33299999998</v>
      </c>
      <c r="X12" s="1">
        <v>669291.19200000004</v>
      </c>
      <c r="Y12" s="1">
        <v>683257.321</v>
      </c>
      <c r="Z12" s="1">
        <v>754147.85100000002</v>
      </c>
      <c r="AA12" s="1">
        <v>784893.27099999995</v>
      </c>
      <c r="AB12" s="1">
        <v>828647.30700000003</v>
      </c>
      <c r="AC12" s="1">
        <v>887062.10199999996</v>
      </c>
    </row>
    <row r="13" spans="1:29">
      <c r="A13" s="1" t="s">
        <v>6</v>
      </c>
      <c r="B13" s="1">
        <f>24129+31845</f>
        <v>55974</v>
      </c>
      <c r="C13" s="1">
        <f>30076+33512</f>
        <v>63588</v>
      </c>
      <c r="D13" s="1">
        <f>31643+54766</f>
        <v>86409</v>
      </c>
      <c r="E13" s="1">
        <v>117247.03999999999</v>
      </c>
      <c r="F13" s="42">
        <v>118644.671</v>
      </c>
      <c r="G13" s="1">
        <v>122471.033</v>
      </c>
      <c r="H13" s="1">
        <v>134203.755</v>
      </c>
      <c r="I13" s="1">
        <v>150908.595</v>
      </c>
      <c r="J13" s="1">
        <v>163969.55900000001</v>
      </c>
      <c r="K13" s="1">
        <v>185716.70199999999</v>
      </c>
      <c r="L13" s="1">
        <v>235963.29699999999</v>
      </c>
      <c r="M13" s="1">
        <v>258080.22399999999</v>
      </c>
      <c r="N13" s="1">
        <v>239613.06299999999</v>
      </c>
      <c r="O13" s="1">
        <v>265163.80800000002</v>
      </c>
      <c r="P13" s="1">
        <v>274570.86300000001</v>
      </c>
      <c r="Q13" s="1">
        <v>279643.43800000002</v>
      </c>
      <c r="R13" s="1">
        <v>306279.73200000002</v>
      </c>
      <c r="S13" s="1">
        <v>334221.88</v>
      </c>
      <c r="T13" s="1">
        <v>370302.39799999999</v>
      </c>
      <c r="U13" s="1">
        <v>321228.67599999998</v>
      </c>
      <c r="V13" s="1">
        <v>401160.25400000002</v>
      </c>
      <c r="W13" s="1">
        <v>436361.77500000002</v>
      </c>
      <c r="X13" s="1">
        <v>466075.489</v>
      </c>
      <c r="Y13" s="1">
        <v>501173.17499999999</v>
      </c>
      <c r="Z13" s="1">
        <v>527044.14599999995</v>
      </c>
      <c r="AA13" s="1">
        <v>550865.28799999994</v>
      </c>
      <c r="AB13" s="1">
        <v>580031.97900000005</v>
      </c>
      <c r="AC13" s="1">
        <v>613462.625</v>
      </c>
    </row>
    <row r="14" spans="1:29">
      <c r="A14" s="1" t="s">
        <v>7</v>
      </c>
      <c r="B14" s="1">
        <f>45244+25900</f>
        <v>71144</v>
      </c>
      <c r="C14" s="1">
        <f>44029+26237</f>
        <v>70266</v>
      </c>
      <c r="D14" s="1">
        <f>49021+27225</f>
        <v>76246</v>
      </c>
      <c r="E14" s="1">
        <v>105863.08199999999</v>
      </c>
      <c r="F14" s="42">
        <v>109228.094</v>
      </c>
      <c r="G14" s="1">
        <v>105586.04300000001</v>
      </c>
      <c r="H14" s="1">
        <v>110094.90700000001</v>
      </c>
      <c r="I14" s="1">
        <v>121269.13</v>
      </c>
      <c r="J14" s="1">
        <v>139770.77499999999</v>
      </c>
      <c r="K14" s="1">
        <v>145062.92499999999</v>
      </c>
      <c r="L14" s="1">
        <v>176714.03700000001</v>
      </c>
      <c r="M14" s="1">
        <v>182949.89300000001</v>
      </c>
      <c r="N14" s="1">
        <v>151808.34299999999</v>
      </c>
      <c r="O14" s="1">
        <v>155261.69399999999</v>
      </c>
      <c r="P14" s="1">
        <v>162142.19500000001</v>
      </c>
      <c r="Q14" s="1">
        <v>165404.08900000001</v>
      </c>
      <c r="R14" s="1">
        <v>197579.674</v>
      </c>
      <c r="S14" s="1">
        <v>214722.891</v>
      </c>
      <c r="T14" s="1">
        <v>237127.84400000001</v>
      </c>
      <c r="U14" s="1">
        <v>251430.28899999999</v>
      </c>
      <c r="V14" s="1">
        <v>304755.26199999999</v>
      </c>
      <c r="W14" s="1">
        <v>311155.45299999998</v>
      </c>
      <c r="X14" s="1">
        <v>308717.027</v>
      </c>
      <c r="Y14" s="1">
        <v>332397.99099999998</v>
      </c>
      <c r="Z14" s="1">
        <v>324163.20500000002</v>
      </c>
      <c r="AA14" s="1">
        <v>354774.74200000003</v>
      </c>
      <c r="AB14" s="1">
        <v>374894.53499999997</v>
      </c>
      <c r="AC14" s="1">
        <v>394190.24900000001</v>
      </c>
    </row>
    <row r="15" spans="1:29">
      <c r="A15" s="1" t="s">
        <v>8</v>
      </c>
      <c r="B15" s="1">
        <f>21571+52602</f>
        <v>74173</v>
      </c>
      <c r="C15" s="1">
        <f>24074+56085</f>
        <v>80159</v>
      </c>
      <c r="D15" s="1">
        <f>24741+55197</f>
        <v>79938</v>
      </c>
      <c r="E15" s="1">
        <v>97960.288</v>
      </c>
      <c r="F15" s="42">
        <v>106830.704</v>
      </c>
      <c r="G15" s="1">
        <v>106390.685</v>
      </c>
      <c r="H15" s="1">
        <v>113431.071</v>
      </c>
      <c r="I15" s="1">
        <v>123346.04399999999</v>
      </c>
      <c r="J15" s="1">
        <v>128594.292</v>
      </c>
      <c r="K15" s="1">
        <v>135208.136</v>
      </c>
      <c r="L15" s="1">
        <v>197202.239</v>
      </c>
      <c r="M15" s="1">
        <v>205927.97899999999</v>
      </c>
      <c r="N15" s="1">
        <v>186268.52100000001</v>
      </c>
      <c r="O15" s="1">
        <v>197177.095</v>
      </c>
      <c r="P15" s="1">
        <v>183268.774</v>
      </c>
      <c r="Q15" s="1">
        <v>193142.54300000001</v>
      </c>
      <c r="R15" s="1">
        <v>192036.44</v>
      </c>
      <c r="S15" s="1">
        <v>204492.04300000001</v>
      </c>
      <c r="T15" s="1">
        <v>280829.45600000001</v>
      </c>
      <c r="U15" s="1">
        <v>256138.08199999999</v>
      </c>
      <c r="V15" s="1">
        <v>275184.57799999998</v>
      </c>
      <c r="W15" s="1">
        <v>272724.69900000002</v>
      </c>
      <c r="X15" s="1">
        <v>272362.45</v>
      </c>
      <c r="Y15" s="1">
        <v>266437.614</v>
      </c>
      <c r="Z15" s="1">
        <v>278547.266</v>
      </c>
      <c r="AA15" s="1">
        <v>318883.33100000001</v>
      </c>
      <c r="AB15" s="1">
        <v>294083.38099999999</v>
      </c>
      <c r="AC15" s="1">
        <v>364865.72399999999</v>
      </c>
    </row>
    <row r="16" spans="1:29">
      <c r="A16" s="1" t="s">
        <v>9</v>
      </c>
      <c r="B16" s="1">
        <v>29795</v>
      </c>
      <c r="C16" s="1">
        <f>0+46419</f>
        <v>46419</v>
      </c>
      <c r="D16" s="1">
        <f>0+55211</f>
        <v>55211</v>
      </c>
      <c r="E16" s="1">
        <v>92935.339000000007</v>
      </c>
      <c r="F16" s="42">
        <v>98759.29</v>
      </c>
      <c r="G16" s="1">
        <v>102312.966</v>
      </c>
      <c r="H16" s="1">
        <v>105583.102</v>
      </c>
      <c r="I16" s="1">
        <v>112724.17600000001</v>
      </c>
      <c r="J16" s="1">
        <v>118779.65300000001</v>
      </c>
      <c r="K16" s="1">
        <v>135579.58900000001</v>
      </c>
      <c r="L16" s="1">
        <v>182931.16399999999</v>
      </c>
      <c r="M16" s="1">
        <v>209147.00399999999</v>
      </c>
      <c r="N16" s="1">
        <v>222466.177</v>
      </c>
      <c r="O16" s="1">
        <v>242165.05</v>
      </c>
      <c r="P16" s="1">
        <v>248393.22099999999</v>
      </c>
      <c r="Q16" s="1">
        <v>295622.83899999998</v>
      </c>
      <c r="R16" s="1">
        <v>279391.69300000003</v>
      </c>
      <c r="S16" s="1">
        <v>298428.93</v>
      </c>
      <c r="T16" s="1">
        <v>353840.74099999998</v>
      </c>
      <c r="U16" s="1">
        <v>331598.125</v>
      </c>
      <c r="V16" s="1">
        <v>389591.89</v>
      </c>
      <c r="W16" s="1">
        <v>400794.30599999998</v>
      </c>
      <c r="X16" s="1">
        <v>437806.10600000003</v>
      </c>
      <c r="Y16" s="1">
        <v>474151.32500000001</v>
      </c>
      <c r="Z16" s="1">
        <v>490774.66399999999</v>
      </c>
      <c r="AA16" s="1">
        <v>477702.71399999998</v>
      </c>
      <c r="AB16" s="1">
        <v>469085.84600000002</v>
      </c>
      <c r="AC16" s="1">
        <v>503410.60100000002</v>
      </c>
    </row>
    <row r="17" spans="1:29">
      <c r="A17" s="1" t="s">
        <v>10</v>
      </c>
      <c r="B17" s="1">
        <f>8052+24454</f>
        <v>32506</v>
      </c>
      <c r="C17" s="1">
        <f>8358+24199</f>
        <v>32557</v>
      </c>
      <c r="D17" s="1">
        <f>9440+26488</f>
        <v>35928</v>
      </c>
      <c r="E17" s="1">
        <v>48488.756000000001</v>
      </c>
      <c r="F17" s="42">
        <v>51714.307999999997</v>
      </c>
      <c r="G17" s="1">
        <v>56230.881999999998</v>
      </c>
      <c r="H17" s="1">
        <v>61626.177000000003</v>
      </c>
      <c r="I17" s="1">
        <v>69205.275999999998</v>
      </c>
      <c r="J17" s="1">
        <v>71326.222999999998</v>
      </c>
      <c r="K17" s="1">
        <v>69292.764999999999</v>
      </c>
      <c r="L17" s="1">
        <v>90302.346000000005</v>
      </c>
      <c r="M17" s="1">
        <v>96513.917000000001</v>
      </c>
      <c r="N17" s="1">
        <v>79718.327999999994</v>
      </c>
      <c r="O17" s="1">
        <v>89937.599000000002</v>
      </c>
      <c r="P17" s="1">
        <v>88077.796000000002</v>
      </c>
      <c r="Q17" s="1">
        <v>92692.441000000006</v>
      </c>
      <c r="R17" s="1">
        <v>99256.384999999995</v>
      </c>
      <c r="S17" s="1">
        <v>105310.52099999999</v>
      </c>
      <c r="T17" s="1">
        <v>130270.796</v>
      </c>
      <c r="U17" s="1">
        <v>119778.311</v>
      </c>
      <c r="V17" s="1">
        <v>141695.764</v>
      </c>
      <c r="W17" s="1">
        <v>145607.92800000001</v>
      </c>
      <c r="X17" s="1">
        <v>154571.527</v>
      </c>
      <c r="Y17" s="1">
        <v>160799.726</v>
      </c>
      <c r="Z17" s="1">
        <v>178940.97399999999</v>
      </c>
      <c r="AA17" s="1">
        <v>167091.77499999999</v>
      </c>
      <c r="AB17" s="1">
        <v>169375.20300000001</v>
      </c>
      <c r="AC17" s="1">
        <v>181312.21799999999</v>
      </c>
    </row>
    <row r="18" spans="1:29">
      <c r="A18" s="1" t="s">
        <v>11</v>
      </c>
      <c r="B18" s="1">
        <f>19527+55240</f>
        <v>74767</v>
      </c>
      <c r="C18" s="1">
        <f>21645+62239</f>
        <v>83884</v>
      </c>
      <c r="D18" s="1">
        <f>23895+69674</f>
        <v>93569</v>
      </c>
      <c r="E18" s="1">
        <v>135195.64300000001</v>
      </c>
      <c r="F18" s="42">
        <v>137564.13200000001</v>
      </c>
      <c r="G18" s="1">
        <v>152266.554</v>
      </c>
      <c r="H18" s="1">
        <v>170937.261</v>
      </c>
      <c r="I18" s="1">
        <v>179321.34700000001</v>
      </c>
      <c r="J18" s="1">
        <v>187526.533</v>
      </c>
      <c r="K18" s="1">
        <v>203138.80799999999</v>
      </c>
      <c r="L18" s="1">
        <v>255538.86600000001</v>
      </c>
      <c r="M18" s="1">
        <v>279553.83899999998</v>
      </c>
      <c r="N18" s="1">
        <v>249706.4</v>
      </c>
      <c r="O18" s="1">
        <v>283237.978</v>
      </c>
      <c r="P18" s="1">
        <v>301934.20699999999</v>
      </c>
      <c r="Q18" s="1">
        <v>322741.06099999999</v>
      </c>
      <c r="R18" s="1">
        <v>353008.81900000002</v>
      </c>
      <c r="S18" s="1">
        <v>389900.71500000003</v>
      </c>
      <c r="T18" s="1">
        <v>414296.26500000001</v>
      </c>
      <c r="U18" s="1">
        <v>411148.51400000002</v>
      </c>
      <c r="V18" s="1">
        <v>512357.94300000003</v>
      </c>
      <c r="W18" s="1">
        <v>506701.32299999997</v>
      </c>
      <c r="X18" s="1">
        <v>512176.94799999997</v>
      </c>
      <c r="Y18" s="1">
        <v>543837.64199999999</v>
      </c>
      <c r="Z18" s="1">
        <v>557985.73400000005</v>
      </c>
      <c r="AA18" s="1">
        <v>563562.63</v>
      </c>
      <c r="AB18" s="1">
        <v>595353.87800000003</v>
      </c>
      <c r="AC18" s="1">
        <v>636540.397</v>
      </c>
    </row>
    <row r="19" spans="1:29">
      <c r="A19" s="1" t="s">
        <v>12</v>
      </c>
      <c r="B19" s="1">
        <v>22375</v>
      </c>
      <c r="C19" s="1">
        <f>0+25731</f>
        <v>25731</v>
      </c>
      <c r="D19" s="1">
        <f>0+26896</f>
        <v>26896</v>
      </c>
      <c r="E19" s="1">
        <v>51710.711000000003</v>
      </c>
      <c r="F19" s="42">
        <v>64029.048000000003</v>
      </c>
      <c r="G19" s="1">
        <v>78125.532999999996</v>
      </c>
      <c r="H19" s="1">
        <v>83363.5</v>
      </c>
      <c r="I19" s="1">
        <v>87351.014999999999</v>
      </c>
      <c r="J19" s="1">
        <v>91459.112999999998</v>
      </c>
      <c r="K19" s="1">
        <v>104179.37084</v>
      </c>
      <c r="L19" s="1">
        <v>138310.878</v>
      </c>
      <c r="M19" s="1">
        <v>141112.19099999999</v>
      </c>
      <c r="N19" s="1">
        <v>119138.749</v>
      </c>
      <c r="O19" s="1">
        <v>127832.71799999999</v>
      </c>
      <c r="P19" s="1">
        <v>141391.00599999999</v>
      </c>
      <c r="Q19" s="1">
        <v>136068.00099999999</v>
      </c>
      <c r="R19" s="1">
        <v>152264.82500000001</v>
      </c>
      <c r="S19" s="1">
        <v>173563.61199999999</v>
      </c>
      <c r="T19" s="1">
        <v>186950.85399999999</v>
      </c>
      <c r="U19" s="1">
        <v>171524.05600000001</v>
      </c>
      <c r="V19" s="1">
        <v>229500.23</v>
      </c>
      <c r="W19" s="1">
        <v>241175.11300000001</v>
      </c>
      <c r="X19" s="1">
        <v>252564.70499999999</v>
      </c>
      <c r="Y19" s="1">
        <v>243263.973</v>
      </c>
      <c r="Z19" s="1">
        <v>248388.47399999999</v>
      </c>
      <c r="AA19" s="1">
        <v>267654.85700000002</v>
      </c>
      <c r="AB19" s="1">
        <v>286265.49800000002</v>
      </c>
      <c r="AC19" s="1">
        <v>274378.23800000001</v>
      </c>
    </row>
    <row r="20" spans="1:29">
      <c r="A20" s="1" t="s">
        <v>13</v>
      </c>
      <c r="B20" s="1">
        <f>20287+16920</f>
        <v>37207</v>
      </c>
      <c r="C20" s="1">
        <f>28043+19083</f>
        <v>47126</v>
      </c>
      <c r="D20" s="1">
        <f>26277+21412</f>
        <v>47689</v>
      </c>
      <c r="E20" s="1">
        <v>79349.782000000007</v>
      </c>
      <c r="F20" s="42">
        <v>79117.587</v>
      </c>
      <c r="G20" s="1">
        <v>79601.312999999995</v>
      </c>
      <c r="H20" s="1">
        <v>88107.37</v>
      </c>
      <c r="I20" s="1">
        <v>90632.938999999998</v>
      </c>
      <c r="J20" s="1">
        <v>95959.100999999995</v>
      </c>
      <c r="K20" s="1">
        <v>108550.874</v>
      </c>
      <c r="L20" s="1">
        <v>135172.91</v>
      </c>
      <c r="M20" s="1">
        <v>143051.28099999999</v>
      </c>
      <c r="N20" s="1">
        <v>141788.87</v>
      </c>
      <c r="O20" s="1">
        <v>142451.26699999999</v>
      </c>
      <c r="P20" s="1">
        <v>143987.19099999999</v>
      </c>
      <c r="Q20" s="1">
        <v>163478.81400000001</v>
      </c>
      <c r="R20" s="1">
        <v>173592.405</v>
      </c>
      <c r="S20" s="1">
        <v>182088.31700000001</v>
      </c>
      <c r="T20" s="1">
        <v>192404.53400000001</v>
      </c>
      <c r="U20" s="1">
        <v>152116.19200000001</v>
      </c>
      <c r="V20" s="1">
        <v>222901.89600000001</v>
      </c>
      <c r="W20" s="1">
        <v>228152.296</v>
      </c>
      <c r="X20" s="1">
        <v>233232.02799999999</v>
      </c>
      <c r="Y20" s="1">
        <v>260506.59599999999</v>
      </c>
      <c r="Z20" s="1">
        <v>279525.75099999999</v>
      </c>
      <c r="AA20" s="1">
        <v>305384.73200000002</v>
      </c>
      <c r="AB20" s="1">
        <v>302058.766</v>
      </c>
      <c r="AC20" s="1">
        <v>305858.22399999999</v>
      </c>
    </row>
    <row r="21" spans="1:29" s="11" customFormat="1">
      <c r="A21" s="1" t="s">
        <v>14</v>
      </c>
      <c r="B21" s="1">
        <f>19140+37530</f>
        <v>56670</v>
      </c>
      <c r="C21" s="1">
        <f>23178+42474</f>
        <v>65652</v>
      </c>
      <c r="D21" s="1">
        <f>25753+45328</f>
        <v>71081</v>
      </c>
      <c r="E21" s="1">
        <v>91716.36</v>
      </c>
      <c r="F21" s="42">
        <v>90083.429000000004</v>
      </c>
      <c r="G21" s="1">
        <v>101518.45</v>
      </c>
      <c r="H21" s="1">
        <v>110501.361</v>
      </c>
      <c r="I21" s="1">
        <v>120384.003</v>
      </c>
      <c r="J21" s="1">
        <v>126595.035</v>
      </c>
      <c r="K21" s="1">
        <v>127447.02276000001</v>
      </c>
      <c r="L21" s="1">
        <v>145423.508</v>
      </c>
      <c r="M21" s="1">
        <v>153745.35399999999</v>
      </c>
      <c r="N21" s="1">
        <v>145609.984</v>
      </c>
      <c r="O21" s="1">
        <v>165348.408</v>
      </c>
      <c r="P21" s="1">
        <v>155803.4</v>
      </c>
      <c r="Q21" s="1">
        <v>171595.117</v>
      </c>
      <c r="R21" s="1">
        <v>176269.82699999999</v>
      </c>
      <c r="S21" s="1">
        <v>190259.48300000001</v>
      </c>
      <c r="T21" s="1">
        <v>207929.97500000001</v>
      </c>
      <c r="U21" s="1">
        <v>208683.39499999999</v>
      </c>
      <c r="V21" s="1">
        <v>246349.66500000001</v>
      </c>
      <c r="W21" s="1">
        <v>264077.86900000001</v>
      </c>
      <c r="X21" s="1">
        <v>289529.46899999998</v>
      </c>
      <c r="Y21" s="1">
        <v>288287.76400000002</v>
      </c>
      <c r="Z21" s="1">
        <v>313497.99400000001</v>
      </c>
      <c r="AA21" s="1">
        <v>314986.11800000002</v>
      </c>
      <c r="AB21" s="1">
        <v>330467.88</v>
      </c>
      <c r="AC21" s="1">
        <v>357784.95899999997</v>
      </c>
    </row>
    <row r="22" spans="1:29">
      <c r="A22" s="1" t="s">
        <v>15</v>
      </c>
      <c r="B22" s="1">
        <f>56526+131121</f>
        <v>187647</v>
      </c>
      <c r="C22" s="1">
        <f>59505+155159</f>
        <v>214664</v>
      </c>
      <c r="D22" s="1">
        <f>61411+164578</f>
        <v>225989</v>
      </c>
      <c r="E22" s="1">
        <v>326676.57500000001</v>
      </c>
      <c r="F22" s="42">
        <v>354223.04499999998</v>
      </c>
      <c r="G22" s="1">
        <v>359757.73599999998</v>
      </c>
      <c r="H22" s="1">
        <v>363242.64899999998</v>
      </c>
      <c r="I22" s="1">
        <v>392927.87199999997</v>
      </c>
      <c r="J22" s="1">
        <v>423797.79100000003</v>
      </c>
      <c r="K22" s="1">
        <v>440403.25199999998</v>
      </c>
      <c r="L22" s="1">
        <v>592338.39599999995</v>
      </c>
      <c r="M22" s="1">
        <v>640393.74899999995</v>
      </c>
      <c r="N22" s="1">
        <v>664203.91099999996</v>
      </c>
      <c r="O22" s="1">
        <v>651152.5</v>
      </c>
      <c r="P22" s="1">
        <v>724332.42299999995</v>
      </c>
      <c r="Q22" s="1">
        <v>793708.02300000004</v>
      </c>
      <c r="R22" s="1">
        <v>896661.31200000003</v>
      </c>
      <c r="S22" s="1">
        <v>988051.73199999996</v>
      </c>
      <c r="T22" s="1">
        <v>1112786.585</v>
      </c>
      <c r="U22" s="1">
        <v>896374.51300000004</v>
      </c>
      <c r="V22" s="1">
        <v>1453203.203</v>
      </c>
      <c r="W22" s="1">
        <v>1481175.953</v>
      </c>
      <c r="X22" s="1">
        <v>1606011.7620000001</v>
      </c>
      <c r="Y22" s="1">
        <v>1345740.8419999999</v>
      </c>
      <c r="Z22" s="1">
        <v>1468892.129</v>
      </c>
      <c r="AA22" s="1">
        <v>1592048.764</v>
      </c>
      <c r="AB22" s="1">
        <v>2158300.5890000002</v>
      </c>
      <c r="AC22" s="1">
        <v>2220568.6379999998</v>
      </c>
    </row>
    <row r="23" spans="1:29">
      <c r="A23" s="1" t="s">
        <v>16</v>
      </c>
      <c r="B23" s="1">
        <f>41415+46775</f>
        <v>88190</v>
      </c>
      <c r="C23" s="1">
        <f>48295+56757</f>
        <v>105052</v>
      </c>
      <c r="D23" s="1">
        <f>47442+64012</f>
        <v>111454</v>
      </c>
      <c r="E23" s="1">
        <v>168022.97500000001</v>
      </c>
      <c r="F23" s="42">
        <v>169120.834</v>
      </c>
      <c r="G23" s="1">
        <v>180940.22099999999</v>
      </c>
      <c r="H23" s="1">
        <v>202391.28099999999</v>
      </c>
      <c r="I23" s="1">
        <v>214028.3</v>
      </c>
      <c r="J23" s="1">
        <v>220143.33</v>
      </c>
      <c r="K23" s="1">
        <v>240278.981</v>
      </c>
      <c r="L23" s="1">
        <v>290864.19099999999</v>
      </c>
      <c r="M23" s="1">
        <v>310052.79700000002</v>
      </c>
      <c r="N23" s="1">
        <v>295679.908</v>
      </c>
      <c r="O23" s="1">
        <v>268818.52</v>
      </c>
      <c r="P23" s="1">
        <v>295346.95400000003</v>
      </c>
      <c r="Q23" s="1">
        <v>318137.25900000002</v>
      </c>
      <c r="R23" s="1">
        <v>362836.22</v>
      </c>
      <c r="S23" s="1">
        <v>399985.28100000002</v>
      </c>
      <c r="T23" s="1">
        <v>435137.13699999999</v>
      </c>
      <c r="U23" s="1">
        <v>452684.31900000002</v>
      </c>
      <c r="V23" s="1">
        <v>486143.853</v>
      </c>
      <c r="W23" s="1">
        <v>529087.16399999999</v>
      </c>
      <c r="X23" s="1">
        <v>563171.81000000006</v>
      </c>
      <c r="Y23" s="1">
        <v>595945.39300000004</v>
      </c>
      <c r="Z23" s="1">
        <v>637172.35800000001</v>
      </c>
      <c r="AA23" s="1">
        <v>657705.21799999999</v>
      </c>
      <c r="AB23" s="1">
        <v>673655.45299999998</v>
      </c>
      <c r="AC23" s="1">
        <v>726549.06599999999</v>
      </c>
    </row>
    <row r="24" spans="1:29">
      <c r="A24" s="24" t="s">
        <v>17</v>
      </c>
      <c r="B24" s="24">
        <f>18696+10162</f>
        <v>28858</v>
      </c>
      <c r="C24" s="24">
        <f>19998+10834</f>
        <v>30832</v>
      </c>
      <c r="D24" s="24">
        <f>22282+11749</f>
        <v>34031</v>
      </c>
      <c r="E24" s="24">
        <v>34626.387999999999</v>
      </c>
      <c r="F24" s="45">
        <v>37154.675000000003</v>
      </c>
      <c r="G24" s="24">
        <v>40260.300999999999</v>
      </c>
      <c r="H24" s="24">
        <v>41359.120000000003</v>
      </c>
      <c r="I24" s="24">
        <v>44764.775999999998</v>
      </c>
      <c r="J24" s="24">
        <v>48169.449000000001</v>
      </c>
      <c r="K24" s="24">
        <v>51522.911610000003</v>
      </c>
      <c r="L24" s="24">
        <v>61543.569000000003</v>
      </c>
      <c r="M24" s="24">
        <v>63197.5</v>
      </c>
      <c r="N24" s="24">
        <v>55665.250999999997</v>
      </c>
      <c r="O24" s="24">
        <v>59436.260999999999</v>
      </c>
      <c r="P24" s="24">
        <v>58697.514999999999</v>
      </c>
      <c r="Q24" s="24">
        <v>57001.444000000003</v>
      </c>
      <c r="R24" s="24">
        <v>64376.690999999999</v>
      </c>
      <c r="S24" s="24">
        <v>72451.725999999995</v>
      </c>
      <c r="T24" s="24">
        <v>71193.248999999996</v>
      </c>
      <c r="U24" s="24">
        <v>70053.656000000003</v>
      </c>
      <c r="V24" s="24">
        <v>88923.335000000006</v>
      </c>
      <c r="W24" s="24">
        <v>98089.808000000005</v>
      </c>
      <c r="X24" s="24">
        <v>103609.61</v>
      </c>
      <c r="Y24" s="24">
        <v>102655.336</v>
      </c>
      <c r="Z24" s="24">
        <v>105409.723</v>
      </c>
      <c r="AA24" s="24">
        <v>103991.55899999999</v>
      </c>
      <c r="AB24" s="24">
        <v>94679.713000000003</v>
      </c>
      <c r="AC24" s="24">
        <v>94937.77</v>
      </c>
    </row>
    <row r="25" spans="1:29">
      <c r="A25" s="7" t="s">
        <v>120</v>
      </c>
      <c r="B25" s="48">
        <f>SUM(B27:B39)</f>
        <v>0</v>
      </c>
      <c r="C25" s="48">
        <f t="shared" ref="C25:AC25" si="10">SUM(C27:C39)</f>
        <v>0</v>
      </c>
      <c r="D25" s="48">
        <f t="shared" si="10"/>
        <v>0</v>
      </c>
      <c r="E25" s="48">
        <f t="shared" si="10"/>
        <v>0</v>
      </c>
      <c r="F25" s="48">
        <f t="shared" si="10"/>
        <v>1500334.3699999999</v>
      </c>
      <c r="G25" s="48">
        <f t="shared" si="10"/>
        <v>0</v>
      </c>
      <c r="H25" s="48">
        <f t="shared" si="10"/>
        <v>0</v>
      </c>
      <c r="I25" s="48">
        <f t="shared" si="10"/>
        <v>1717740.5669999996</v>
      </c>
      <c r="J25" s="48">
        <f t="shared" si="10"/>
        <v>0</v>
      </c>
      <c r="K25" s="48">
        <f t="shared" si="10"/>
        <v>2014262.1340599994</v>
      </c>
      <c r="L25" s="48">
        <f t="shared" si="10"/>
        <v>2525218.7519999999</v>
      </c>
      <c r="M25" s="48">
        <f t="shared" si="10"/>
        <v>2642436.9600000004</v>
      </c>
      <c r="N25" s="48">
        <f t="shared" si="10"/>
        <v>2434960.0789999999</v>
      </c>
      <c r="O25" s="48">
        <f t="shared" si="10"/>
        <v>2535566.8120000004</v>
      </c>
      <c r="P25" s="48">
        <f t="shared" si="10"/>
        <v>2618000.3670000001</v>
      </c>
      <c r="Q25" s="48">
        <f t="shared" si="10"/>
        <v>2723660.3709999998</v>
      </c>
      <c r="R25" s="48">
        <f t="shared" si="10"/>
        <v>2882642.6679999996</v>
      </c>
      <c r="S25" s="48">
        <f t="shared" si="10"/>
        <v>3100798.7799999993</v>
      </c>
      <c r="T25" s="48">
        <f t="shared" si="10"/>
        <v>3603438.048</v>
      </c>
      <c r="U25" s="48">
        <f t="shared" si="10"/>
        <v>3355399.3830000004</v>
      </c>
      <c r="V25" s="48">
        <f t="shared" si="10"/>
        <v>4049741.9599999995</v>
      </c>
      <c r="W25" s="48">
        <f t="shared" si="10"/>
        <v>4414789.1310000001</v>
      </c>
      <c r="X25" s="48">
        <f t="shared" si="10"/>
        <v>4821264.2410000004</v>
      </c>
      <c r="Y25" s="48">
        <f t="shared" si="10"/>
        <v>5087860.2649999987</v>
      </c>
      <c r="Z25" s="48">
        <f t="shared" si="10"/>
        <v>5320458.6129999999</v>
      </c>
      <c r="AA25" s="48">
        <f t="shared" si="10"/>
        <v>5667849.5060000001</v>
      </c>
      <c r="AB25" s="48">
        <f t="shared" si="10"/>
        <v>6300626.7390000001</v>
      </c>
      <c r="AC25" s="48">
        <f t="shared" si="10"/>
        <v>6441317.574</v>
      </c>
    </row>
    <row r="26" spans="1:29">
      <c r="A26" s="7" t="s">
        <v>119</v>
      </c>
      <c r="X26" s="1">
        <v>0</v>
      </c>
      <c r="Y26" s="1">
        <v>0</v>
      </c>
      <c r="AB26" s="1">
        <v>0</v>
      </c>
      <c r="AC26" s="1">
        <v>0</v>
      </c>
    </row>
    <row r="27" spans="1:29">
      <c r="A27" s="1" t="s">
        <v>85</v>
      </c>
      <c r="F27" s="42">
        <v>22333.867999999999</v>
      </c>
      <c r="I27" s="1">
        <v>25503.358</v>
      </c>
      <c r="K27" s="1">
        <v>25895.512999999999</v>
      </c>
      <c r="L27" s="1">
        <v>27203.084999999999</v>
      </c>
      <c r="M27" s="1">
        <v>29520.062999999998</v>
      </c>
      <c r="N27" s="1">
        <v>32100.685000000001</v>
      </c>
      <c r="O27" s="1">
        <v>33991.203999999998</v>
      </c>
      <c r="P27" s="1">
        <v>36763.578000000001</v>
      </c>
      <c r="Q27" s="1">
        <v>40796.544999999998</v>
      </c>
      <c r="R27" s="1">
        <v>44465.84</v>
      </c>
      <c r="S27" s="1">
        <v>50412.542999999998</v>
      </c>
      <c r="T27" s="1">
        <v>51859.006000000001</v>
      </c>
      <c r="U27" s="1">
        <v>65295.656000000003</v>
      </c>
      <c r="V27" s="1">
        <v>68660.398000000001</v>
      </c>
      <c r="W27" s="1">
        <v>73109.116999999998</v>
      </c>
      <c r="X27" s="1">
        <v>77821.085999999996</v>
      </c>
      <c r="Y27" s="1">
        <v>78091.089000000007</v>
      </c>
      <c r="Z27" s="1">
        <v>81849.971000000005</v>
      </c>
      <c r="AA27" s="1">
        <v>80052.918999999994</v>
      </c>
      <c r="AB27" s="1">
        <v>81177.562000000005</v>
      </c>
      <c r="AC27" s="1">
        <v>76642.62</v>
      </c>
    </row>
    <row r="28" spans="1:29">
      <c r="A28" s="1" t="s">
        <v>86</v>
      </c>
      <c r="F28" s="42">
        <v>120990.815</v>
      </c>
      <c r="I28" s="1">
        <v>132369.329</v>
      </c>
      <c r="K28" s="1">
        <v>149575.549</v>
      </c>
      <c r="L28" s="1">
        <v>175225.58600000001</v>
      </c>
      <c r="M28" s="1">
        <v>193683.98699999999</v>
      </c>
      <c r="N28" s="1">
        <v>164272.649</v>
      </c>
      <c r="O28" s="1">
        <v>172287.315</v>
      </c>
      <c r="P28" s="1">
        <v>197362.75</v>
      </c>
      <c r="Q28" s="1">
        <v>220528.19200000001</v>
      </c>
      <c r="R28" s="1">
        <v>251254.973</v>
      </c>
      <c r="S28" s="1">
        <v>271557.76000000001</v>
      </c>
      <c r="T28" s="1">
        <v>299393.29300000001</v>
      </c>
      <c r="U28" s="1">
        <v>304036.158</v>
      </c>
      <c r="V28" s="1">
        <v>369121.19900000002</v>
      </c>
      <c r="W28" s="1">
        <v>407925.61200000002</v>
      </c>
      <c r="X28" s="1">
        <v>449204.89799999999</v>
      </c>
      <c r="Y28" s="1">
        <v>484745.14299999998</v>
      </c>
      <c r="Z28" s="1">
        <v>539989.11800000002</v>
      </c>
      <c r="AA28" s="1">
        <v>625789.33400000003</v>
      </c>
      <c r="AB28" s="1">
        <v>685627.27500000002</v>
      </c>
      <c r="AC28" s="1">
        <v>686984.36199999996</v>
      </c>
    </row>
    <row r="29" spans="1:29">
      <c r="A29" s="1" t="s">
        <v>87</v>
      </c>
      <c r="F29" s="42">
        <v>811578.93400000001</v>
      </c>
      <c r="I29" s="1">
        <v>911238.53099999996</v>
      </c>
      <c r="K29" s="1">
        <v>1097548.4269999999</v>
      </c>
      <c r="L29" s="1">
        <v>1447529.4920000001</v>
      </c>
      <c r="M29" s="1">
        <v>1475735.696</v>
      </c>
      <c r="N29" s="1">
        <v>1329937.4580000001</v>
      </c>
      <c r="O29" s="1">
        <v>1411531.0190000001</v>
      </c>
      <c r="P29" s="1">
        <v>1442877.568</v>
      </c>
      <c r="Q29" s="1">
        <v>1394045.9750000001</v>
      </c>
      <c r="R29" s="1">
        <v>1515702.0149999999</v>
      </c>
      <c r="S29" s="1">
        <v>1625477.581</v>
      </c>
      <c r="T29" s="1">
        <v>1907125.3570000001</v>
      </c>
      <c r="U29" s="1">
        <v>1680926.828</v>
      </c>
      <c r="V29" s="1">
        <v>2127158.8450000002</v>
      </c>
      <c r="W29" s="1">
        <v>2359482.7609999999</v>
      </c>
      <c r="X29" s="1">
        <v>2597424.341</v>
      </c>
      <c r="Y29" s="1">
        <v>2784862.52</v>
      </c>
      <c r="Z29" s="1">
        <v>2848107.9840000002</v>
      </c>
      <c r="AA29" s="1">
        <v>3008313.827</v>
      </c>
      <c r="AB29" s="1">
        <v>3409268.5860000001</v>
      </c>
      <c r="AC29" s="1">
        <v>3446458.52</v>
      </c>
    </row>
    <row r="30" spans="1:29">
      <c r="A30" s="1" t="s">
        <v>88</v>
      </c>
      <c r="F30" s="42">
        <v>109017.307</v>
      </c>
      <c r="I30" s="1">
        <v>117201.988</v>
      </c>
      <c r="K30" s="1">
        <v>132698.78510000001</v>
      </c>
      <c r="L30" s="1">
        <v>161440.65400000001</v>
      </c>
      <c r="M30" s="1">
        <v>172973.97700000001</v>
      </c>
      <c r="N30" s="1">
        <v>158664.00200000001</v>
      </c>
      <c r="O30" s="1">
        <v>161277.07999999999</v>
      </c>
      <c r="P30" s="1">
        <v>140476.875</v>
      </c>
      <c r="Q30" s="1">
        <v>218293.28700000001</v>
      </c>
      <c r="R30" s="1">
        <v>174186.177</v>
      </c>
      <c r="S30" s="1">
        <v>186205.33199999999</v>
      </c>
      <c r="T30" s="1">
        <v>211146.39499999999</v>
      </c>
      <c r="U30" s="1">
        <v>214022.247</v>
      </c>
      <c r="V30" s="1">
        <v>258676.671</v>
      </c>
      <c r="W30" s="1">
        <v>276411.54200000002</v>
      </c>
      <c r="X30" s="1">
        <v>310445.13400000002</v>
      </c>
      <c r="Y30" s="1">
        <v>331901.27</v>
      </c>
      <c r="Z30" s="1">
        <v>356672.255</v>
      </c>
      <c r="AA30" s="1">
        <v>393937.35600000003</v>
      </c>
      <c r="AB30" s="1">
        <v>395643.61499999999</v>
      </c>
      <c r="AC30" s="1">
        <v>434666.24599999998</v>
      </c>
    </row>
    <row r="31" spans="1:29">
      <c r="A31" s="1" t="s">
        <v>91</v>
      </c>
      <c r="F31" s="42">
        <v>36981.796999999999</v>
      </c>
      <c r="I31" s="1">
        <v>40121.868999999999</v>
      </c>
      <c r="K31" s="1">
        <v>44290.25</v>
      </c>
      <c r="L31" s="1">
        <v>41748.103999999999</v>
      </c>
      <c r="M31" s="1">
        <v>43857.163999999997</v>
      </c>
      <c r="N31" s="1">
        <v>41311.339999999997</v>
      </c>
      <c r="O31" s="1">
        <v>51443.667000000001</v>
      </c>
      <c r="P31" s="1">
        <v>50326.173999999999</v>
      </c>
      <c r="Q31" s="1">
        <v>52948.845999999998</v>
      </c>
      <c r="R31" s="1">
        <v>57517.150999999998</v>
      </c>
      <c r="S31" s="1">
        <v>59524.36</v>
      </c>
      <c r="T31" s="1">
        <v>69585.138999999996</v>
      </c>
      <c r="U31" s="1">
        <v>81680.254000000001</v>
      </c>
      <c r="V31" s="1">
        <v>80907.228000000003</v>
      </c>
      <c r="W31" s="1">
        <v>91455.017999999996</v>
      </c>
      <c r="X31" s="1">
        <v>94873.388999999996</v>
      </c>
      <c r="Y31" s="1">
        <v>91441.210999999996</v>
      </c>
      <c r="Z31" s="1">
        <v>92407.201000000001</v>
      </c>
      <c r="AA31" s="1">
        <v>86986.183999999994</v>
      </c>
      <c r="AB31" s="1">
        <v>102130.516</v>
      </c>
      <c r="AC31" s="1">
        <v>105284.739</v>
      </c>
    </row>
    <row r="32" spans="1:29">
      <c r="A32" s="1" t="s">
        <v>92</v>
      </c>
      <c r="F32" s="42">
        <v>23152.793000000001</v>
      </c>
      <c r="I32" s="1">
        <v>34040.595000000001</v>
      </c>
      <c r="K32" s="1">
        <v>38325.275000000001</v>
      </c>
      <c r="L32" s="1">
        <v>46652.743999999999</v>
      </c>
      <c r="M32" s="1">
        <v>46855.925000000003</v>
      </c>
      <c r="N32" s="1">
        <v>40345.292000000001</v>
      </c>
      <c r="O32" s="1">
        <v>36389.142</v>
      </c>
      <c r="P32" s="1">
        <v>40338.103999999999</v>
      </c>
      <c r="Q32" s="1">
        <v>40338.358999999997</v>
      </c>
      <c r="R32" s="1">
        <v>45626.088000000003</v>
      </c>
      <c r="S32" s="1">
        <v>50761.574000000001</v>
      </c>
      <c r="T32" s="1">
        <v>57357.635000000002</v>
      </c>
      <c r="U32" s="1">
        <v>57567.798000000003</v>
      </c>
      <c r="V32" s="1">
        <v>69045.217999999993</v>
      </c>
      <c r="W32" s="1">
        <v>68045.892000000007</v>
      </c>
      <c r="X32" s="1">
        <v>72163.998000000007</v>
      </c>
      <c r="Y32" s="1">
        <v>77285.557000000001</v>
      </c>
      <c r="Z32" s="1">
        <v>76569.409</v>
      </c>
      <c r="AA32" s="1">
        <v>75993.118000000002</v>
      </c>
      <c r="AB32" s="1">
        <v>84940.467000000004</v>
      </c>
      <c r="AC32" s="1">
        <v>83432.459000000003</v>
      </c>
    </row>
    <row r="33" spans="1:29">
      <c r="A33" s="1" t="s">
        <v>100</v>
      </c>
      <c r="F33" s="42">
        <v>22113.262999999999</v>
      </c>
      <c r="I33" s="1">
        <v>29251.096000000001</v>
      </c>
      <c r="K33" s="1">
        <v>45782.260999999999</v>
      </c>
      <c r="L33" s="1">
        <v>32293.501</v>
      </c>
      <c r="M33" s="1">
        <v>35510.665000000001</v>
      </c>
      <c r="N33" s="1">
        <v>35309.258999999998</v>
      </c>
      <c r="O33" s="1">
        <v>37888.5</v>
      </c>
      <c r="P33" s="1">
        <v>36780.188999999998</v>
      </c>
      <c r="Q33" s="1">
        <v>37640.127</v>
      </c>
      <c r="R33" s="1">
        <v>41820.428</v>
      </c>
      <c r="S33" s="1">
        <v>46927.834000000003</v>
      </c>
      <c r="T33" s="1">
        <v>54356.665000000001</v>
      </c>
      <c r="U33" s="1">
        <v>64701.271000000001</v>
      </c>
      <c r="V33" s="1">
        <v>70291.762000000002</v>
      </c>
      <c r="W33" s="1">
        <v>72883.403000000006</v>
      </c>
      <c r="X33" s="1">
        <v>75265.705000000002</v>
      </c>
      <c r="Y33" s="1">
        <v>77817.751999999993</v>
      </c>
      <c r="Z33" s="1">
        <v>78644.864000000001</v>
      </c>
      <c r="AA33" s="1">
        <v>84735.337</v>
      </c>
      <c r="AB33" s="1">
        <v>82437.313999999998</v>
      </c>
      <c r="AC33" s="1">
        <v>82725.312000000005</v>
      </c>
    </row>
    <row r="34" spans="1:29">
      <c r="A34" s="1" t="s">
        <v>102</v>
      </c>
      <c r="F34" s="42">
        <v>29795.496999999999</v>
      </c>
      <c r="I34" s="1">
        <v>30234.525000000001</v>
      </c>
      <c r="K34" s="1">
        <v>44999.538</v>
      </c>
      <c r="L34" s="1">
        <v>54387.055999999997</v>
      </c>
      <c r="M34" s="1">
        <v>56012.41</v>
      </c>
      <c r="N34" s="1">
        <v>51134.591999999997</v>
      </c>
      <c r="O34" s="1">
        <v>60792.315999999999</v>
      </c>
      <c r="P34" s="1">
        <v>78070.978000000003</v>
      </c>
      <c r="Q34" s="1">
        <v>85668.149000000005</v>
      </c>
      <c r="R34" s="1">
        <v>96365.801999999996</v>
      </c>
      <c r="S34" s="1">
        <v>109449.145</v>
      </c>
      <c r="T34" s="1">
        <v>118912.72</v>
      </c>
      <c r="U34" s="1">
        <v>100552.425</v>
      </c>
      <c r="V34" s="1">
        <v>107197.008</v>
      </c>
      <c r="W34" s="1">
        <v>110111.25199999999</v>
      </c>
      <c r="X34" s="1">
        <v>114069.514</v>
      </c>
      <c r="Y34" s="1">
        <v>115756.04700000001</v>
      </c>
      <c r="Z34" s="1">
        <v>124615.97199999999</v>
      </c>
      <c r="AA34" s="1">
        <v>137397.33499999999</v>
      </c>
      <c r="AB34" s="1">
        <v>146203.96900000001</v>
      </c>
      <c r="AC34" s="1">
        <v>149977.19500000001</v>
      </c>
    </row>
    <row r="35" spans="1:29">
      <c r="A35" s="1" t="s">
        <v>105</v>
      </c>
      <c r="F35" s="42">
        <v>34626.731</v>
      </c>
      <c r="I35" s="1">
        <v>40490.788</v>
      </c>
      <c r="K35" s="1">
        <v>45747.040959999998</v>
      </c>
      <c r="L35" s="1">
        <v>47260.993000000002</v>
      </c>
      <c r="M35" s="1">
        <v>51030.031000000003</v>
      </c>
      <c r="N35" s="1">
        <v>47617.428999999996</v>
      </c>
      <c r="O35" s="1">
        <v>51365.904999999999</v>
      </c>
      <c r="P35" s="1">
        <v>52850.218000000001</v>
      </c>
      <c r="Q35" s="1">
        <v>58257.580999999998</v>
      </c>
      <c r="R35" s="1">
        <v>61608.063999999998</v>
      </c>
      <c r="S35" s="1">
        <v>65630.994000000006</v>
      </c>
      <c r="T35" s="1">
        <v>69879.054000000004</v>
      </c>
      <c r="U35" s="1">
        <v>69393.085999999996</v>
      </c>
      <c r="V35" s="1">
        <v>80647.963000000003</v>
      </c>
      <c r="W35" s="1">
        <v>80980.778000000006</v>
      </c>
      <c r="X35" s="1">
        <v>89480.296000000002</v>
      </c>
      <c r="Y35" s="1">
        <v>88311.614000000001</v>
      </c>
      <c r="Z35" s="1">
        <v>88073.118000000002</v>
      </c>
      <c r="AA35" s="1">
        <v>91769.255000000005</v>
      </c>
      <c r="AB35" s="1">
        <v>89650.085000000006</v>
      </c>
      <c r="AC35" s="1">
        <v>90215.683000000005</v>
      </c>
    </row>
    <row r="36" spans="1:29">
      <c r="A36" s="1" t="s">
        <v>109</v>
      </c>
      <c r="F36" s="42">
        <v>70658.816000000006</v>
      </c>
      <c r="I36" s="1">
        <v>81682.212</v>
      </c>
      <c r="K36" s="1">
        <v>88537.197</v>
      </c>
      <c r="L36" s="1">
        <v>108392.323</v>
      </c>
      <c r="M36" s="1">
        <v>118781.239</v>
      </c>
      <c r="N36" s="1">
        <v>119396.41499999999</v>
      </c>
      <c r="O36" s="1">
        <v>141300.07999999999</v>
      </c>
      <c r="P36" s="1">
        <v>143659.17199999999</v>
      </c>
      <c r="Q36" s="1">
        <v>155656.576</v>
      </c>
      <c r="R36" s="1">
        <v>149083.65100000001</v>
      </c>
      <c r="S36" s="1">
        <v>153320.34099999999</v>
      </c>
      <c r="T36" s="1">
        <v>183821.239</v>
      </c>
      <c r="U36" s="1">
        <v>141317.25899999999</v>
      </c>
      <c r="V36" s="1">
        <v>203224.902</v>
      </c>
      <c r="W36" s="1">
        <v>222154.24100000001</v>
      </c>
      <c r="X36" s="1">
        <v>245586.55600000001</v>
      </c>
      <c r="Y36" s="1">
        <v>263016.43</v>
      </c>
      <c r="Z36" s="1">
        <v>278111.91600000003</v>
      </c>
      <c r="AA36" s="1">
        <v>273832.01899999997</v>
      </c>
      <c r="AB36" s="1">
        <v>319977.68599999999</v>
      </c>
      <c r="AC36" s="1">
        <v>329883.51899999997</v>
      </c>
    </row>
    <row r="37" spans="1:29">
      <c r="A37" s="1" t="s">
        <v>113</v>
      </c>
      <c r="F37" s="42">
        <v>54847.241000000002</v>
      </c>
      <c r="I37" s="1">
        <v>72119.09</v>
      </c>
      <c r="K37" s="1">
        <v>82193.404999999999</v>
      </c>
      <c r="L37" s="1">
        <v>111440.496</v>
      </c>
      <c r="M37" s="1">
        <v>113511.383</v>
      </c>
      <c r="N37" s="1">
        <v>112657.51</v>
      </c>
      <c r="O37" s="1">
        <v>116225.12300000001</v>
      </c>
      <c r="P37" s="1">
        <v>116397.76700000001</v>
      </c>
      <c r="Q37" s="1">
        <v>127034.217</v>
      </c>
      <c r="R37" s="1">
        <v>127865.75599999999</v>
      </c>
      <c r="S37" s="1">
        <v>135570.755</v>
      </c>
      <c r="T37" s="1">
        <v>165021.97099999999</v>
      </c>
      <c r="U37" s="1">
        <v>170871.62400000001</v>
      </c>
      <c r="V37" s="1">
        <v>167267.04399999999</v>
      </c>
      <c r="W37" s="1">
        <v>177288.84099999999</v>
      </c>
      <c r="X37" s="1">
        <v>196905.179</v>
      </c>
      <c r="Y37" s="1">
        <v>195620.86199999999</v>
      </c>
      <c r="Z37" s="1">
        <v>202838.913</v>
      </c>
      <c r="AA37" s="1">
        <v>217466.55499999999</v>
      </c>
      <c r="AB37" s="1">
        <v>234897.56</v>
      </c>
      <c r="AC37" s="1">
        <v>254978.304</v>
      </c>
    </row>
    <row r="38" spans="1:29">
      <c r="A38" s="1" t="s">
        <v>115</v>
      </c>
      <c r="F38" s="42">
        <v>150596.17800000001</v>
      </c>
      <c r="I38" s="1">
        <v>189002.66500000001</v>
      </c>
      <c r="K38" s="1">
        <v>203522.77100000001</v>
      </c>
      <c r="L38" s="1">
        <v>253998.42800000001</v>
      </c>
      <c r="M38" s="1">
        <v>287142.27100000001</v>
      </c>
      <c r="N38" s="1">
        <v>286480.51</v>
      </c>
      <c r="O38" s="1">
        <v>244641.52600000001</v>
      </c>
      <c r="P38" s="1">
        <v>264579.804</v>
      </c>
      <c r="Q38" s="1">
        <v>272541.614</v>
      </c>
      <c r="R38" s="1">
        <v>295460.91700000002</v>
      </c>
      <c r="S38" s="1">
        <v>321073.52799999999</v>
      </c>
      <c r="T38" s="1">
        <v>386134.80800000002</v>
      </c>
      <c r="U38" s="1">
        <v>377633.16899999999</v>
      </c>
      <c r="V38" s="1">
        <v>416713.81699999998</v>
      </c>
      <c r="W38" s="1">
        <v>445594.42700000003</v>
      </c>
      <c r="X38" s="1">
        <v>458294.19300000003</v>
      </c>
      <c r="Y38" s="1">
        <v>461843.31</v>
      </c>
      <c r="Z38" s="1">
        <v>513780.44199999998</v>
      </c>
      <c r="AA38" s="1">
        <v>553082.94400000002</v>
      </c>
      <c r="AB38" s="1">
        <v>623986.44999999995</v>
      </c>
      <c r="AC38" s="1">
        <v>658973.73699999996</v>
      </c>
    </row>
    <row r="39" spans="1:29">
      <c r="A39" s="24" t="s">
        <v>117</v>
      </c>
      <c r="B39" s="24"/>
      <c r="C39" s="24"/>
      <c r="D39" s="24"/>
      <c r="E39" s="24"/>
      <c r="F39" s="45">
        <v>13641.13</v>
      </c>
      <c r="G39" s="24"/>
      <c r="H39" s="24"/>
      <c r="I39" s="24">
        <v>14484.521000000001</v>
      </c>
      <c r="J39" s="24"/>
      <c r="K39" s="24">
        <v>15146.121999999999</v>
      </c>
      <c r="L39" s="24">
        <v>17646.29</v>
      </c>
      <c r="M39" s="24">
        <v>17822.149000000001</v>
      </c>
      <c r="N39" s="24">
        <v>15732.938</v>
      </c>
      <c r="O39" s="24">
        <v>16433.935000000001</v>
      </c>
      <c r="P39" s="24">
        <v>17517.189999999999</v>
      </c>
      <c r="Q39" s="24">
        <v>19910.902999999998</v>
      </c>
      <c r="R39" s="24">
        <v>21685.806</v>
      </c>
      <c r="S39" s="24">
        <v>24887.032999999999</v>
      </c>
      <c r="T39" s="24">
        <v>28844.766</v>
      </c>
      <c r="U39" s="24">
        <v>27401.608</v>
      </c>
      <c r="V39" s="24">
        <v>30829.904999999999</v>
      </c>
      <c r="W39" s="24">
        <v>29346.246999999999</v>
      </c>
      <c r="X39" s="24">
        <v>39729.951999999997</v>
      </c>
      <c r="Y39" s="24">
        <v>37167.46</v>
      </c>
      <c r="Z39" s="24">
        <v>38797.449999999997</v>
      </c>
      <c r="AA39" s="24">
        <v>38493.322999999997</v>
      </c>
      <c r="AB39" s="24">
        <v>44685.654000000002</v>
      </c>
      <c r="AC39" s="24">
        <v>41094.877999999997</v>
      </c>
    </row>
    <row r="40" spans="1:29">
      <c r="A40" s="7" t="s">
        <v>121</v>
      </c>
      <c r="B40" s="48">
        <f>SUM(B42:B53)</f>
        <v>0</v>
      </c>
      <c r="C40" s="48">
        <f t="shared" ref="C40:AC40" si="11">SUM(C42:C53)</f>
        <v>0</v>
      </c>
      <c r="D40" s="48">
        <f t="shared" si="11"/>
        <v>0</v>
      </c>
      <c r="E40" s="48">
        <f t="shared" si="11"/>
        <v>0</v>
      </c>
      <c r="F40" s="48">
        <f t="shared" si="11"/>
        <v>1573739.3460000001</v>
      </c>
      <c r="G40" s="48">
        <f t="shared" si="11"/>
        <v>0</v>
      </c>
      <c r="H40" s="48">
        <f t="shared" si="11"/>
        <v>0</v>
      </c>
      <c r="I40" s="48">
        <f t="shared" si="11"/>
        <v>1826736.5460000003</v>
      </c>
      <c r="J40" s="48">
        <f t="shared" si="11"/>
        <v>0</v>
      </c>
      <c r="K40" s="48">
        <f t="shared" si="11"/>
        <v>2039510.3988999999</v>
      </c>
      <c r="L40" s="48">
        <f t="shared" si="11"/>
        <v>2457886.7570000002</v>
      </c>
      <c r="M40" s="48">
        <f t="shared" si="11"/>
        <v>2677952.2460000007</v>
      </c>
      <c r="N40" s="48">
        <f t="shared" si="11"/>
        <v>2583096.0419999999</v>
      </c>
      <c r="O40" s="48">
        <f t="shared" si="11"/>
        <v>2643261.2830000003</v>
      </c>
      <c r="P40" s="48">
        <f t="shared" si="11"/>
        <v>2761799.3190000001</v>
      </c>
      <c r="Q40" s="48">
        <f t="shared" si="11"/>
        <v>2910211.1779999998</v>
      </c>
      <c r="R40" s="48">
        <f t="shared" si="11"/>
        <v>3081125.0189999999</v>
      </c>
      <c r="S40" s="48">
        <f t="shared" si="11"/>
        <v>3255771.3829999994</v>
      </c>
      <c r="T40" s="48">
        <f t="shared" si="11"/>
        <v>3639264.5549999997</v>
      </c>
      <c r="U40" s="48">
        <f t="shared" si="11"/>
        <v>3959934.219</v>
      </c>
      <c r="V40" s="48">
        <f t="shared" si="11"/>
        <v>4450687.63</v>
      </c>
      <c r="W40" s="48">
        <f t="shared" si="11"/>
        <v>4571968.6870000008</v>
      </c>
      <c r="X40" s="48">
        <f t="shared" si="11"/>
        <v>4854016.0729999989</v>
      </c>
      <c r="Y40" s="48">
        <f t="shared" si="11"/>
        <v>5151368.2170000002</v>
      </c>
      <c r="Z40" s="48">
        <f t="shared" si="11"/>
        <v>5447141.1970000006</v>
      </c>
      <c r="AA40" s="48">
        <f t="shared" si="11"/>
        <v>5675434.8439999996</v>
      </c>
      <c r="AB40" s="48">
        <f t="shared" si="11"/>
        <v>5731914.2029999997</v>
      </c>
      <c r="AC40" s="48">
        <f t="shared" si="11"/>
        <v>6028921.3309999984</v>
      </c>
    </row>
    <row r="41" spans="1:29">
      <c r="A41" s="7" t="s">
        <v>119</v>
      </c>
      <c r="X41" s="1">
        <v>0</v>
      </c>
      <c r="Y41" s="1">
        <v>0</v>
      </c>
      <c r="AB41" s="1">
        <v>0</v>
      </c>
      <c r="AC41" s="1">
        <v>0</v>
      </c>
    </row>
    <row r="42" spans="1:29">
      <c r="A42" s="1" t="s">
        <v>93</v>
      </c>
      <c r="F42" s="42">
        <v>222298.253</v>
      </c>
      <c r="I42" s="1">
        <v>256784.02</v>
      </c>
      <c r="K42" s="1">
        <v>255809.024</v>
      </c>
      <c r="L42" s="1">
        <v>304640.27399999998</v>
      </c>
      <c r="M42" s="1">
        <v>335629.24</v>
      </c>
      <c r="N42" s="1">
        <v>369468.57799999998</v>
      </c>
      <c r="O42" s="1">
        <v>357565.652</v>
      </c>
      <c r="P42" s="1">
        <v>360271.84399999998</v>
      </c>
      <c r="Q42" s="1">
        <v>380451.04200000002</v>
      </c>
      <c r="R42" s="1">
        <v>406549.75799999997</v>
      </c>
      <c r="S42" s="1">
        <v>443701.66700000002</v>
      </c>
      <c r="T42" s="1">
        <v>470218.83199999999</v>
      </c>
      <c r="U42" s="1">
        <v>550182.83100000001</v>
      </c>
      <c r="V42" s="1">
        <v>709661.46799999999</v>
      </c>
      <c r="W42" s="1">
        <v>716045.93200000003</v>
      </c>
      <c r="X42" s="1">
        <v>769297.18700000003</v>
      </c>
      <c r="Y42" s="1">
        <v>834729.79</v>
      </c>
      <c r="Z42" s="1">
        <v>888200.33600000001</v>
      </c>
      <c r="AA42" s="1">
        <v>974760.39099999995</v>
      </c>
      <c r="AB42" s="1">
        <v>971314.61800000002</v>
      </c>
      <c r="AC42" s="1">
        <v>1054055.3870000001</v>
      </c>
    </row>
    <row r="43" spans="1:29">
      <c r="A43" s="1" t="s">
        <v>58</v>
      </c>
      <c r="F43" s="42">
        <v>178046.446</v>
      </c>
      <c r="I43" s="1">
        <v>213418.80300000001</v>
      </c>
      <c r="K43" s="1">
        <v>217859.29699999999</v>
      </c>
      <c r="L43" s="1">
        <v>258048.24600000001</v>
      </c>
      <c r="M43" s="1">
        <v>280338.22200000001</v>
      </c>
      <c r="N43" s="1">
        <v>250289.16399999999</v>
      </c>
      <c r="O43" s="1">
        <v>248960.83199999999</v>
      </c>
      <c r="P43" s="1">
        <v>290302.40500000003</v>
      </c>
      <c r="Q43" s="1">
        <v>298467.315</v>
      </c>
      <c r="R43" s="1">
        <v>312558.16600000003</v>
      </c>
      <c r="S43" s="1">
        <v>304624.68300000002</v>
      </c>
      <c r="T43" s="1">
        <v>310439.86700000003</v>
      </c>
      <c r="U43" s="1">
        <v>355881.56199999998</v>
      </c>
      <c r="V43" s="1">
        <v>438025.42599999998</v>
      </c>
      <c r="W43" s="1">
        <v>433631.87900000002</v>
      </c>
      <c r="X43" s="1">
        <v>486524.14299999998</v>
      </c>
      <c r="Y43" s="1">
        <v>645524.56599999999</v>
      </c>
      <c r="Z43" s="1">
        <v>696314.45299999998</v>
      </c>
      <c r="AA43" s="1">
        <v>716312.87699999998</v>
      </c>
      <c r="AB43" s="1">
        <v>749581.94499999995</v>
      </c>
      <c r="AC43" s="1">
        <v>781994.56900000002</v>
      </c>
    </row>
    <row r="44" spans="1:29">
      <c r="A44" s="1" t="s">
        <v>94</v>
      </c>
      <c r="F44" s="42">
        <v>86299.532999999996</v>
      </c>
      <c r="I44" s="1">
        <v>99554.778999999995</v>
      </c>
      <c r="K44" s="1">
        <v>121213.318</v>
      </c>
      <c r="L44" s="1">
        <v>147296.736</v>
      </c>
      <c r="M44" s="1">
        <v>158581.30300000001</v>
      </c>
      <c r="N44" s="1">
        <v>140521.345</v>
      </c>
      <c r="O44" s="1">
        <v>143026.04199999999</v>
      </c>
      <c r="P44" s="1">
        <v>160504.57999999999</v>
      </c>
      <c r="Q44" s="1">
        <v>172440.18799999999</v>
      </c>
      <c r="R44" s="1">
        <v>184999.269</v>
      </c>
      <c r="S44" s="1">
        <v>217735.60399999999</v>
      </c>
      <c r="T44" s="1">
        <v>230510.36799999999</v>
      </c>
      <c r="U44" s="1">
        <v>260022.06200000001</v>
      </c>
      <c r="V44" s="1">
        <v>302689.34600000002</v>
      </c>
      <c r="W44" s="1">
        <v>297614.21399999998</v>
      </c>
      <c r="X44" s="1">
        <v>339108.11599999998</v>
      </c>
      <c r="Y44" s="1">
        <v>387416.94199999998</v>
      </c>
      <c r="Z44" s="1">
        <v>400678.13799999998</v>
      </c>
      <c r="AA44" s="1">
        <v>423151.56400000001</v>
      </c>
      <c r="AB44" s="1">
        <v>384938.48</v>
      </c>
      <c r="AC44" s="1">
        <v>421033.51799999998</v>
      </c>
    </row>
    <row r="45" spans="1:29">
      <c r="A45" s="1" t="s">
        <v>95</v>
      </c>
      <c r="F45" s="42">
        <v>78481.061000000002</v>
      </c>
      <c r="I45" s="1">
        <v>90018.964999999997</v>
      </c>
      <c r="K45" s="1">
        <v>94793.356120000011</v>
      </c>
      <c r="L45" s="1">
        <v>117551.376</v>
      </c>
      <c r="M45" s="1">
        <v>130998.54</v>
      </c>
      <c r="N45" s="1">
        <v>136752.179</v>
      </c>
      <c r="O45" s="1">
        <v>146043.45600000001</v>
      </c>
      <c r="P45" s="1">
        <v>144166.758</v>
      </c>
      <c r="Q45" s="1">
        <v>158070.98300000001</v>
      </c>
      <c r="R45" s="1">
        <v>168420.389</v>
      </c>
      <c r="S45" s="1">
        <v>176128.193</v>
      </c>
      <c r="T45" s="1">
        <v>191604.08900000001</v>
      </c>
      <c r="U45" s="1">
        <v>196064.476</v>
      </c>
      <c r="V45" s="1">
        <v>220306.095</v>
      </c>
      <c r="W45" s="1">
        <v>227611.27299999999</v>
      </c>
      <c r="X45" s="1">
        <v>241511.492</v>
      </c>
      <c r="Y45" s="1">
        <v>207541.908</v>
      </c>
      <c r="Z45" s="1">
        <v>214839.75</v>
      </c>
      <c r="AA45" s="1">
        <v>226243.02799999999</v>
      </c>
      <c r="AB45" s="1">
        <v>224828.10800000001</v>
      </c>
      <c r="AC45" s="1">
        <v>220298.48499999999</v>
      </c>
    </row>
    <row r="46" spans="1:29">
      <c r="A46" s="1" t="s">
        <v>98</v>
      </c>
      <c r="F46" s="42">
        <v>258086.39799999999</v>
      </c>
      <c r="I46" s="1">
        <v>297901.61599999998</v>
      </c>
      <c r="K46" s="1">
        <v>355138.83199999999</v>
      </c>
      <c r="L46" s="1">
        <v>431517.71500000003</v>
      </c>
      <c r="M46" s="1">
        <v>471553.87800000003</v>
      </c>
      <c r="N46" s="1">
        <v>414986.891</v>
      </c>
      <c r="O46" s="1">
        <v>430793.46100000001</v>
      </c>
      <c r="P46" s="1">
        <v>444098.25199999998</v>
      </c>
      <c r="Q46" s="1">
        <v>463454.571</v>
      </c>
      <c r="R46" s="1">
        <v>479689.625</v>
      </c>
      <c r="S46" s="1">
        <v>481858.946</v>
      </c>
      <c r="T46" s="1">
        <v>730839.84</v>
      </c>
      <c r="U46" s="1">
        <v>758028.95400000003</v>
      </c>
      <c r="V46" s="1">
        <v>783529.29399999999</v>
      </c>
      <c r="W46" s="1">
        <v>800547.35499999998</v>
      </c>
      <c r="X46" s="1">
        <v>851263.54200000002</v>
      </c>
      <c r="Y46" s="1">
        <v>874811.61300000001</v>
      </c>
      <c r="Z46" s="1">
        <v>919984.74800000002</v>
      </c>
      <c r="AA46" s="1">
        <v>966648.27599999995</v>
      </c>
      <c r="AB46" s="1">
        <v>999658.26899999997</v>
      </c>
      <c r="AC46" s="1">
        <v>1036276.1040000001</v>
      </c>
    </row>
    <row r="47" spans="1:29">
      <c r="A47" s="1" t="s">
        <v>99</v>
      </c>
      <c r="F47" s="42">
        <v>147321.03200000001</v>
      </c>
      <c r="I47" s="1">
        <v>183883.45699999999</v>
      </c>
      <c r="K47" s="1">
        <v>207858.859</v>
      </c>
      <c r="L47" s="1">
        <v>271693.98</v>
      </c>
      <c r="M47" s="1">
        <v>298004.54700000002</v>
      </c>
      <c r="N47" s="1">
        <v>308912.946</v>
      </c>
      <c r="O47" s="1">
        <v>335020.96999999997</v>
      </c>
      <c r="P47" s="1">
        <v>320302.46399999998</v>
      </c>
      <c r="Q47" s="1">
        <v>338441.73499999999</v>
      </c>
      <c r="R47" s="1">
        <v>371936.95</v>
      </c>
      <c r="S47" s="1">
        <v>428191.45</v>
      </c>
      <c r="T47" s="1">
        <v>418047.07299999997</v>
      </c>
      <c r="U47" s="1">
        <v>550711.48899999994</v>
      </c>
      <c r="V47" s="1">
        <v>541353.06299999997</v>
      </c>
      <c r="W47" s="1">
        <v>543457.99399999995</v>
      </c>
      <c r="X47" s="1">
        <v>553812</v>
      </c>
      <c r="Y47" s="1">
        <v>561997.22600000002</v>
      </c>
      <c r="Z47" s="1">
        <v>601743.55900000001</v>
      </c>
      <c r="AA47" s="1">
        <v>576314.76899999997</v>
      </c>
      <c r="AB47" s="1">
        <v>581733.27899999998</v>
      </c>
      <c r="AC47" s="1">
        <v>615881.98699999996</v>
      </c>
    </row>
    <row r="48" spans="1:29">
      <c r="A48" s="1" t="s">
        <v>59</v>
      </c>
      <c r="F48" s="42">
        <v>84891.043000000005</v>
      </c>
      <c r="I48" s="1">
        <v>103159.15399999999</v>
      </c>
      <c r="K48" s="1">
        <v>131182.51699999999</v>
      </c>
      <c r="L48" s="1">
        <v>141413.69200000001</v>
      </c>
      <c r="M48" s="1">
        <v>146555.77499999999</v>
      </c>
      <c r="N48" s="1">
        <v>152306.783</v>
      </c>
      <c r="O48" s="1">
        <v>139341.76500000001</v>
      </c>
      <c r="P48" s="1">
        <v>144291.47899999999</v>
      </c>
      <c r="Q48" s="1">
        <v>158535.198</v>
      </c>
      <c r="R48" s="1">
        <v>162862.85500000001</v>
      </c>
      <c r="S48" s="1">
        <v>165835.454</v>
      </c>
      <c r="T48" s="1">
        <v>194706.93799999999</v>
      </c>
      <c r="U48" s="1">
        <v>208823.24900000001</v>
      </c>
      <c r="V48" s="1">
        <v>211190.81099999999</v>
      </c>
      <c r="W48" s="1">
        <v>210365.46799999999</v>
      </c>
      <c r="X48" s="1">
        <v>219299.18799999999</v>
      </c>
      <c r="Y48" s="1">
        <v>226943.64499999999</v>
      </c>
      <c r="Z48" s="1">
        <v>236185.58199999999</v>
      </c>
      <c r="AA48" s="1">
        <v>244257.09599999999</v>
      </c>
      <c r="AB48" s="1">
        <v>250910.79300000001</v>
      </c>
      <c r="AC48" s="1">
        <v>244627.101</v>
      </c>
    </row>
    <row r="49" spans="1:29">
      <c r="A49" s="1" t="s">
        <v>101</v>
      </c>
      <c r="F49" s="42">
        <v>48133.205999999998</v>
      </c>
      <c r="I49" s="1">
        <v>53238.076000000001</v>
      </c>
      <c r="K49" s="1">
        <v>64517.9</v>
      </c>
      <c r="L49" s="1">
        <v>72985.947</v>
      </c>
      <c r="M49" s="1">
        <v>80021.305999999997</v>
      </c>
      <c r="N49" s="1">
        <v>83578.967999999993</v>
      </c>
      <c r="O49" s="1">
        <v>82835.084000000003</v>
      </c>
      <c r="P49" s="1">
        <v>88123.714000000007</v>
      </c>
      <c r="Q49" s="1">
        <v>93998.941999999995</v>
      </c>
      <c r="R49" s="1">
        <v>95324.202000000005</v>
      </c>
      <c r="S49" s="1">
        <v>100586.954</v>
      </c>
      <c r="T49" s="1">
        <v>107607.246</v>
      </c>
      <c r="U49" s="1">
        <v>87874.993000000002</v>
      </c>
      <c r="V49" s="1">
        <v>130067.96400000001</v>
      </c>
      <c r="W49" s="1">
        <v>143969.93799999999</v>
      </c>
      <c r="X49" s="1">
        <v>144951.86799999999</v>
      </c>
      <c r="Y49" s="1">
        <v>150421.33100000001</v>
      </c>
      <c r="Z49" s="1">
        <v>156931.44899999999</v>
      </c>
      <c r="AA49" s="1">
        <v>180954.321</v>
      </c>
      <c r="AB49" s="1">
        <v>169955.64199999999</v>
      </c>
      <c r="AC49" s="1">
        <v>188180.486</v>
      </c>
    </row>
    <row r="50" spans="1:29">
      <c r="A50" s="1" t="s">
        <v>107</v>
      </c>
      <c r="F50" s="42">
        <v>23560.09</v>
      </c>
      <c r="I50" s="1">
        <v>26028.261999999999</v>
      </c>
      <c r="K50" s="1">
        <v>32093.112000000001</v>
      </c>
      <c r="L50" s="1">
        <v>35211.4</v>
      </c>
      <c r="M50" s="1">
        <v>38499.874000000003</v>
      </c>
      <c r="N50" s="1">
        <v>39252.834000000003</v>
      </c>
      <c r="O50" s="1">
        <v>38479.769</v>
      </c>
      <c r="P50" s="1">
        <v>41184.612999999998</v>
      </c>
      <c r="Q50" s="1">
        <v>47750.642</v>
      </c>
      <c r="R50" s="1">
        <v>49311.194000000003</v>
      </c>
      <c r="S50" s="1">
        <v>50256.004999999997</v>
      </c>
      <c r="T50" s="1">
        <v>51591.962</v>
      </c>
      <c r="U50" s="1">
        <v>56723.722999999998</v>
      </c>
      <c r="V50" s="1">
        <v>56353.199000000001</v>
      </c>
      <c r="W50" s="1">
        <v>68527.057000000001</v>
      </c>
      <c r="X50" s="1">
        <v>73533.414000000004</v>
      </c>
      <c r="Y50" s="1">
        <v>76189.904999999999</v>
      </c>
      <c r="Z50" s="1">
        <v>79355.611000000004</v>
      </c>
      <c r="AA50" s="1">
        <v>84583.273000000001</v>
      </c>
      <c r="AB50" s="1">
        <v>90264.702999999994</v>
      </c>
      <c r="AC50" s="1">
        <v>88391.192999999999</v>
      </c>
    </row>
    <row r="51" spans="1:29">
      <c r="A51" s="1" t="s">
        <v>108</v>
      </c>
      <c r="F51" s="42">
        <v>263734.69099999999</v>
      </c>
      <c r="I51" s="1">
        <v>294809.72700000001</v>
      </c>
      <c r="K51" s="1">
        <v>325218.978</v>
      </c>
      <c r="L51" s="1">
        <v>396883.75400000002</v>
      </c>
      <c r="M51" s="1">
        <v>421038.84100000001</v>
      </c>
      <c r="N51" s="1">
        <v>385761.75699999998</v>
      </c>
      <c r="O51" s="1">
        <v>403984.75099999999</v>
      </c>
      <c r="P51" s="1">
        <v>445896.73700000002</v>
      </c>
      <c r="Q51" s="1">
        <v>476209.89799999999</v>
      </c>
      <c r="R51" s="1">
        <v>530605.679</v>
      </c>
      <c r="S51" s="1">
        <v>555979.31299999997</v>
      </c>
      <c r="T51" s="1">
        <v>581797.69200000004</v>
      </c>
      <c r="U51" s="1">
        <v>575445.73600000003</v>
      </c>
      <c r="V51" s="1">
        <v>655734.61</v>
      </c>
      <c r="W51" s="1">
        <v>707917.35600000003</v>
      </c>
      <c r="X51" s="1">
        <v>731541.83100000001</v>
      </c>
      <c r="Y51" s="1">
        <v>734702.43700000003</v>
      </c>
      <c r="Z51" s="1">
        <v>768064.12600000005</v>
      </c>
      <c r="AA51" s="1">
        <v>787768.55799999996</v>
      </c>
      <c r="AB51" s="1">
        <v>832117.95</v>
      </c>
      <c r="AC51" s="1">
        <v>885796.62899999996</v>
      </c>
    </row>
    <row r="52" spans="1:29">
      <c r="A52" s="1" t="s">
        <v>112</v>
      </c>
      <c r="F52" s="42">
        <v>19436.911</v>
      </c>
      <c r="I52" s="1">
        <v>24266.241999999998</v>
      </c>
      <c r="K52" s="1">
        <v>27111.443780000001</v>
      </c>
      <c r="L52" s="1">
        <v>30945.048999999999</v>
      </c>
      <c r="M52" s="1">
        <v>34146.552000000003</v>
      </c>
      <c r="N52" s="1">
        <v>34492.379000000001</v>
      </c>
      <c r="O52" s="1">
        <v>37104.807999999997</v>
      </c>
      <c r="P52" s="1">
        <v>40174.356</v>
      </c>
      <c r="Q52" s="1">
        <v>40791.616000000002</v>
      </c>
      <c r="R52" s="1">
        <v>39984.544000000002</v>
      </c>
      <c r="S52" s="1">
        <v>43549.55</v>
      </c>
      <c r="T52" s="1">
        <v>48104.171999999999</v>
      </c>
      <c r="U52" s="1">
        <v>45847.807999999997</v>
      </c>
      <c r="V52" s="1">
        <v>55849.298000000003</v>
      </c>
      <c r="W52" s="1">
        <v>55532.457000000002</v>
      </c>
      <c r="X52" s="1">
        <v>60480.141000000003</v>
      </c>
      <c r="Y52" s="1">
        <v>61196.457000000002</v>
      </c>
      <c r="Z52" s="1">
        <v>63916.574999999997</v>
      </c>
      <c r="AA52" s="1">
        <v>64911.341</v>
      </c>
      <c r="AB52" s="1">
        <v>65001.159</v>
      </c>
      <c r="AC52" s="1">
        <v>72964.237999999998</v>
      </c>
    </row>
    <row r="53" spans="1:29">
      <c r="A53" s="24" t="s">
        <v>116</v>
      </c>
      <c r="B53" s="24"/>
      <c r="C53" s="24"/>
      <c r="D53" s="24"/>
      <c r="E53" s="24"/>
      <c r="F53" s="45">
        <v>163450.682</v>
      </c>
      <c r="G53" s="24"/>
      <c r="H53" s="24"/>
      <c r="I53" s="24">
        <v>183673.44500000001</v>
      </c>
      <c r="J53" s="24"/>
      <c r="K53" s="24">
        <v>206713.76199999999</v>
      </c>
      <c r="L53" s="24">
        <v>249698.58799999999</v>
      </c>
      <c r="M53" s="24">
        <v>282584.16800000001</v>
      </c>
      <c r="N53" s="24">
        <v>266772.21799999999</v>
      </c>
      <c r="O53" s="24">
        <v>280104.69300000003</v>
      </c>
      <c r="P53" s="24">
        <v>282482.11700000003</v>
      </c>
      <c r="Q53" s="24">
        <v>281599.04800000001</v>
      </c>
      <c r="R53" s="24">
        <v>278882.38799999998</v>
      </c>
      <c r="S53" s="24">
        <v>287323.56400000001</v>
      </c>
      <c r="T53" s="24">
        <v>303796.47600000002</v>
      </c>
      <c r="U53" s="24">
        <v>314327.33600000001</v>
      </c>
      <c r="V53" s="24">
        <v>345927.05599999998</v>
      </c>
      <c r="W53" s="24">
        <v>366747.76400000002</v>
      </c>
      <c r="X53" s="24">
        <v>382693.15100000001</v>
      </c>
      <c r="Y53" s="24">
        <v>389892.397</v>
      </c>
      <c r="Z53" s="24">
        <v>420926.87</v>
      </c>
      <c r="AA53" s="24">
        <v>429529.35</v>
      </c>
      <c r="AB53" s="24">
        <v>411609.25699999998</v>
      </c>
      <c r="AC53" s="24">
        <v>419421.63400000002</v>
      </c>
    </row>
    <row r="54" spans="1:29">
      <c r="A54" s="7" t="s">
        <v>122</v>
      </c>
      <c r="B54" s="48">
        <f>SUM(B56:B64)</f>
        <v>0</v>
      </c>
      <c r="C54" s="48">
        <f t="shared" ref="C54:AC54" si="12">SUM(C56:C64)</f>
        <v>0</v>
      </c>
      <c r="D54" s="48">
        <f t="shared" si="12"/>
        <v>0</v>
      </c>
      <c r="E54" s="48">
        <f t="shared" si="12"/>
        <v>0</v>
      </c>
      <c r="F54" s="48">
        <f t="shared" si="12"/>
        <v>817062.42</v>
      </c>
      <c r="G54" s="48">
        <f t="shared" si="12"/>
        <v>0</v>
      </c>
      <c r="H54" s="48">
        <f t="shared" si="12"/>
        <v>0</v>
      </c>
      <c r="I54" s="48">
        <f t="shared" si="12"/>
        <v>927166.31400000001</v>
      </c>
      <c r="J54" s="48">
        <f t="shared" si="12"/>
        <v>0</v>
      </c>
      <c r="K54" s="48">
        <f t="shared" si="12"/>
        <v>1110634.925</v>
      </c>
      <c r="L54" s="48">
        <f t="shared" si="12"/>
        <v>1192712.129</v>
      </c>
      <c r="M54" s="48">
        <f t="shared" si="12"/>
        <v>1247157.2210000001</v>
      </c>
      <c r="N54" s="48">
        <f t="shared" si="12"/>
        <v>1105886.8960000002</v>
      </c>
      <c r="O54" s="48">
        <f t="shared" si="12"/>
        <v>986144.71899999992</v>
      </c>
      <c r="P54" s="48">
        <f t="shared" si="12"/>
        <v>1045231.3999999999</v>
      </c>
      <c r="Q54" s="48">
        <f t="shared" si="12"/>
        <v>1251845.2960000001</v>
      </c>
      <c r="R54" s="48">
        <f t="shared" si="12"/>
        <v>1262717.176</v>
      </c>
      <c r="S54" s="48">
        <f t="shared" si="12"/>
        <v>1328080.371</v>
      </c>
      <c r="T54" s="48">
        <f t="shared" si="12"/>
        <v>1460165.148</v>
      </c>
      <c r="U54" s="48">
        <f t="shared" si="12"/>
        <v>1522392.1140000003</v>
      </c>
      <c r="V54" s="48">
        <f t="shared" si="12"/>
        <v>1959899.5759999999</v>
      </c>
      <c r="W54" s="48">
        <f t="shared" si="12"/>
        <v>2062837.6310000001</v>
      </c>
      <c r="X54" s="48">
        <f t="shared" si="12"/>
        <v>2112173.6459999997</v>
      </c>
      <c r="Y54" s="48">
        <f t="shared" si="12"/>
        <v>2122516.6319999998</v>
      </c>
      <c r="Z54" s="48">
        <f t="shared" si="12"/>
        <v>2304438.3130000001</v>
      </c>
      <c r="AA54" s="48">
        <f t="shared" si="12"/>
        <v>2341052.8160000001</v>
      </c>
      <c r="AB54" s="48">
        <f t="shared" si="12"/>
        <v>2531109.074</v>
      </c>
      <c r="AC54" s="48">
        <f t="shared" si="12"/>
        <v>2949164.2669999995</v>
      </c>
    </row>
    <row r="55" spans="1:29">
      <c r="A55" s="7" t="s">
        <v>119</v>
      </c>
      <c r="X55" s="1">
        <v>0</v>
      </c>
      <c r="Y55" s="1">
        <v>0</v>
      </c>
      <c r="AB55" s="1">
        <v>0</v>
      </c>
      <c r="AC55" s="1">
        <v>0</v>
      </c>
    </row>
    <row r="56" spans="1:29">
      <c r="A56" s="1" t="s">
        <v>89</v>
      </c>
      <c r="F56" s="42">
        <v>69435.998000000007</v>
      </c>
      <c r="I56" s="1">
        <v>76613.601999999999</v>
      </c>
      <c r="K56" s="1">
        <v>79977.801999999996</v>
      </c>
      <c r="L56" s="1">
        <v>112087.57399999999</v>
      </c>
      <c r="M56" s="1">
        <v>104809.41499999999</v>
      </c>
      <c r="N56" s="1">
        <v>122847.319</v>
      </c>
      <c r="O56" s="1">
        <v>120427.128</v>
      </c>
      <c r="P56" s="1">
        <v>132107.19399999999</v>
      </c>
      <c r="Q56" s="1">
        <v>138307.541</v>
      </c>
      <c r="R56" s="1">
        <v>138650.02299999999</v>
      </c>
      <c r="S56" s="1">
        <v>146276.27100000001</v>
      </c>
      <c r="T56" s="1">
        <v>175390.15700000001</v>
      </c>
      <c r="U56" s="1">
        <v>190302.11499999999</v>
      </c>
      <c r="V56" s="1">
        <v>192940.69500000001</v>
      </c>
      <c r="W56" s="1">
        <v>206264.595</v>
      </c>
      <c r="X56" s="1">
        <v>211218.05499999999</v>
      </c>
      <c r="Y56" s="1">
        <v>227351.24600000001</v>
      </c>
      <c r="Z56" s="1">
        <v>247476.71900000001</v>
      </c>
      <c r="AA56" s="1">
        <v>260545.41099999999</v>
      </c>
      <c r="AB56" s="1">
        <v>271575.49</v>
      </c>
      <c r="AC56" s="1">
        <v>245553.424</v>
      </c>
    </row>
    <row r="57" spans="1:29">
      <c r="A57" s="1" t="s">
        <v>96</v>
      </c>
      <c r="F57" s="42">
        <v>31004.111000000001</v>
      </c>
      <c r="I57" s="1">
        <v>29576.591</v>
      </c>
      <c r="K57" s="1">
        <v>42955.747000000003</v>
      </c>
      <c r="L57" s="1">
        <v>38663.06</v>
      </c>
      <c r="M57" s="1">
        <v>40991.928</v>
      </c>
      <c r="N57" s="1">
        <v>43356.563999999998</v>
      </c>
      <c r="O57" s="1">
        <v>45853.519</v>
      </c>
      <c r="P57" s="1">
        <v>52393.864999999998</v>
      </c>
      <c r="Q57" s="1">
        <v>55615.322999999997</v>
      </c>
      <c r="R57" s="1">
        <v>50634.703999999998</v>
      </c>
      <c r="S57" s="1">
        <v>55052.114999999998</v>
      </c>
      <c r="T57" s="1">
        <v>57253.017999999996</v>
      </c>
      <c r="U57" s="1">
        <v>60306.14</v>
      </c>
      <c r="V57" s="1">
        <v>69801.160999999993</v>
      </c>
      <c r="W57" s="1">
        <v>72130.422999999995</v>
      </c>
      <c r="X57" s="1">
        <v>74523.842999999993</v>
      </c>
      <c r="Y57" s="1">
        <v>72931.252999999997</v>
      </c>
      <c r="Z57" s="1">
        <v>72565.402000000002</v>
      </c>
      <c r="AA57" s="1">
        <v>70332.910999999993</v>
      </c>
      <c r="AB57" s="1">
        <v>73049.731</v>
      </c>
      <c r="AC57" s="1">
        <v>74661.471999999994</v>
      </c>
    </row>
    <row r="58" spans="1:29" s="11" customFormat="1">
      <c r="A58" s="1" t="s">
        <v>97</v>
      </c>
      <c r="B58" s="1"/>
      <c r="C58" s="1"/>
      <c r="D58" s="1"/>
      <c r="E58" s="1"/>
      <c r="F58" s="42">
        <v>87535.933999999994</v>
      </c>
      <c r="G58" s="1"/>
      <c r="H58" s="1"/>
      <c r="I58" s="1">
        <v>105787.144</v>
      </c>
      <c r="J58" s="1"/>
      <c r="K58" s="1">
        <v>112421.26</v>
      </c>
      <c r="L58" s="1">
        <v>133650.56899999999</v>
      </c>
      <c r="M58" s="1">
        <v>148774.70199999999</v>
      </c>
      <c r="N58" s="1">
        <v>139941.17199999999</v>
      </c>
      <c r="O58" s="1">
        <v>136279.89499999999</v>
      </c>
      <c r="P58" s="1">
        <v>144277.78</v>
      </c>
      <c r="Q58" s="1">
        <v>158290.283</v>
      </c>
      <c r="R58" s="1">
        <v>173803.23</v>
      </c>
      <c r="S58" s="1">
        <v>187046.43599999999</v>
      </c>
      <c r="T58" s="1">
        <v>201794.07</v>
      </c>
      <c r="U58" s="1">
        <v>164573.33799999999</v>
      </c>
      <c r="V58" s="1">
        <v>219179.69699999999</v>
      </c>
      <c r="W58" s="1">
        <v>240325.46400000001</v>
      </c>
      <c r="X58" s="1">
        <v>263670.783</v>
      </c>
      <c r="Y58" s="1">
        <v>263439.37599999999</v>
      </c>
      <c r="Z58" s="1">
        <v>274538.65000000002</v>
      </c>
      <c r="AA58" s="1">
        <v>302358.641</v>
      </c>
      <c r="AB58" s="1">
        <v>321815.21399999998</v>
      </c>
      <c r="AC58" s="1">
        <v>326142.89899999998</v>
      </c>
    </row>
    <row r="59" spans="1:29">
      <c r="A59" s="1" t="s">
        <v>103</v>
      </c>
      <c r="F59" s="42">
        <v>20670.816999999999</v>
      </c>
      <c r="I59" s="1">
        <v>22711.082999999999</v>
      </c>
      <c r="K59" s="1">
        <v>24941.826000000001</v>
      </c>
      <c r="L59" s="1">
        <v>32141.991999999998</v>
      </c>
      <c r="M59" s="1">
        <v>34674.351000000002</v>
      </c>
      <c r="N59" s="1">
        <v>39624.887000000002</v>
      </c>
      <c r="O59" s="1">
        <v>44499.044000000002</v>
      </c>
      <c r="P59" s="1">
        <v>47097.821000000004</v>
      </c>
      <c r="Q59" s="1">
        <v>49937.61</v>
      </c>
      <c r="R59" s="1">
        <v>51359.046000000002</v>
      </c>
      <c r="S59" s="1">
        <v>49814.034</v>
      </c>
      <c r="T59" s="1">
        <v>55907.18</v>
      </c>
      <c r="U59" s="1">
        <v>55601.798999999999</v>
      </c>
      <c r="V59" s="1">
        <v>57095.92</v>
      </c>
      <c r="W59" s="1">
        <v>64471.156999999999</v>
      </c>
      <c r="X59" s="1">
        <v>66269.176999999996</v>
      </c>
      <c r="Y59" s="1">
        <v>69254.838000000003</v>
      </c>
      <c r="Z59" s="1">
        <v>71687.828999999998</v>
      </c>
      <c r="AA59" s="1">
        <v>80029.157999999996</v>
      </c>
      <c r="AB59" s="1">
        <v>87134.28</v>
      </c>
      <c r="AC59" s="1">
        <v>86859.856</v>
      </c>
    </row>
    <row r="60" spans="1:29">
      <c r="A60" s="1" t="s">
        <v>104</v>
      </c>
      <c r="F60" s="42">
        <v>59083.892999999996</v>
      </c>
      <c r="I60" s="1">
        <v>63362.021999999997</v>
      </c>
      <c r="K60" s="1">
        <v>124076.23299999999</v>
      </c>
      <c r="L60" s="1">
        <v>91320.05</v>
      </c>
      <c r="M60" s="1">
        <v>99256.020999999993</v>
      </c>
      <c r="N60" s="1">
        <v>106967.452</v>
      </c>
      <c r="O60" s="1">
        <v>118207.493</v>
      </c>
      <c r="P60" s="1">
        <v>125606.158</v>
      </c>
      <c r="Q60" s="1">
        <v>233835.17800000001</v>
      </c>
      <c r="R60" s="1">
        <v>240671.08199999999</v>
      </c>
      <c r="S60" s="1">
        <v>229111.30300000001</v>
      </c>
      <c r="T60" s="1">
        <v>251741.77299999999</v>
      </c>
      <c r="U60" s="1">
        <v>235857.3</v>
      </c>
      <c r="V60" s="1">
        <v>282401.25400000002</v>
      </c>
      <c r="W60" s="1">
        <v>296392.90899999999</v>
      </c>
      <c r="X60" s="1">
        <v>311475.18099999998</v>
      </c>
      <c r="Y60" s="1">
        <v>313360.39799999999</v>
      </c>
      <c r="Z60" s="1">
        <v>361070.07799999998</v>
      </c>
      <c r="AA60" s="1">
        <v>348455.19099999999</v>
      </c>
      <c r="AB60" s="1">
        <v>373707.88299999997</v>
      </c>
      <c r="AC60" s="1">
        <v>774660.32499999995</v>
      </c>
    </row>
    <row r="61" spans="1:29">
      <c r="A61" s="1" t="s">
        <v>106</v>
      </c>
      <c r="F61" s="42">
        <v>213357.83900000001</v>
      </c>
      <c r="I61" s="1">
        <v>246962.734</v>
      </c>
      <c r="K61" s="1">
        <v>308370.40500000003</v>
      </c>
      <c r="L61" s="1">
        <v>288841.78100000002</v>
      </c>
      <c r="M61" s="1">
        <v>352051.05599999998</v>
      </c>
      <c r="N61" s="1">
        <v>364556.16200000001</v>
      </c>
      <c r="O61" s="1">
        <v>323308.86800000002</v>
      </c>
      <c r="P61" s="1">
        <v>333372.33399999997</v>
      </c>
      <c r="Q61" s="1">
        <v>403170.71799999999</v>
      </c>
      <c r="R61" s="1">
        <v>388389.48200000002</v>
      </c>
      <c r="S61" s="1">
        <v>421987.37599999999</v>
      </c>
      <c r="T61" s="1">
        <v>460363.00099999999</v>
      </c>
      <c r="U61" s="1">
        <v>547291.61300000001</v>
      </c>
      <c r="V61" s="1">
        <v>814034.58600000001</v>
      </c>
      <c r="W61" s="1">
        <v>859021.97499999998</v>
      </c>
      <c r="X61" s="1">
        <v>856444.62</v>
      </c>
      <c r="Y61" s="1">
        <v>830127.45200000005</v>
      </c>
      <c r="Z61" s="1">
        <v>927836.91</v>
      </c>
      <c r="AA61" s="1">
        <v>920972.24199999997</v>
      </c>
      <c r="AB61" s="1">
        <v>1030415.706</v>
      </c>
      <c r="AC61" s="1">
        <v>1055834.5619999999</v>
      </c>
    </row>
    <row r="62" spans="1:29">
      <c r="A62" s="1" t="s">
        <v>110</v>
      </c>
      <c r="F62" s="42">
        <v>287376.27899999998</v>
      </c>
      <c r="I62" s="1">
        <v>328822.78999999998</v>
      </c>
      <c r="K62" s="1">
        <v>354750.14899999998</v>
      </c>
      <c r="L62" s="1">
        <v>423191.886</v>
      </c>
      <c r="M62" s="1">
        <v>388042.91499999998</v>
      </c>
      <c r="N62" s="1">
        <v>213991.92300000001</v>
      </c>
      <c r="O62" s="1">
        <v>124427.274</v>
      </c>
      <c r="P62" s="1">
        <v>122940.026</v>
      </c>
      <c r="Q62" s="1">
        <v>122576.11</v>
      </c>
      <c r="R62" s="1">
        <v>128391.04399999999</v>
      </c>
      <c r="S62" s="1">
        <v>141862.79699999999</v>
      </c>
      <c r="T62" s="1">
        <v>150381.25899999999</v>
      </c>
      <c r="U62" s="1">
        <v>165647.69200000001</v>
      </c>
      <c r="V62" s="1">
        <v>196857.11199999999</v>
      </c>
      <c r="W62" s="1">
        <v>189736.10200000001</v>
      </c>
      <c r="X62" s="1">
        <v>190328.01300000001</v>
      </c>
      <c r="Y62" s="1">
        <v>204683.875</v>
      </c>
      <c r="Z62" s="1">
        <v>206749.33</v>
      </c>
      <c r="AA62" s="1">
        <v>213659.245</v>
      </c>
      <c r="AB62" s="1">
        <v>219770.231</v>
      </c>
      <c r="AC62" s="1">
        <v>222580.397</v>
      </c>
    </row>
    <row r="63" spans="1:29">
      <c r="A63" s="1" t="s">
        <v>111</v>
      </c>
      <c r="F63" s="42">
        <v>27376.123</v>
      </c>
      <c r="I63" s="1">
        <v>27467.418000000001</v>
      </c>
      <c r="K63" s="1">
        <v>33196.620000000003</v>
      </c>
      <c r="L63" s="1">
        <v>40066.798000000003</v>
      </c>
      <c r="M63" s="1">
        <v>40884.786999999997</v>
      </c>
      <c r="N63" s="1">
        <v>37822.252</v>
      </c>
      <c r="O63" s="1">
        <v>45788.531000000003</v>
      </c>
      <c r="P63" s="1">
        <v>46204.372000000003</v>
      </c>
      <c r="Q63" s="1">
        <v>47148.233999999997</v>
      </c>
      <c r="R63" s="1">
        <v>47558.118999999999</v>
      </c>
      <c r="S63" s="1">
        <v>47251.438999999998</v>
      </c>
      <c r="T63" s="1">
        <v>46791.017999999996</v>
      </c>
      <c r="U63" s="1">
        <v>47143.148000000001</v>
      </c>
      <c r="V63" s="1">
        <v>55985.021000000001</v>
      </c>
      <c r="W63" s="1">
        <v>60258.432000000001</v>
      </c>
      <c r="X63" s="1">
        <v>60503.281999999999</v>
      </c>
      <c r="Y63" s="1">
        <v>64332.754999999997</v>
      </c>
      <c r="Z63" s="1">
        <v>62445.523999999998</v>
      </c>
      <c r="AA63" s="1">
        <v>63755.843999999997</v>
      </c>
      <c r="AB63" s="1">
        <v>67135.846999999994</v>
      </c>
      <c r="AC63" s="1">
        <v>74351.648000000001</v>
      </c>
    </row>
    <row r="64" spans="1:29">
      <c r="A64" s="24" t="s">
        <v>114</v>
      </c>
      <c r="B64" s="24"/>
      <c r="C64" s="24"/>
      <c r="D64" s="24"/>
      <c r="E64" s="24"/>
      <c r="F64" s="45">
        <v>21221.425999999999</v>
      </c>
      <c r="G64" s="24"/>
      <c r="H64" s="24"/>
      <c r="I64" s="24">
        <v>25862.93</v>
      </c>
      <c r="J64" s="24"/>
      <c r="K64" s="24">
        <v>29944.883000000002</v>
      </c>
      <c r="L64" s="24">
        <v>32748.419000000002</v>
      </c>
      <c r="M64" s="24">
        <v>37672.046000000002</v>
      </c>
      <c r="N64" s="24">
        <v>36779.165000000001</v>
      </c>
      <c r="O64" s="24">
        <v>27352.967000000001</v>
      </c>
      <c r="P64" s="24">
        <v>41231.85</v>
      </c>
      <c r="Q64" s="24">
        <v>42964.298999999999</v>
      </c>
      <c r="R64" s="24">
        <v>43260.446000000004</v>
      </c>
      <c r="S64" s="24">
        <v>49678.6</v>
      </c>
      <c r="T64" s="24">
        <v>60543.671999999999</v>
      </c>
      <c r="U64" s="24">
        <v>55668.968999999997</v>
      </c>
      <c r="V64" s="24">
        <v>71604.13</v>
      </c>
      <c r="W64" s="24">
        <v>74236.573999999993</v>
      </c>
      <c r="X64" s="24">
        <v>77740.691999999995</v>
      </c>
      <c r="Y64" s="24">
        <v>77035.438999999998</v>
      </c>
      <c r="Z64" s="24">
        <v>80067.870999999999</v>
      </c>
      <c r="AA64" s="24">
        <v>80944.172999999995</v>
      </c>
      <c r="AB64" s="24">
        <v>86504.691999999995</v>
      </c>
      <c r="AC64" s="24">
        <v>88519.683999999994</v>
      </c>
    </row>
    <row r="65" spans="1:29">
      <c r="A65" s="46" t="s">
        <v>90</v>
      </c>
      <c r="B65" s="46"/>
      <c r="C65" s="46"/>
      <c r="D65" s="46"/>
      <c r="E65" s="46"/>
      <c r="F65" s="47">
        <v>13934.57</v>
      </c>
      <c r="G65" s="46"/>
      <c r="H65" s="46"/>
      <c r="I65" s="46">
        <v>7098.1120000000001</v>
      </c>
      <c r="J65" s="46"/>
      <c r="K65" s="46">
        <v>8694.28442</v>
      </c>
      <c r="L65" s="46">
        <v>6263.732</v>
      </c>
      <c r="M65" s="46">
        <v>8620.3410000000003</v>
      </c>
      <c r="N65" s="46">
        <v>10363.549000000001</v>
      </c>
      <c r="O65" s="46">
        <v>10691.951999999999</v>
      </c>
      <c r="P65" s="46">
        <v>8399.3639999999996</v>
      </c>
      <c r="Q65" s="46">
        <v>11500.377</v>
      </c>
      <c r="R65" s="46">
        <v>17079.357</v>
      </c>
      <c r="S65" s="46">
        <v>14352.803</v>
      </c>
      <c r="T65" s="46">
        <v>20405.77</v>
      </c>
      <c r="U65" s="46">
        <v>15259.525</v>
      </c>
      <c r="V65" s="46">
        <v>20139</v>
      </c>
      <c r="W65" s="46">
        <v>24335.175999999999</v>
      </c>
      <c r="X65" s="24">
        <v>21022.454000000002</v>
      </c>
      <c r="Y65" s="24">
        <v>19975.754000000001</v>
      </c>
      <c r="Z65" s="24">
        <v>15360.365</v>
      </c>
      <c r="AA65" s="24">
        <v>18031.113000000001</v>
      </c>
      <c r="AB65" s="24">
        <v>18423.925999999999</v>
      </c>
      <c r="AC65" s="24">
        <v>19505.846000000001</v>
      </c>
    </row>
    <row r="67" spans="1:29">
      <c r="I67" s="20" t="s">
        <v>78</v>
      </c>
      <c r="J67" s="20" t="s">
        <v>76</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7">
    <tabColor theme="4" tint="0.39997558519241921"/>
  </sheetPr>
  <dimension ref="A1:AC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AA11" sqref="AA11"/>
    </sheetView>
  </sheetViews>
  <sheetFormatPr defaultColWidth="9.7109375" defaultRowHeight="12.75"/>
  <cols>
    <col min="1" max="1" width="23.42578125" style="44" customWidth="1"/>
    <col min="2" max="23" width="12.42578125" style="1" customWidth="1"/>
    <col min="24" max="58" width="10.7109375" style="1" customWidth="1"/>
    <col min="59" max="16384" width="9.7109375" style="1"/>
  </cols>
  <sheetData>
    <row r="1" spans="1:29">
      <c r="A1" s="7" t="s">
        <v>39</v>
      </c>
      <c r="B1"/>
      <c r="C1"/>
      <c r="D1" s="9"/>
      <c r="E1" s="9"/>
      <c r="F1" s="9"/>
      <c r="AA1" s="1">
        <v>1000</v>
      </c>
    </row>
    <row r="2" spans="1:29">
      <c r="A2" s="7"/>
      <c r="B2"/>
      <c r="C2"/>
      <c r="D2" s="9"/>
      <c r="E2" s="9"/>
    </row>
    <row r="3" spans="1:29">
      <c r="A3" s="7" t="s">
        <v>21</v>
      </c>
      <c r="B3"/>
      <c r="C3"/>
      <c r="D3" s="9"/>
      <c r="E3" s="9"/>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1">
        <v>723469</v>
      </c>
      <c r="C6" s="1">
        <v>807909</v>
      </c>
      <c r="D6" s="1">
        <v>877683</v>
      </c>
      <c r="E6" s="1">
        <v>1282874.9240000001</v>
      </c>
      <c r="F6" s="49">
        <f>+F7+F25+F40+F54+F65</f>
        <v>1270905.263</v>
      </c>
      <c r="G6" s="1">
        <v>1404989.3189999999</v>
      </c>
      <c r="H6" s="1">
        <v>1511754.71</v>
      </c>
      <c r="I6" s="49">
        <f>+I7+I25+I40+I54+I65</f>
        <v>1473756.7420000001</v>
      </c>
      <c r="J6" s="42">
        <v>1697514.9720000001</v>
      </c>
      <c r="K6" s="49">
        <f t="shared" ref="K6:U6" si="0">+K7+K25+K40+K54+K65</f>
        <v>1814678.9627100001</v>
      </c>
      <c r="L6" s="49">
        <f t="shared" si="0"/>
        <v>2149458.4669999997</v>
      </c>
      <c r="M6" s="49">
        <f t="shared" si="0"/>
        <v>2366005.9589999998</v>
      </c>
      <c r="N6" s="49">
        <f t="shared" si="0"/>
        <v>2380279.8299999996</v>
      </c>
      <c r="O6" s="49">
        <f t="shared" si="0"/>
        <v>2374682.5580000002</v>
      </c>
      <c r="P6" s="49">
        <f t="shared" si="0"/>
        <v>2429875.6870000004</v>
      </c>
      <c r="Q6" s="49">
        <f t="shared" si="0"/>
        <v>2749206.4210000006</v>
      </c>
      <c r="R6" s="49">
        <f t="shared" si="0"/>
        <v>2927585.6189999999</v>
      </c>
      <c r="S6" s="49">
        <f t="shared" si="0"/>
        <v>3120586.7050000001</v>
      </c>
      <c r="T6" s="49">
        <f t="shared" si="0"/>
        <v>3458789.45</v>
      </c>
      <c r="U6" s="49">
        <f t="shared" si="0"/>
        <v>3824576.8890000004</v>
      </c>
      <c r="V6" s="49">
        <f t="shared" ref="V6:W6" si="1">+V7+V25+V40+V54+V65</f>
        <v>4484811.835</v>
      </c>
      <c r="W6" s="49">
        <f t="shared" si="1"/>
        <v>4683027.3389999997</v>
      </c>
      <c r="X6" s="49">
        <f t="shared" ref="X6:Y6" si="2">+X7+X25+X40+X54+X65</f>
        <v>4767651.6579999998</v>
      </c>
      <c r="Y6" s="49">
        <f t="shared" si="2"/>
        <v>4202189.9909999995</v>
      </c>
      <c r="Z6" s="49">
        <f t="shared" ref="Z6:AA6" si="3">+Z7+Z25+Z40+Z54+Z65</f>
        <v>4426522.6969999997</v>
      </c>
      <c r="AA6" s="49">
        <f t="shared" si="3"/>
        <v>4524773.4339999994</v>
      </c>
      <c r="AB6" s="49">
        <f t="shared" ref="AB6:AC6" si="4">+AB7+AB25+AB40+AB54+AB65</f>
        <v>5326502.7149999999</v>
      </c>
      <c r="AC6" s="49">
        <f t="shared" si="4"/>
        <v>5314200.0719999997</v>
      </c>
    </row>
    <row r="7" spans="1:29">
      <c r="A7" s="1" t="s">
        <v>56</v>
      </c>
      <c r="B7" s="48">
        <f>SUM(B8:B24)</f>
        <v>233746</v>
      </c>
      <c r="C7" s="48">
        <f t="shared" ref="C7:U7" si="5">SUM(C8:C24)</f>
        <v>260723</v>
      </c>
      <c r="D7" s="48">
        <f t="shared" si="5"/>
        <v>273381</v>
      </c>
      <c r="E7" s="48">
        <f t="shared" si="5"/>
        <v>413402.60800000007</v>
      </c>
      <c r="F7" s="48">
        <f t="shared" si="5"/>
        <v>409758.82700000005</v>
      </c>
      <c r="G7" s="48">
        <f t="shared" si="5"/>
        <v>447806.02800000005</v>
      </c>
      <c r="H7" s="48">
        <f t="shared" si="5"/>
        <v>477158.64000000007</v>
      </c>
      <c r="I7" s="48">
        <f t="shared" si="5"/>
        <v>495889.55800000002</v>
      </c>
      <c r="J7" s="48">
        <f t="shared" si="5"/>
        <v>516749.39699999994</v>
      </c>
      <c r="K7" s="48">
        <f t="shared" si="5"/>
        <v>541724.03960000002</v>
      </c>
      <c r="L7" s="48">
        <f t="shared" si="5"/>
        <v>723109.429</v>
      </c>
      <c r="M7" s="48">
        <f t="shared" si="5"/>
        <v>812216.71000000008</v>
      </c>
      <c r="N7" s="48">
        <f t="shared" si="5"/>
        <v>795887.21199999994</v>
      </c>
      <c r="O7" s="48">
        <f t="shared" si="5"/>
        <v>792737.23400000005</v>
      </c>
      <c r="P7" s="48">
        <f t="shared" si="5"/>
        <v>822907.853</v>
      </c>
      <c r="Q7" s="48">
        <f t="shared" si="5"/>
        <v>928484.49599999993</v>
      </c>
      <c r="R7" s="48">
        <f t="shared" si="5"/>
        <v>972901.00399999996</v>
      </c>
      <c r="S7" s="48">
        <f t="shared" si="5"/>
        <v>1061781.0780000002</v>
      </c>
      <c r="T7" s="48">
        <f t="shared" si="5"/>
        <v>1185410.7760000001</v>
      </c>
      <c r="U7" s="48">
        <f t="shared" si="5"/>
        <v>1306165.7520000001</v>
      </c>
      <c r="V7" s="48">
        <f t="shared" ref="V7:W7" si="6">SUM(V8:V24)</f>
        <v>1551355.3779999998</v>
      </c>
      <c r="W7" s="48">
        <f t="shared" si="6"/>
        <v>1637863.4310000001</v>
      </c>
      <c r="X7" s="48">
        <f t="shared" ref="X7:Y7" si="7">SUM(X8:X24)</f>
        <v>1699001.76</v>
      </c>
      <c r="Y7" s="48">
        <f t="shared" si="7"/>
        <v>1635565.5</v>
      </c>
      <c r="Z7" s="48">
        <f t="shared" ref="Z7:AA7" si="8">SUM(Z8:Z24)</f>
        <v>1719791.3799999997</v>
      </c>
      <c r="AA7" s="48">
        <f t="shared" si="8"/>
        <v>1760151.4029999999</v>
      </c>
      <c r="AB7" s="48">
        <f t="shared" ref="AB7:AC7" si="9">SUM(AB8:AB24)</f>
        <v>1867188.4790000005</v>
      </c>
      <c r="AC7" s="48">
        <f t="shared" si="9"/>
        <v>1780045.9450000001</v>
      </c>
    </row>
    <row r="8" spans="1:29">
      <c r="A8" s="7" t="s">
        <v>119</v>
      </c>
    </row>
    <row r="9" spans="1:29">
      <c r="A9" s="1" t="s">
        <v>3</v>
      </c>
      <c r="B9" s="1">
        <v>8112</v>
      </c>
      <c r="C9" s="1">
        <v>9751</v>
      </c>
      <c r="D9" s="1">
        <v>11423</v>
      </c>
      <c r="E9" s="1">
        <v>18661.806</v>
      </c>
      <c r="F9" s="42">
        <v>19255.021000000001</v>
      </c>
      <c r="G9" s="1">
        <v>20891.671999999999</v>
      </c>
      <c r="H9" s="1">
        <v>24724.179</v>
      </c>
      <c r="I9" s="1">
        <v>24621.824000000001</v>
      </c>
      <c r="J9" s="1">
        <v>25682.516</v>
      </c>
      <c r="K9" s="1">
        <v>24202.017340000002</v>
      </c>
      <c r="L9" s="1">
        <v>29925.612000000001</v>
      </c>
      <c r="M9" s="1">
        <v>29509.546999999999</v>
      </c>
      <c r="N9" s="1">
        <v>30657.383000000002</v>
      </c>
      <c r="O9" s="1">
        <v>33065.667000000001</v>
      </c>
      <c r="P9" s="1">
        <v>32608.353999999999</v>
      </c>
      <c r="Q9" s="1">
        <v>37107.173000000003</v>
      </c>
      <c r="R9" s="1">
        <v>41556.881000000001</v>
      </c>
      <c r="S9" s="1">
        <v>43384.982000000004</v>
      </c>
      <c r="T9" s="1">
        <v>55168.025999999998</v>
      </c>
      <c r="U9" s="1">
        <v>50903.088000000003</v>
      </c>
      <c r="V9" s="1">
        <v>53968.425000000003</v>
      </c>
      <c r="W9" s="1">
        <v>56528.311000000002</v>
      </c>
      <c r="X9" s="1">
        <v>55633.959000000003</v>
      </c>
      <c r="Y9" s="1">
        <v>53350.622000000003</v>
      </c>
      <c r="Z9" s="1">
        <v>54008.436999999998</v>
      </c>
      <c r="AA9" s="1">
        <v>55048.275999999998</v>
      </c>
      <c r="AB9" s="1">
        <v>54322.523000000001</v>
      </c>
      <c r="AC9" s="1">
        <v>50095.673999999999</v>
      </c>
    </row>
    <row r="10" spans="1:29">
      <c r="A10" s="1" t="s">
        <v>4</v>
      </c>
      <c r="B10" s="1">
        <v>2342</v>
      </c>
      <c r="C10" s="1">
        <v>2341</v>
      </c>
      <c r="D10" s="1">
        <v>2879</v>
      </c>
      <c r="E10" s="1">
        <v>4050.1280000000002</v>
      </c>
      <c r="F10" s="42">
        <v>4826.3249999999998</v>
      </c>
      <c r="G10" s="1">
        <v>6002.9949999999999</v>
      </c>
      <c r="H10" s="1">
        <v>7219.165</v>
      </c>
      <c r="I10" s="1">
        <v>7945.1790000000001</v>
      </c>
      <c r="J10" s="1">
        <v>11368.378000000001</v>
      </c>
      <c r="K10" s="1">
        <v>9002.8089999999993</v>
      </c>
      <c r="L10" s="1">
        <v>13949.358</v>
      </c>
      <c r="M10" s="1">
        <v>13891.097</v>
      </c>
      <c r="N10" s="1">
        <v>12797.224</v>
      </c>
      <c r="O10" s="1">
        <v>14385.51</v>
      </c>
      <c r="P10" s="1">
        <v>15991.227999999999</v>
      </c>
      <c r="Q10" s="1">
        <v>16934.964</v>
      </c>
      <c r="R10" s="1">
        <v>20533.093000000001</v>
      </c>
      <c r="S10" s="1">
        <v>27695.73</v>
      </c>
      <c r="T10" s="1">
        <v>32752.207999999999</v>
      </c>
      <c r="U10" s="1">
        <v>31094.079000000002</v>
      </c>
      <c r="V10" s="1">
        <v>38430.735000000001</v>
      </c>
      <c r="W10" s="1">
        <v>42452.606</v>
      </c>
      <c r="X10" s="1">
        <v>42660.728999999999</v>
      </c>
      <c r="Y10" s="1">
        <v>42549.656999999999</v>
      </c>
      <c r="Z10" s="1">
        <v>42725.209000000003</v>
      </c>
      <c r="AA10" s="1">
        <v>42177.461000000003</v>
      </c>
      <c r="AB10" s="1">
        <v>42931.004000000001</v>
      </c>
      <c r="AC10" s="1">
        <v>42040.139000000003</v>
      </c>
    </row>
    <row r="11" spans="1:29">
      <c r="A11" s="1" t="s">
        <v>52</v>
      </c>
      <c r="D11" s="1">
        <v>2358</v>
      </c>
      <c r="E11" s="1">
        <v>2665.6529999999998</v>
      </c>
      <c r="F11" s="42">
        <v>3072.8679999999999</v>
      </c>
      <c r="I11" s="1">
        <v>14266.812</v>
      </c>
      <c r="J11" s="1">
        <v>4802.9179999999997</v>
      </c>
      <c r="K11" s="1">
        <v>2983.067</v>
      </c>
      <c r="L11" s="1">
        <v>6596.259</v>
      </c>
      <c r="M11" s="1">
        <v>7048.6850000000004</v>
      </c>
      <c r="N11" s="1">
        <v>7735.53</v>
      </c>
      <c r="O11" s="1">
        <v>7829.3249999999998</v>
      </c>
      <c r="P11" s="1">
        <v>9404.8040000000001</v>
      </c>
      <c r="Q11" s="1">
        <v>10433.699000000001</v>
      </c>
      <c r="R11" s="1">
        <v>13072.611999999999</v>
      </c>
      <c r="S11" s="1">
        <v>12114.79</v>
      </c>
      <c r="T11" s="1">
        <v>13781.062</v>
      </c>
      <c r="U11" s="1">
        <v>13261.933000000001</v>
      </c>
      <c r="V11" s="1">
        <v>15294.665999999999</v>
      </c>
      <c r="W11" s="1">
        <v>15946.456</v>
      </c>
      <c r="X11" s="1">
        <v>16478.905999999999</v>
      </c>
      <c r="Y11" s="1">
        <v>16740.809000000001</v>
      </c>
      <c r="Z11" s="1">
        <v>17302.196</v>
      </c>
      <c r="AA11" s="1">
        <v>18131.383999999998</v>
      </c>
      <c r="AB11" s="1">
        <v>19680.231</v>
      </c>
      <c r="AC11" s="1">
        <v>18362.863000000001</v>
      </c>
    </row>
    <row r="12" spans="1:29">
      <c r="A12" s="1" t="s">
        <v>5</v>
      </c>
      <c r="B12" s="1">
        <v>49859</v>
      </c>
      <c r="C12" s="1">
        <v>53239</v>
      </c>
      <c r="D12" s="1">
        <v>52443</v>
      </c>
      <c r="E12" s="1">
        <v>86919.387000000002</v>
      </c>
      <c r="F12" s="42">
        <v>84178.3</v>
      </c>
      <c r="G12" s="1">
        <v>90626.887000000002</v>
      </c>
      <c r="H12" s="1">
        <v>95425.203999999998</v>
      </c>
      <c r="I12" s="1">
        <v>98303.513999999996</v>
      </c>
      <c r="J12" s="1">
        <v>96432.672000000006</v>
      </c>
      <c r="K12" s="1">
        <v>105204.291</v>
      </c>
      <c r="L12" s="1">
        <v>167378.92000000001</v>
      </c>
      <c r="M12" s="1">
        <v>184087.22899999999</v>
      </c>
      <c r="N12" s="1">
        <v>167360.65900000001</v>
      </c>
      <c r="O12" s="1">
        <v>138188.39199999999</v>
      </c>
      <c r="P12" s="1">
        <v>144829.503</v>
      </c>
      <c r="Q12" s="1">
        <v>148685.61600000001</v>
      </c>
      <c r="R12" s="1">
        <v>148820.25399999999</v>
      </c>
      <c r="S12" s="1">
        <v>188005.87299999999</v>
      </c>
      <c r="T12" s="1">
        <v>189928.29199999999</v>
      </c>
      <c r="U12" s="1">
        <v>294482.65299999999</v>
      </c>
      <c r="V12" s="1">
        <v>302905.16499999998</v>
      </c>
      <c r="W12" s="1">
        <v>323565.18599999999</v>
      </c>
      <c r="X12" s="1">
        <v>324112.60700000002</v>
      </c>
      <c r="Y12" s="1">
        <v>315270.11599999998</v>
      </c>
      <c r="Z12" s="1">
        <v>329215.891</v>
      </c>
      <c r="AA12" s="1">
        <v>328119.67700000003</v>
      </c>
      <c r="AB12" s="1">
        <v>355276.13699999999</v>
      </c>
      <c r="AC12" s="1">
        <v>345911.076</v>
      </c>
    </row>
    <row r="13" spans="1:29">
      <c r="A13" s="1" t="s">
        <v>6</v>
      </c>
      <c r="B13" s="1">
        <v>7215</v>
      </c>
      <c r="C13" s="1">
        <v>7622</v>
      </c>
      <c r="D13" s="1">
        <v>8981</v>
      </c>
      <c r="E13" s="1">
        <v>18700.11</v>
      </c>
      <c r="F13" s="42">
        <v>22361.804</v>
      </c>
      <c r="G13" s="1">
        <v>25611.727999999999</v>
      </c>
      <c r="H13" s="1">
        <v>27971.157999999999</v>
      </c>
      <c r="I13" s="1">
        <v>31368.505000000001</v>
      </c>
      <c r="J13" s="1">
        <v>27695.501</v>
      </c>
      <c r="K13" s="1">
        <v>27843.239659999996</v>
      </c>
      <c r="L13" s="1">
        <v>59916.260999999999</v>
      </c>
      <c r="M13" s="1">
        <v>66038.625</v>
      </c>
      <c r="N13" s="1">
        <v>77656.034</v>
      </c>
      <c r="O13" s="1">
        <v>76004.274999999994</v>
      </c>
      <c r="P13" s="1">
        <v>77034.732000000004</v>
      </c>
      <c r="Q13" s="1">
        <v>80034.547000000006</v>
      </c>
      <c r="R13" s="1">
        <v>84192.566000000006</v>
      </c>
      <c r="S13" s="1">
        <v>80874.418000000005</v>
      </c>
      <c r="T13" s="1">
        <v>87985.241999999998</v>
      </c>
      <c r="U13" s="1">
        <v>38119.809000000001</v>
      </c>
      <c r="V13" s="1">
        <v>122394.262</v>
      </c>
      <c r="W13" s="1">
        <v>130313.59699999999</v>
      </c>
      <c r="X13" s="1">
        <v>152981.70000000001</v>
      </c>
      <c r="Y13" s="1">
        <v>41369.398000000001</v>
      </c>
      <c r="Z13" s="1">
        <v>51738.485999999997</v>
      </c>
      <c r="AA13" s="1">
        <v>54113.368000000002</v>
      </c>
      <c r="AB13" s="1">
        <v>135917.27600000001</v>
      </c>
      <c r="AC13" s="1">
        <v>42966.002999999997</v>
      </c>
    </row>
    <row r="14" spans="1:29">
      <c r="A14" s="1" t="s">
        <v>7</v>
      </c>
      <c r="B14" s="1">
        <v>3699</v>
      </c>
      <c r="C14" s="1">
        <v>6636</v>
      </c>
      <c r="D14" s="1">
        <v>5026</v>
      </c>
      <c r="E14" s="1">
        <v>8156.0370000000003</v>
      </c>
      <c r="F14" s="42">
        <v>7504.7719999999999</v>
      </c>
      <c r="G14" s="1">
        <v>7734.3069999999998</v>
      </c>
      <c r="H14" s="1">
        <v>8469.2819999999992</v>
      </c>
      <c r="I14" s="1">
        <v>9822.14</v>
      </c>
      <c r="J14" s="1">
        <v>9736.5059999999994</v>
      </c>
      <c r="K14" s="1">
        <v>12574.549000000001</v>
      </c>
      <c r="L14" s="1">
        <v>24085.136999999999</v>
      </c>
      <c r="M14" s="1">
        <v>23480.474999999999</v>
      </c>
      <c r="N14" s="1">
        <v>1662.7719999999999</v>
      </c>
      <c r="O14" s="1">
        <v>1992.441</v>
      </c>
      <c r="P14" s="1">
        <v>2247.2280000000001</v>
      </c>
      <c r="Q14" s="1">
        <v>24554.969000000001</v>
      </c>
      <c r="R14" s="1">
        <v>24911.06</v>
      </c>
      <c r="S14" s="1">
        <v>29121.296999999999</v>
      </c>
      <c r="T14" s="1">
        <v>37733.042999999998</v>
      </c>
      <c r="U14" s="1">
        <v>33267.61</v>
      </c>
      <c r="V14" s="1">
        <v>40515.999000000003</v>
      </c>
      <c r="W14" s="1">
        <v>41096.800999999999</v>
      </c>
      <c r="X14" s="1">
        <v>44471.597000000002</v>
      </c>
      <c r="Y14" s="1">
        <v>42795.264000000003</v>
      </c>
      <c r="Z14" s="1">
        <v>38274.177000000003</v>
      </c>
      <c r="AA14" s="1">
        <v>39928.137999999999</v>
      </c>
      <c r="AB14" s="1">
        <v>37942.904999999999</v>
      </c>
      <c r="AC14" s="1">
        <v>30565.213</v>
      </c>
    </row>
    <row r="15" spans="1:29">
      <c r="A15" s="1" t="s">
        <v>8</v>
      </c>
      <c r="B15" s="1">
        <v>3717</v>
      </c>
      <c r="C15" s="1">
        <v>4126</v>
      </c>
      <c r="D15" s="1">
        <v>4050</v>
      </c>
      <c r="E15" s="1">
        <v>5047.2039999999997</v>
      </c>
      <c r="F15" s="42">
        <v>5644.6220000000003</v>
      </c>
      <c r="G15" s="1">
        <v>6194.2120000000004</v>
      </c>
      <c r="H15" s="1">
        <v>7176.9030000000002</v>
      </c>
      <c r="I15" s="1">
        <v>5786.4690000000001</v>
      </c>
      <c r="J15" s="1">
        <v>8768.2860000000001</v>
      </c>
      <c r="K15" s="1">
        <v>7899.1095300000015</v>
      </c>
      <c r="L15" s="1">
        <v>7409.2439999999997</v>
      </c>
      <c r="M15" s="1">
        <v>8251.8050000000003</v>
      </c>
      <c r="N15" s="1">
        <v>8026.4120000000003</v>
      </c>
      <c r="O15" s="1">
        <v>11160.331</v>
      </c>
      <c r="P15" s="1">
        <v>13986.7</v>
      </c>
      <c r="Q15" s="1">
        <v>16334.069</v>
      </c>
      <c r="R15" s="1">
        <v>15437.541999999999</v>
      </c>
      <c r="S15" s="1">
        <v>22492.34</v>
      </c>
      <c r="T15" s="1">
        <v>27795.853999999999</v>
      </c>
      <c r="U15" s="1">
        <v>22027.843000000001</v>
      </c>
      <c r="V15" s="1">
        <v>29562.218000000001</v>
      </c>
      <c r="W15" s="1">
        <v>28882.26</v>
      </c>
      <c r="X15" s="1">
        <v>35392.410000000003</v>
      </c>
      <c r="Y15" s="1">
        <v>26025.272000000001</v>
      </c>
      <c r="Z15" s="1">
        <v>28239.217000000001</v>
      </c>
      <c r="AA15" s="1">
        <v>27634.182000000001</v>
      </c>
      <c r="AB15" s="1">
        <v>34937.303</v>
      </c>
      <c r="AC15" s="1">
        <v>30276.001</v>
      </c>
    </row>
    <row r="16" spans="1:29">
      <c r="A16" s="1" t="s">
        <v>9</v>
      </c>
      <c r="B16" s="1">
        <v>15531</v>
      </c>
      <c r="C16" s="1">
        <v>15274</v>
      </c>
      <c r="D16" s="1">
        <v>17076</v>
      </c>
      <c r="E16" s="1">
        <v>36085.618000000002</v>
      </c>
      <c r="F16" s="42">
        <v>28905.038</v>
      </c>
      <c r="G16" s="1">
        <v>35828.383000000002</v>
      </c>
      <c r="H16" s="1">
        <v>38905.374000000003</v>
      </c>
      <c r="I16" s="1">
        <v>31981.805</v>
      </c>
      <c r="J16" s="1">
        <v>41435.317999999999</v>
      </c>
      <c r="K16" s="1">
        <v>41926.995999999999</v>
      </c>
      <c r="L16" s="1">
        <v>58794.485000000001</v>
      </c>
      <c r="M16" s="1">
        <v>64120.141000000003</v>
      </c>
      <c r="N16" s="1">
        <v>66912.713000000003</v>
      </c>
      <c r="O16" s="1">
        <v>74241.164999999994</v>
      </c>
      <c r="P16" s="1">
        <v>76990.653999999995</v>
      </c>
      <c r="Q16" s="1">
        <v>82490.076000000001</v>
      </c>
      <c r="R16" s="1">
        <v>86932.294999999998</v>
      </c>
      <c r="S16" s="1">
        <v>92332.861000000004</v>
      </c>
      <c r="T16" s="1">
        <v>99015.491999999998</v>
      </c>
      <c r="U16" s="1">
        <v>114680.435</v>
      </c>
      <c r="V16" s="1">
        <v>119288.52899999999</v>
      </c>
      <c r="W16" s="1">
        <v>119327.614</v>
      </c>
      <c r="X16" s="1">
        <v>124740.783</v>
      </c>
      <c r="Y16" s="1">
        <v>141541.679</v>
      </c>
      <c r="Z16" s="1">
        <v>152527.698</v>
      </c>
      <c r="AA16" s="1">
        <v>160397.72399999999</v>
      </c>
      <c r="AB16" s="1">
        <v>164893.70699999999</v>
      </c>
      <c r="AC16" s="1">
        <v>163525.72</v>
      </c>
    </row>
    <row r="17" spans="1:29">
      <c r="A17" s="1" t="s">
        <v>10</v>
      </c>
      <c r="B17" s="1">
        <v>4868</v>
      </c>
      <c r="C17" s="1">
        <v>6252</v>
      </c>
      <c r="D17" s="1">
        <v>5767</v>
      </c>
      <c r="E17" s="1">
        <v>8446.1029999999992</v>
      </c>
      <c r="F17" s="42">
        <v>8217.98</v>
      </c>
      <c r="G17" s="1">
        <v>9512.9279999999999</v>
      </c>
      <c r="H17" s="1">
        <v>10299.616</v>
      </c>
      <c r="I17" s="1">
        <v>14210.583000000001</v>
      </c>
      <c r="J17" s="1">
        <v>12929.982</v>
      </c>
      <c r="K17" s="1">
        <v>13675.582</v>
      </c>
      <c r="L17" s="1">
        <v>15273.221</v>
      </c>
      <c r="M17" s="1">
        <v>16447.307000000001</v>
      </c>
      <c r="N17" s="1">
        <v>15261.788</v>
      </c>
      <c r="O17" s="1">
        <v>15540.165999999999</v>
      </c>
      <c r="P17" s="1">
        <v>15478.501</v>
      </c>
      <c r="Q17" s="1">
        <v>15661.11</v>
      </c>
      <c r="R17" s="1">
        <v>17186.883000000002</v>
      </c>
      <c r="S17" s="1">
        <v>17168.814999999999</v>
      </c>
      <c r="T17" s="1">
        <v>18950.378000000001</v>
      </c>
      <c r="U17" s="1">
        <v>20547.839</v>
      </c>
      <c r="V17" s="1">
        <v>21852.213</v>
      </c>
      <c r="W17" s="1">
        <v>21802.030999999999</v>
      </c>
      <c r="X17" s="1">
        <v>21361.636999999999</v>
      </c>
      <c r="Y17" s="1">
        <v>23193.536</v>
      </c>
      <c r="Z17" s="1">
        <v>23497.49</v>
      </c>
      <c r="AA17" s="1">
        <v>21537.998</v>
      </c>
      <c r="AB17" s="1">
        <v>22748.554</v>
      </c>
      <c r="AC17" s="1">
        <v>23240.402999999998</v>
      </c>
    </row>
    <row r="18" spans="1:29">
      <c r="A18" s="1" t="s">
        <v>11</v>
      </c>
      <c r="B18" s="1">
        <v>29174</v>
      </c>
      <c r="C18" s="1">
        <v>32550</v>
      </c>
      <c r="D18" s="1">
        <v>32516</v>
      </c>
      <c r="E18" s="1">
        <v>46644.834000000003</v>
      </c>
      <c r="F18" s="42">
        <v>46654.235000000001</v>
      </c>
      <c r="G18" s="1">
        <v>48695.752999999997</v>
      </c>
      <c r="H18" s="1">
        <v>48419.184000000001</v>
      </c>
      <c r="I18" s="1">
        <v>48765.784</v>
      </c>
      <c r="J18" s="1">
        <v>50349.347999999998</v>
      </c>
      <c r="K18" s="1">
        <v>51186.338419999985</v>
      </c>
      <c r="L18" s="1">
        <v>49726.525999999998</v>
      </c>
      <c r="M18" s="1">
        <v>77707.482000000004</v>
      </c>
      <c r="N18" s="1">
        <v>77075.967999999993</v>
      </c>
      <c r="O18" s="1">
        <v>82461.239000000001</v>
      </c>
      <c r="P18" s="1">
        <v>93476.436000000002</v>
      </c>
      <c r="Q18" s="1">
        <v>102509.00199999999</v>
      </c>
      <c r="R18" s="1">
        <v>114226.417</v>
      </c>
      <c r="S18" s="1">
        <v>117204.155</v>
      </c>
      <c r="T18" s="1">
        <v>127055.292</v>
      </c>
      <c r="U18" s="1">
        <v>131856.87100000001</v>
      </c>
      <c r="V18" s="1">
        <v>141324.31099999999</v>
      </c>
      <c r="W18" s="1">
        <v>161047.75899999999</v>
      </c>
      <c r="X18" s="1">
        <v>175281.42199999999</v>
      </c>
      <c r="Y18" s="1">
        <v>185508.91800000001</v>
      </c>
      <c r="Z18" s="1">
        <v>188231.84599999999</v>
      </c>
      <c r="AA18" s="1">
        <v>193507.03700000001</v>
      </c>
      <c r="AB18" s="1">
        <v>190672.68799999999</v>
      </c>
      <c r="AC18" s="1">
        <v>200641.34299999999</v>
      </c>
    </row>
    <row r="19" spans="1:29">
      <c r="A19" s="1" t="s">
        <v>12</v>
      </c>
      <c r="B19" s="1">
        <v>5867</v>
      </c>
      <c r="C19" s="1">
        <v>6108</v>
      </c>
      <c r="D19" s="1">
        <v>6669</v>
      </c>
      <c r="E19" s="1">
        <v>11722.385</v>
      </c>
      <c r="F19" s="42">
        <v>12710.26</v>
      </c>
      <c r="G19" s="1">
        <v>13069.484</v>
      </c>
      <c r="H19" s="1">
        <v>14094.874</v>
      </c>
      <c r="I19" s="1">
        <v>15408.081</v>
      </c>
      <c r="J19" s="1">
        <v>16069.343000000001</v>
      </c>
      <c r="K19" s="1">
        <v>17985.523819999991</v>
      </c>
      <c r="L19" s="1">
        <v>22529.392</v>
      </c>
      <c r="M19" s="1">
        <v>24740.460999999999</v>
      </c>
      <c r="N19" s="1">
        <v>19143.871999999999</v>
      </c>
      <c r="O19" s="1">
        <v>15838.089</v>
      </c>
      <c r="P19" s="1">
        <v>15453.49</v>
      </c>
      <c r="Q19" s="1">
        <v>18063.945</v>
      </c>
      <c r="R19" s="1">
        <v>16805.438999999998</v>
      </c>
      <c r="S19" s="1">
        <v>17146.282999999999</v>
      </c>
      <c r="T19" s="1">
        <v>21107.205000000002</v>
      </c>
      <c r="U19" s="1">
        <v>26196.289000000001</v>
      </c>
      <c r="V19" s="1">
        <v>28589.976999999999</v>
      </c>
      <c r="W19" s="1">
        <v>29179.491999999998</v>
      </c>
      <c r="X19" s="1">
        <v>31564.276000000002</v>
      </c>
      <c r="Y19" s="1">
        <v>32277.665000000001</v>
      </c>
      <c r="Z19" s="1">
        <v>37585.692999999999</v>
      </c>
      <c r="AA19" s="1">
        <v>57656.182999999997</v>
      </c>
      <c r="AB19" s="1">
        <v>53209.04</v>
      </c>
      <c r="AC19" s="1">
        <v>46461.449000000001</v>
      </c>
    </row>
    <row r="20" spans="1:29">
      <c r="A20" s="1" t="s">
        <v>13</v>
      </c>
      <c r="B20" s="1">
        <v>9189</v>
      </c>
      <c r="C20" s="1">
        <v>12370</v>
      </c>
      <c r="D20" s="1">
        <v>12914</v>
      </c>
      <c r="E20" s="1">
        <v>24044.805</v>
      </c>
      <c r="F20" s="42">
        <v>26676.581999999999</v>
      </c>
      <c r="G20" s="1">
        <v>29167.585999999999</v>
      </c>
      <c r="H20" s="1">
        <v>27445.682000000001</v>
      </c>
      <c r="I20" s="1">
        <v>27778.989000000001</v>
      </c>
      <c r="J20" s="1">
        <v>28767.556</v>
      </c>
      <c r="K20" s="1">
        <v>35093.510999999999</v>
      </c>
      <c r="L20" s="1">
        <v>45349.872000000003</v>
      </c>
      <c r="M20" s="1">
        <v>48136.870999999999</v>
      </c>
      <c r="N20" s="1">
        <v>52840.790999999997</v>
      </c>
      <c r="O20" s="1">
        <v>54041.108999999997</v>
      </c>
      <c r="P20" s="1">
        <v>52557.055999999997</v>
      </c>
      <c r="Q20" s="1">
        <v>58937.629000000001</v>
      </c>
      <c r="R20" s="1">
        <v>57151.12</v>
      </c>
      <c r="S20" s="1">
        <v>58930.146999999997</v>
      </c>
      <c r="T20" s="1">
        <v>71083.997000000003</v>
      </c>
      <c r="U20" s="1">
        <v>74949.198000000004</v>
      </c>
      <c r="V20" s="1">
        <v>75782.892000000007</v>
      </c>
      <c r="W20" s="1">
        <v>78185.58</v>
      </c>
      <c r="X20" s="1">
        <v>75893.107000000004</v>
      </c>
      <c r="Y20" s="1">
        <v>80305.555999999997</v>
      </c>
      <c r="Z20" s="1">
        <v>87416.134999999995</v>
      </c>
      <c r="AA20" s="1">
        <v>86200.683999999994</v>
      </c>
      <c r="AB20" s="1">
        <v>77698.241999999998</v>
      </c>
      <c r="AC20" s="1">
        <v>85847.823999999993</v>
      </c>
    </row>
    <row r="21" spans="1:29" s="11" customFormat="1">
      <c r="A21" s="1" t="s">
        <v>14</v>
      </c>
      <c r="B21" s="1">
        <v>7702</v>
      </c>
      <c r="C21" s="1">
        <v>9149</v>
      </c>
      <c r="D21" s="1">
        <v>10623</v>
      </c>
      <c r="E21" s="1">
        <v>12985.825000000001</v>
      </c>
      <c r="F21" s="42">
        <v>12540.782999999999</v>
      </c>
      <c r="G21" s="1">
        <v>15306.305</v>
      </c>
      <c r="H21" s="1">
        <v>18309.417000000001</v>
      </c>
      <c r="I21" s="1">
        <v>20788.677</v>
      </c>
      <c r="J21" s="1">
        <v>20854.876</v>
      </c>
      <c r="K21" s="1">
        <v>20859.400000000001</v>
      </c>
      <c r="L21" s="1">
        <v>20125.994999999999</v>
      </c>
      <c r="M21" s="1">
        <v>22091.134999999998</v>
      </c>
      <c r="N21" s="1">
        <v>27849.212</v>
      </c>
      <c r="O21" s="1">
        <v>30169.088</v>
      </c>
      <c r="P21" s="1">
        <v>29730.597000000002</v>
      </c>
      <c r="Q21" s="1">
        <v>32076.873</v>
      </c>
      <c r="R21" s="1">
        <v>34883.224999999999</v>
      </c>
      <c r="S21" s="1">
        <v>36490.563999999998</v>
      </c>
      <c r="T21" s="1">
        <v>39741.445</v>
      </c>
      <c r="U21" s="1">
        <v>44659.406000000003</v>
      </c>
      <c r="V21" s="1">
        <v>50656.144</v>
      </c>
      <c r="W21" s="1">
        <v>58599.031999999999</v>
      </c>
      <c r="X21" s="1">
        <v>57993.483</v>
      </c>
      <c r="Y21" s="1">
        <v>62617.267999999996</v>
      </c>
      <c r="Z21" s="1">
        <v>62052.955000000002</v>
      </c>
      <c r="AA21" s="1">
        <v>61187.542999999998</v>
      </c>
      <c r="AB21" s="1">
        <v>57370.137999999999</v>
      </c>
      <c r="AC21" s="1">
        <v>60977.580999999998</v>
      </c>
    </row>
    <row r="22" spans="1:29">
      <c r="A22" s="1" t="s">
        <v>15</v>
      </c>
      <c r="B22" s="1">
        <v>64063</v>
      </c>
      <c r="C22" s="1">
        <v>69842</v>
      </c>
      <c r="D22" s="1">
        <v>72193</v>
      </c>
      <c r="E22" s="1">
        <v>97430.395000000004</v>
      </c>
      <c r="F22" s="42">
        <v>94446.335999999996</v>
      </c>
      <c r="G22" s="1">
        <v>105431.25</v>
      </c>
      <c r="H22" s="1">
        <v>110725.38499999999</v>
      </c>
      <c r="I22" s="1">
        <v>105724.469</v>
      </c>
      <c r="J22" s="1">
        <v>122838.451</v>
      </c>
      <c r="K22" s="1">
        <v>129356.02800000001</v>
      </c>
      <c r="L22" s="1">
        <v>148065.12299999999</v>
      </c>
      <c r="M22" s="1">
        <v>168334.35200000001</v>
      </c>
      <c r="N22" s="1">
        <v>174303.095</v>
      </c>
      <c r="O22" s="1">
        <v>182175.851</v>
      </c>
      <c r="P22" s="1">
        <v>183446.43900000001</v>
      </c>
      <c r="Q22" s="1">
        <v>216943.177</v>
      </c>
      <c r="R22" s="1">
        <v>226467.75700000001</v>
      </c>
      <c r="S22" s="1">
        <v>238133.228</v>
      </c>
      <c r="T22" s="1">
        <v>274552.37300000002</v>
      </c>
      <c r="U22" s="1">
        <v>316002.39600000001</v>
      </c>
      <c r="V22" s="1">
        <v>404169.63500000001</v>
      </c>
      <c r="W22" s="1">
        <v>420275.38099999999</v>
      </c>
      <c r="X22" s="1">
        <v>418112.12900000002</v>
      </c>
      <c r="Y22" s="1">
        <v>451975.462</v>
      </c>
      <c r="Z22" s="1">
        <v>472884.62</v>
      </c>
      <c r="AA22" s="1">
        <v>480730.80800000002</v>
      </c>
      <c r="AB22" s="1">
        <v>493596.68800000002</v>
      </c>
      <c r="AC22" s="1">
        <v>515252.967</v>
      </c>
    </row>
    <row r="23" spans="1:29">
      <c r="A23" s="1" t="s">
        <v>16</v>
      </c>
      <c r="B23" s="1">
        <v>21043</v>
      </c>
      <c r="C23" s="1">
        <v>23716</v>
      </c>
      <c r="D23" s="1">
        <v>26635</v>
      </c>
      <c r="E23" s="1">
        <v>29743.267</v>
      </c>
      <c r="F23" s="42">
        <v>30571.119999999999</v>
      </c>
      <c r="G23" s="1">
        <v>31621.538</v>
      </c>
      <c r="H23" s="1">
        <v>35678.159</v>
      </c>
      <c r="I23" s="1">
        <v>36489.769999999997</v>
      </c>
      <c r="J23" s="1">
        <v>36219.046999999999</v>
      </c>
      <c r="K23" s="1">
        <v>38771.887999999999</v>
      </c>
      <c r="L23" s="1">
        <v>50514.288999999997</v>
      </c>
      <c r="M23" s="1">
        <v>53829.057000000001</v>
      </c>
      <c r="N23" s="1">
        <v>53448.614999999998</v>
      </c>
      <c r="O23" s="1">
        <v>50924.911</v>
      </c>
      <c r="P23" s="1">
        <v>56533.885000000002</v>
      </c>
      <c r="Q23" s="1">
        <v>60642.946000000004</v>
      </c>
      <c r="R23" s="1">
        <v>65757.421000000002</v>
      </c>
      <c r="S23" s="1">
        <v>74793.505000000005</v>
      </c>
      <c r="T23" s="1">
        <v>82888.161999999997</v>
      </c>
      <c r="U23" s="1">
        <v>87077.070999999996</v>
      </c>
      <c r="V23" s="1">
        <v>94163.540999999997</v>
      </c>
      <c r="W23" s="1">
        <v>98053.562999999995</v>
      </c>
      <c r="X23" s="1">
        <v>111686.08100000001</v>
      </c>
      <c r="Y23" s="1">
        <v>109238.43</v>
      </c>
      <c r="Z23" s="1">
        <v>124136.72100000001</v>
      </c>
      <c r="AA23" s="1">
        <v>122579.193</v>
      </c>
      <c r="AB23" s="1">
        <v>117067.85799999999</v>
      </c>
      <c r="AC23" s="1">
        <v>115081.298</v>
      </c>
    </row>
    <row r="24" spans="1:29">
      <c r="A24" s="24" t="s">
        <v>17</v>
      </c>
      <c r="B24" s="24">
        <v>1365</v>
      </c>
      <c r="C24" s="24">
        <v>1747</v>
      </c>
      <c r="D24" s="24">
        <v>1828</v>
      </c>
      <c r="E24" s="24">
        <v>2099.0509999999999</v>
      </c>
      <c r="F24" s="45">
        <v>2192.7809999999999</v>
      </c>
      <c r="G24" s="24">
        <v>2111</v>
      </c>
      <c r="H24" s="24">
        <v>2295.058</v>
      </c>
      <c r="I24" s="24">
        <v>2626.9569999999999</v>
      </c>
      <c r="J24" s="24">
        <v>2798.6990000000001</v>
      </c>
      <c r="K24" s="24">
        <v>3159.6898299999984</v>
      </c>
      <c r="L24" s="24">
        <v>3469.7350000000001</v>
      </c>
      <c r="M24" s="24">
        <v>4502.4409999999998</v>
      </c>
      <c r="N24" s="24">
        <v>3155.1439999999998</v>
      </c>
      <c r="O24" s="24">
        <v>4719.6750000000002</v>
      </c>
      <c r="P24" s="24">
        <v>3138.2460000000001</v>
      </c>
      <c r="Q24" s="24">
        <v>7074.701</v>
      </c>
      <c r="R24" s="24">
        <v>4966.4390000000003</v>
      </c>
      <c r="S24" s="24">
        <v>5892.09</v>
      </c>
      <c r="T24" s="24">
        <v>5872.7049999999999</v>
      </c>
      <c r="U24" s="24">
        <v>7039.232</v>
      </c>
      <c r="V24" s="24">
        <v>12456.665999999999</v>
      </c>
      <c r="W24" s="24">
        <v>12607.762000000001</v>
      </c>
      <c r="X24" s="24">
        <v>10636.933999999999</v>
      </c>
      <c r="Y24" s="24">
        <v>10805.848</v>
      </c>
      <c r="Z24" s="24">
        <v>9954.6090000000004</v>
      </c>
      <c r="AA24" s="24">
        <v>11201.746999999999</v>
      </c>
      <c r="AB24" s="24">
        <v>8924.1849999999995</v>
      </c>
      <c r="AC24" s="24">
        <v>8800.3909999999996</v>
      </c>
    </row>
    <row r="25" spans="1:29">
      <c r="A25" s="7" t="s">
        <v>120</v>
      </c>
      <c r="B25" s="48">
        <f>SUM(B27:B39)</f>
        <v>0</v>
      </c>
      <c r="C25" s="48">
        <f t="shared" ref="C25:AC25" si="10">SUM(C27:C39)</f>
        <v>0</v>
      </c>
      <c r="D25" s="48">
        <f t="shared" si="10"/>
        <v>0</v>
      </c>
      <c r="E25" s="48">
        <f t="shared" si="10"/>
        <v>0</v>
      </c>
      <c r="F25" s="48">
        <f t="shared" si="10"/>
        <v>393242.06900000002</v>
      </c>
      <c r="G25" s="48">
        <f t="shared" si="10"/>
        <v>0</v>
      </c>
      <c r="H25" s="48">
        <f t="shared" si="10"/>
        <v>0</v>
      </c>
      <c r="I25" s="48">
        <f t="shared" si="10"/>
        <v>432998.69899999996</v>
      </c>
      <c r="J25" s="48">
        <f t="shared" si="10"/>
        <v>0</v>
      </c>
      <c r="K25" s="48">
        <f t="shared" si="10"/>
        <v>568197.16347999987</v>
      </c>
      <c r="L25" s="48">
        <f t="shared" si="10"/>
        <v>621238.554</v>
      </c>
      <c r="M25" s="48">
        <f t="shared" si="10"/>
        <v>659775.576</v>
      </c>
      <c r="N25" s="48">
        <f t="shared" si="10"/>
        <v>679916.74099999981</v>
      </c>
      <c r="O25" s="48">
        <f t="shared" si="10"/>
        <v>666233.60499999998</v>
      </c>
      <c r="P25" s="48">
        <f t="shared" si="10"/>
        <v>661943.29600000009</v>
      </c>
      <c r="Q25" s="48">
        <f t="shared" si="10"/>
        <v>830234.19000000006</v>
      </c>
      <c r="R25" s="48">
        <f t="shared" si="10"/>
        <v>908655.49000000011</v>
      </c>
      <c r="S25" s="48">
        <f t="shared" si="10"/>
        <v>961868.5419999999</v>
      </c>
      <c r="T25" s="48">
        <f t="shared" si="10"/>
        <v>1092958.0100000002</v>
      </c>
      <c r="U25" s="48">
        <f t="shared" si="10"/>
        <v>1187772.318</v>
      </c>
      <c r="V25" s="48">
        <f t="shared" si="10"/>
        <v>1332451.9949999999</v>
      </c>
      <c r="W25" s="48">
        <f t="shared" si="10"/>
        <v>1384726.9519999998</v>
      </c>
      <c r="X25" s="48">
        <f t="shared" si="10"/>
        <v>1364911.3080000002</v>
      </c>
      <c r="Y25" s="48">
        <f t="shared" si="10"/>
        <v>1008303.5109999999</v>
      </c>
      <c r="Z25" s="48">
        <f t="shared" si="10"/>
        <v>1061853.5970000001</v>
      </c>
      <c r="AA25" s="48">
        <f t="shared" si="10"/>
        <v>1086441.9819999998</v>
      </c>
      <c r="AB25" s="48">
        <f t="shared" si="10"/>
        <v>1605606.7559999996</v>
      </c>
      <c r="AC25" s="48">
        <f t="shared" si="10"/>
        <v>1658108.8619999997</v>
      </c>
    </row>
    <row r="26" spans="1:29">
      <c r="A26" s="7" t="s">
        <v>119</v>
      </c>
      <c r="X26" s="1">
        <v>0</v>
      </c>
      <c r="AB26" s="1">
        <v>0</v>
      </c>
      <c r="AC26" s="1">
        <v>0</v>
      </c>
    </row>
    <row r="27" spans="1:29">
      <c r="A27" s="1" t="s">
        <v>85</v>
      </c>
      <c r="F27" s="42">
        <v>226.999</v>
      </c>
      <c r="I27" s="1">
        <v>179.476</v>
      </c>
      <c r="K27" s="1">
        <v>156.15600000000001</v>
      </c>
      <c r="L27" s="1">
        <v>1679.9490000000001</v>
      </c>
      <c r="M27" s="1">
        <v>257.25</v>
      </c>
      <c r="N27" s="1">
        <v>1811.3330000000001</v>
      </c>
      <c r="O27" s="1">
        <v>1717.354</v>
      </c>
      <c r="P27" s="1">
        <v>1436.556</v>
      </c>
      <c r="Q27" s="1">
        <v>193.46700000000001</v>
      </c>
      <c r="R27" s="1">
        <v>1511.74</v>
      </c>
      <c r="S27" s="1">
        <v>1425.375</v>
      </c>
      <c r="T27" s="1">
        <v>2248.5770000000002</v>
      </c>
      <c r="U27" s="1">
        <v>2934.2489999999998</v>
      </c>
      <c r="V27" s="1">
        <v>3104.1680000000001</v>
      </c>
      <c r="W27" s="1">
        <v>946.51700000000005</v>
      </c>
      <c r="X27" s="1">
        <v>3314.9580000000001</v>
      </c>
      <c r="Y27" s="1">
        <v>1158.4359999999999</v>
      </c>
      <c r="AB27" s="1">
        <v>2781.652</v>
      </c>
      <c r="AC27" s="1">
        <v>2665.136</v>
      </c>
    </row>
    <row r="28" spans="1:29">
      <c r="A28" s="1" t="s">
        <v>86</v>
      </c>
      <c r="F28" s="42">
        <v>32010.059000000001</v>
      </c>
      <c r="I28" s="1">
        <v>38028.319000000003</v>
      </c>
      <c r="K28" s="1">
        <v>45534.453870000005</v>
      </c>
      <c r="L28" s="1">
        <v>58347.434999999998</v>
      </c>
      <c r="M28" s="1">
        <v>62638.661</v>
      </c>
      <c r="N28" s="1">
        <v>67862.346999999994</v>
      </c>
      <c r="O28" s="1">
        <v>70360.812999999995</v>
      </c>
      <c r="P28" s="1">
        <v>78023.370999999999</v>
      </c>
      <c r="Q28" s="1">
        <v>83371.521999999997</v>
      </c>
      <c r="R28" s="1">
        <v>93604.676000000007</v>
      </c>
      <c r="S28" s="1">
        <v>99126.464999999997</v>
      </c>
      <c r="T28" s="1">
        <v>114008.769</v>
      </c>
      <c r="U28" s="1">
        <v>117584.57</v>
      </c>
      <c r="V28" s="1">
        <v>130559.352</v>
      </c>
      <c r="W28" s="1">
        <v>132521.141</v>
      </c>
      <c r="X28" s="1">
        <v>142789.27100000001</v>
      </c>
      <c r="Y28" s="1">
        <v>27930.356</v>
      </c>
      <c r="Z28" s="1">
        <v>31303.636999999999</v>
      </c>
      <c r="AA28" s="1">
        <v>30261.052</v>
      </c>
      <c r="AB28" s="1">
        <v>149758.68599999999</v>
      </c>
      <c r="AC28" s="1">
        <v>143441.837</v>
      </c>
    </row>
    <row r="29" spans="1:29">
      <c r="A29" s="1" t="s">
        <v>87</v>
      </c>
      <c r="F29" s="42">
        <v>237875.158</v>
      </c>
      <c r="I29" s="1">
        <v>248909.288</v>
      </c>
      <c r="K29" s="1">
        <v>344143.43774999998</v>
      </c>
      <c r="L29" s="1">
        <v>348924.408</v>
      </c>
      <c r="M29" s="1">
        <v>359128.27600000001</v>
      </c>
      <c r="N29" s="1">
        <v>368691.87599999999</v>
      </c>
      <c r="O29" s="1">
        <v>356326.842</v>
      </c>
      <c r="P29" s="1">
        <v>350951.02500000002</v>
      </c>
      <c r="Q29" s="1">
        <v>509148.10100000002</v>
      </c>
      <c r="R29" s="1">
        <v>557585.18700000003</v>
      </c>
      <c r="S29" s="1">
        <v>599270.34100000001</v>
      </c>
      <c r="T29" s="1">
        <v>682894.21900000004</v>
      </c>
      <c r="U29" s="1">
        <v>728631.73199999996</v>
      </c>
      <c r="V29" s="1">
        <v>820187.68299999996</v>
      </c>
      <c r="W29" s="1">
        <v>853031.55900000001</v>
      </c>
      <c r="X29" s="1">
        <v>816374.76199999999</v>
      </c>
      <c r="Y29" s="1">
        <v>612124.48499999999</v>
      </c>
      <c r="Z29" s="1">
        <v>628636.03200000001</v>
      </c>
      <c r="AA29" s="1">
        <v>642557.24899999995</v>
      </c>
      <c r="AB29" s="1">
        <v>934880.44499999995</v>
      </c>
      <c r="AC29" s="1">
        <v>984559.56900000002</v>
      </c>
    </row>
    <row r="30" spans="1:29">
      <c r="A30" s="1" t="s">
        <v>88</v>
      </c>
      <c r="F30" s="42">
        <v>16955.332999999999</v>
      </c>
      <c r="I30" s="1">
        <v>19786.597000000002</v>
      </c>
      <c r="K30" s="1">
        <v>22415.471000000001</v>
      </c>
      <c r="L30" s="1">
        <v>30671.553</v>
      </c>
      <c r="M30" s="1">
        <v>32731.662</v>
      </c>
      <c r="N30" s="1">
        <v>32745.626</v>
      </c>
      <c r="O30" s="1">
        <v>33331.771000000001</v>
      </c>
      <c r="P30" s="1">
        <v>31743.258999999998</v>
      </c>
      <c r="Q30" s="1">
        <v>33707.964</v>
      </c>
      <c r="R30" s="1">
        <v>34241.489000000001</v>
      </c>
      <c r="S30" s="1">
        <v>34602.894999999997</v>
      </c>
      <c r="T30" s="1">
        <v>38752.675000000003</v>
      </c>
      <c r="U30" s="1">
        <v>36638.97</v>
      </c>
      <c r="V30" s="1">
        <v>43286.747000000003</v>
      </c>
      <c r="W30" s="1">
        <v>44071.508999999998</v>
      </c>
      <c r="X30" s="1">
        <v>45923.703999999998</v>
      </c>
      <c r="Y30" s="1">
        <v>25321.371999999999</v>
      </c>
      <c r="Z30" s="1">
        <v>25616.329000000002</v>
      </c>
      <c r="AA30" s="1">
        <v>23697.687000000002</v>
      </c>
      <c r="AB30" s="1">
        <v>49832.237999999998</v>
      </c>
      <c r="AC30" s="1">
        <v>54186.277999999998</v>
      </c>
    </row>
    <row r="31" spans="1:29">
      <c r="A31" s="1" t="s">
        <v>91</v>
      </c>
      <c r="F31" s="42">
        <v>9819.8179999999993</v>
      </c>
      <c r="I31" s="1">
        <v>10690.513999999999</v>
      </c>
      <c r="K31" s="1">
        <v>11330.54</v>
      </c>
      <c r="L31" s="1">
        <v>13136.597</v>
      </c>
      <c r="M31" s="1">
        <v>13170.745000000001</v>
      </c>
      <c r="N31" s="1">
        <v>13647.918</v>
      </c>
      <c r="O31" s="1">
        <v>14691.991</v>
      </c>
      <c r="P31" s="1">
        <v>13170.977000000001</v>
      </c>
      <c r="Q31" s="1">
        <v>13763.034</v>
      </c>
      <c r="R31" s="1">
        <v>15386.728999999999</v>
      </c>
      <c r="S31" s="1">
        <v>17151.28</v>
      </c>
      <c r="T31" s="1">
        <v>19678.625</v>
      </c>
      <c r="U31" s="1">
        <v>25746.205000000002</v>
      </c>
      <c r="V31" s="1">
        <v>26215.43</v>
      </c>
      <c r="W31" s="1">
        <v>26485.200000000001</v>
      </c>
      <c r="X31" s="1">
        <v>26347.893</v>
      </c>
      <c r="Y31" s="1">
        <v>28024.612000000001</v>
      </c>
      <c r="Z31" s="1">
        <v>29468.05</v>
      </c>
      <c r="AA31" s="1">
        <v>24139.017</v>
      </c>
      <c r="AB31" s="1">
        <v>29065.865000000002</v>
      </c>
      <c r="AC31" s="1">
        <v>32013.72</v>
      </c>
    </row>
    <row r="32" spans="1:29">
      <c r="A32" s="1" t="s">
        <v>92</v>
      </c>
      <c r="F32" s="42">
        <v>4586.4059999999999</v>
      </c>
      <c r="I32" s="1">
        <v>3831.127</v>
      </c>
      <c r="K32" s="1">
        <v>4319.0940000000001</v>
      </c>
      <c r="L32" s="1">
        <v>6110.0659999999998</v>
      </c>
      <c r="M32" s="1">
        <v>5902.9759999999997</v>
      </c>
      <c r="N32" s="1">
        <v>6011.1080000000002</v>
      </c>
      <c r="O32" s="1">
        <v>5462.3549999999996</v>
      </c>
      <c r="P32" s="1">
        <v>5826.39</v>
      </c>
      <c r="Q32" s="1">
        <v>6471.4679999999998</v>
      </c>
      <c r="R32" s="1">
        <v>7392.2290000000003</v>
      </c>
      <c r="S32" s="1">
        <v>6667.8789999999999</v>
      </c>
      <c r="T32" s="1">
        <v>6148.518</v>
      </c>
      <c r="U32" s="1">
        <v>7363.067</v>
      </c>
      <c r="V32" s="1">
        <v>7904.7659999999996</v>
      </c>
      <c r="W32" s="1">
        <v>7749.9340000000002</v>
      </c>
      <c r="X32" s="1">
        <v>12778.875</v>
      </c>
      <c r="Y32" s="1">
        <v>12967.734</v>
      </c>
      <c r="Z32" s="1">
        <v>15911.898999999999</v>
      </c>
      <c r="AA32" s="1">
        <v>18106.594000000001</v>
      </c>
      <c r="AB32" s="1">
        <v>19795.179</v>
      </c>
      <c r="AC32" s="1">
        <v>21766.899000000001</v>
      </c>
    </row>
    <row r="33" spans="1:29">
      <c r="A33" s="1" t="s">
        <v>100</v>
      </c>
      <c r="F33" s="42">
        <v>1356.232</v>
      </c>
      <c r="I33" s="1">
        <v>3662.1880000000001</v>
      </c>
      <c r="K33" s="1">
        <v>4837.3594500000027</v>
      </c>
      <c r="L33" s="1">
        <v>4325.3249999999998</v>
      </c>
      <c r="M33" s="1">
        <v>4606.3810000000003</v>
      </c>
      <c r="N33" s="1">
        <v>5890.8429999999998</v>
      </c>
      <c r="O33" s="1">
        <v>4891.777</v>
      </c>
      <c r="P33" s="1">
        <v>5004.1480000000001</v>
      </c>
      <c r="Q33" s="1">
        <v>6068.2250000000004</v>
      </c>
      <c r="R33" s="1">
        <v>6083.6589999999997</v>
      </c>
      <c r="S33" s="1">
        <v>6120.5379999999996</v>
      </c>
      <c r="T33" s="1">
        <v>7038.7749999999996</v>
      </c>
      <c r="U33" s="1">
        <v>8344.3449999999993</v>
      </c>
      <c r="V33" s="1">
        <v>9202.0750000000007</v>
      </c>
      <c r="W33" s="1">
        <v>8406.6110000000008</v>
      </c>
      <c r="X33" s="1">
        <v>8565.9279999999999</v>
      </c>
      <c r="Y33" s="1">
        <v>8543.3469999999998</v>
      </c>
      <c r="Z33" s="1">
        <v>9024.1810000000005</v>
      </c>
      <c r="AA33" s="1">
        <v>9955.9840000000004</v>
      </c>
      <c r="AB33" s="1">
        <v>10220.306</v>
      </c>
      <c r="AC33" s="1">
        <v>9717.7669999999998</v>
      </c>
    </row>
    <row r="34" spans="1:29">
      <c r="A34" s="1" t="s">
        <v>102</v>
      </c>
      <c r="F34" s="42">
        <v>5835.9859999999999</v>
      </c>
      <c r="I34" s="1">
        <v>5934.0020000000004</v>
      </c>
      <c r="K34" s="1">
        <v>8054</v>
      </c>
      <c r="L34" s="1">
        <v>10524</v>
      </c>
      <c r="M34" s="1">
        <v>11743</v>
      </c>
      <c r="N34" s="1">
        <v>12658</v>
      </c>
      <c r="O34" s="1">
        <v>13861</v>
      </c>
      <c r="P34" s="1">
        <v>6165</v>
      </c>
      <c r="Q34" s="1">
        <v>6890</v>
      </c>
      <c r="R34" s="1">
        <v>7550</v>
      </c>
      <c r="S34" s="1">
        <v>5619</v>
      </c>
      <c r="T34" s="1">
        <v>5385</v>
      </c>
      <c r="U34" s="1">
        <v>23298.315999999999</v>
      </c>
      <c r="V34" s="1">
        <v>28431.574000000001</v>
      </c>
      <c r="W34" s="1">
        <v>26410.024000000001</v>
      </c>
      <c r="X34" s="1">
        <v>25474.574000000001</v>
      </c>
      <c r="Y34" s="1">
        <v>26301.477999999999</v>
      </c>
      <c r="Z34" s="1">
        <v>26317.491999999998</v>
      </c>
      <c r="AA34" s="1">
        <v>27913.782999999999</v>
      </c>
      <c r="AB34" s="1">
        <v>25270.541000000001</v>
      </c>
      <c r="AC34" s="1">
        <v>23473.092000000001</v>
      </c>
    </row>
    <row r="35" spans="1:29">
      <c r="A35" s="1" t="s">
        <v>105</v>
      </c>
      <c r="F35" s="42">
        <v>10483.467000000001</v>
      </c>
      <c r="I35" s="1">
        <v>14861.528</v>
      </c>
      <c r="K35" s="1">
        <v>17905.595289999997</v>
      </c>
      <c r="L35" s="1">
        <v>21812.800999999999</v>
      </c>
      <c r="M35" s="1">
        <v>22148.056</v>
      </c>
      <c r="N35" s="1">
        <v>24654.092000000001</v>
      </c>
      <c r="O35" s="1">
        <v>26660.713</v>
      </c>
      <c r="P35" s="1">
        <v>28018.118999999999</v>
      </c>
      <c r="Q35" s="1">
        <v>28315.84</v>
      </c>
      <c r="R35" s="1">
        <v>28809.040000000001</v>
      </c>
      <c r="S35" s="1">
        <v>32990.137000000002</v>
      </c>
      <c r="T35" s="1">
        <v>36482.038999999997</v>
      </c>
      <c r="U35" s="1">
        <v>41715.728000000003</v>
      </c>
      <c r="V35" s="1">
        <v>44482.061999999998</v>
      </c>
      <c r="W35" s="1">
        <v>48440.875</v>
      </c>
      <c r="X35" s="1">
        <v>46067.084000000003</v>
      </c>
      <c r="Y35" s="1">
        <v>29996.911</v>
      </c>
      <c r="Z35" s="1">
        <v>32653.871999999999</v>
      </c>
      <c r="AA35" s="1">
        <v>34626.82</v>
      </c>
      <c r="AB35" s="1">
        <v>54463.258000000002</v>
      </c>
      <c r="AC35" s="1">
        <v>55950.044999999998</v>
      </c>
    </row>
    <row r="36" spans="1:29">
      <c r="A36" s="1" t="s">
        <v>109</v>
      </c>
      <c r="F36" s="42">
        <v>22716.476999999999</v>
      </c>
      <c r="I36" s="1">
        <v>29594.973999999998</v>
      </c>
      <c r="K36" s="1">
        <v>37970.650090000003</v>
      </c>
      <c r="L36" s="1">
        <v>44014.57</v>
      </c>
      <c r="M36" s="1">
        <v>50640.177000000003</v>
      </c>
      <c r="N36" s="1">
        <v>52626.358999999997</v>
      </c>
      <c r="O36" s="1">
        <v>44018.207999999999</v>
      </c>
      <c r="P36" s="1">
        <v>46427.012999999999</v>
      </c>
      <c r="Q36" s="1">
        <v>44959.309000000001</v>
      </c>
      <c r="R36" s="1">
        <v>51511.561000000002</v>
      </c>
      <c r="S36" s="1">
        <v>56694.330999999998</v>
      </c>
      <c r="T36" s="1">
        <v>67632.676999999996</v>
      </c>
      <c r="U36" s="1">
        <v>71506.327000000005</v>
      </c>
      <c r="V36" s="1">
        <v>77398.228000000003</v>
      </c>
      <c r="W36" s="1">
        <v>85463.038</v>
      </c>
      <c r="X36" s="1">
        <v>96431.445000000007</v>
      </c>
      <c r="Y36" s="1">
        <v>91876.673999999999</v>
      </c>
      <c r="Z36" s="1">
        <v>92522.876000000004</v>
      </c>
      <c r="AA36" s="1">
        <v>87059.915999999997</v>
      </c>
      <c r="AB36" s="1">
        <v>113591.86599999999</v>
      </c>
      <c r="AC36" s="1">
        <v>111629.736</v>
      </c>
    </row>
    <row r="37" spans="1:29">
      <c r="A37" s="1" t="s">
        <v>113</v>
      </c>
      <c r="F37" s="42">
        <v>9376.7029999999995</v>
      </c>
      <c r="I37" s="1">
        <v>9652.3230000000003</v>
      </c>
      <c r="K37" s="1">
        <v>10492.815000000001</v>
      </c>
      <c r="L37" s="1">
        <v>10820.721</v>
      </c>
      <c r="M37" s="1">
        <v>12546.248</v>
      </c>
      <c r="N37" s="1">
        <v>13771.977000000001</v>
      </c>
      <c r="O37" s="1">
        <v>13028.394</v>
      </c>
      <c r="P37" s="1">
        <v>13392.358</v>
      </c>
      <c r="Q37" s="1">
        <v>13336.984</v>
      </c>
      <c r="R37" s="1">
        <v>13133.608</v>
      </c>
      <c r="S37" s="1">
        <v>13771.894</v>
      </c>
      <c r="T37" s="1">
        <v>16409.044999999998</v>
      </c>
      <c r="U37" s="1">
        <v>15360.561</v>
      </c>
      <c r="V37" s="1">
        <v>16650.879000000001</v>
      </c>
      <c r="W37" s="1">
        <v>18613.102999999999</v>
      </c>
      <c r="X37" s="1">
        <v>13336.333000000001</v>
      </c>
      <c r="Y37" s="1">
        <v>23480.61</v>
      </c>
      <c r="Z37" s="1">
        <v>22541.705000000002</v>
      </c>
      <c r="AA37" s="1">
        <v>26173.795999999998</v>
      </c>
      <c r="AB37" s="1">
        <v>17464.82</v>
      </c>
      <c r="AC37" s="1">
        <v>18486.368999999999</v>
      </c>
    </row>
    <row r="38" spans="1:29">
      <c r="A38" s="1" t="s">
        <v>115</v>
      </c>
      <c r="F38" s="42">
        <v>35736.743000000002</v>
      </c>
      <c r="I38" s="1">
        <v>41998.269</v>
      </c>
      <c r="K38" s="1">
        <v>53129.915030000004</v>
      </c>
      <c r="L38" s="1">
        <v>61362.12</v>
      </c>
      <c r="M38" s="1">
        <v>73940.373000000007</v>
      </c>
      <c r="N38" s="1">
        <v>67342.046000000002</v>
      </c>
      <c r="O38" s="1">
        <v>70347.726999999999</v>
      </c>
      <c r="P38" s="1">
        <v>70103.168999999994</v>
      </c>
      <c r="Q38" s="1">
        <v>72331.423999999999</v>
      </c>
      <c r="R38" s="1">
        <v>78710.813999999998</v>
      </c>
      <c r="S38" s="1">
        <v>74595.722999999998</v>
      </c>
      <c r="T38" s="1">
        <v>78885.543000000005</v>
      </c>
      <c r="U38" s="1">
        <v>90872.698999999993</v>
      </c>
      <c r="V38" s="1">
        <v>103025.52099999999</v>
      </c>
      <c r="W38" s="1">
        <v>107611.79300000001</v>
      </c>
      <c r="X38" s="1">
        <v>102381.531</v>
      </c>
      <c r="Y38" s="1">
        <v>94879.383000000002</v>
      </c>
      <c r="Z38" s="1">
        <v>120817.253</v>
      </c>
      <c r="AA38" s="1">
        <v>133851.076</v>
      </c>
      <c r="AB38" s="1">
        <v>171469.11600000001</v>
      </c>
      <c r="AC38" s="1">
        <v>176153.29399999999</v>
      </c>
    </row>
    <row r="39" spans="1:29">
      <c r="A39" s="24" t="s">
        <v>117</v>
      </c>
      <c r="B39" s="24"/>
      <c r="C39" s="24"/>
      <c r="D39" s="24"/>
      <c r="E39" s="24"/>
      <c r="F39" s="45">
        <v>6262.6880000000001</v>
      </c>
      <c r="G39" s="24"/>
      <c r="H39" s="24"/>
      <c r="I39" s="24">
        <v>5870.0940000000001</v>
      </c>
      <c r="J39" s="24"/>
      <c r="K39" s="24">
        <v>7907.6760000000004</v>
      </c>
      <c r="L39" s="24">
        <v>9509.009</v>
      </c>
      <c r="M39" s="24">
        <v>10321.771000000001</v>
      </c>
      <c r="N39" s="24">
        <v>12203.216</v>
      </c>
      <c r="O39" s="24">
        <v>11534.66</v>
      </c>
      <c r="P39" s="24">
        <v>11681.911</v>
      </c>
      <c r="Q39" s="24">
        <v>11676.852000000001</v>
      </c>
      <c r="R39" s="24">
        <v>13134.758</v>
      </c>
      <c r="S39" s="24">
        <v>13832.683999999999</v>
      </c>
      <c r="T39" s="24">
        <v>17393.547999999999</v>
      </c>
      <c r="U39" s="24">
        <v>17775.548999999999</v>
      </c>
      <c r="V39" s="24">
        <v>22003.51</v>
      </c>
      <c r="W39" s="24">
        <v>24975.648000000001</v>
      </c>
      <c r="X39" s="24">
        <v>25124.95</v>
      </c>
      <c r="Y39" s="24">
        <v>25698.113000000001</v>
      </c>
      <c r="Z39" s="24">
        <v>27040.271000000001</v>
      </c>
      <c r="AA39" s="24">
        <v>28099.008000000002</v>
      </c>
      <c r="AB39" s="24">
        <v>27012.784</v>
      </c>
      <c r="AC39" s="24">
        <v>24065.119999999999</v>
      </c>
    </row>
    <row r="40" spans="1:29">
      <c r="A40" s="7" t="s">
        <v>121</v>
      </c>
      <c r="B40" s="48">
        <f>SUM(B42:B53)</f>
        <v>0</v>
      </c>
      <c r="C40" s="48">
        <f t="shared" ref="C40:AC40" si="11">SUM(C42:C53)</f>
        <v>0</v>
      </c>
      <c r="D40" s="48">
        <f t="shared" si="11"/>
        <v>0</v>
      </c>
      <c r="E40" s="48">
        <f t="shared" si="11"/>
        <v>0</v>
      </c>
      <c r="F40" s="48">
        <f t="shared" si="11"/>
        <v>302921.45899999997</v>
      </c>
      <c r="G40" s="48">
        <f t="shared" si="11"/>
        <v>0</v>
      </c>
      <c r="H40" s="48">
        <f t="shared" si="11"/>
        <v>0</v>
      </c>
      <c r="I40" s="48">
        <f t="shared" si="11"/>
        <v>347205.989</v>
      </c>
      <c r="J40" s="48">
        <f t="shared" si="11"/>
        <v>0</v>
      </c>
      <c r="K40" s="48">
        <f t="shared" si="11"/>
        <v>450515.67335000006</v>
      </c>
      <c r="L40" s="48">
        <f t="shared" si="11"/>
        <v>531417.33699999994</v>
      </c>
      <c r="M40" s="48">
        <f t="shared" si="11"/>
        <v>579431.821</v>
      </c>
      <c r="N40" s="48">
        <f t="shared" si="11"/>
        <v>573942.91700000002</v>
      </c>
      <c r="O40" s="48">
        <f t="shared" si="11"/>
        <v>567585.13100000005</v>
      </c>
      <c r="P40" s="48">
        <f t="shared" si="11"/>
        <v>577308.00900000008</v>
      </c>
      <c r="Q40" s="48">
        <f t="shared" si="11"/>
        <v>601745.38400000008</v>
      </c>
      <c r="R40" s="48">
        <f t="shared" si="11"/>
        <v>636939.73399999994</v>
      </c>
      <c r="S40" s="48">
        <f t="shared" si="11"/>
        <v>667550.3189999999</v>
      </c>
      <c r="T40" s="48">
        <f t="shared" si="11"/>
        <v>705142.61199999985</v>
      </c>
      <c r="U40" s="48">
        <f t="shared" si="11"/>
        <v>796155.34400000016</v>
      </c>
      <c r="V40" s="48">
        <f t="shared" si="11"/>
        <v>960847.34100000001</v>
      </c>
      <c r="W40" s="48">
        <f t="shared" si="11"/>
        <v>988174.42699999991</v>
      </c>
      <c r="X40" s="48">
        <f t="shared" si="11"/>
        <v>1026472.7189999999</v>
      </c>
      <c r="Y40" s="48">
        <f t="shared" si="11"/>
        <v>859320.8</v>
      </c>
      <c r="Z40" s="48">
        <f t="shared" si="11"/>
        <v>889565.61300000001</v>
      </c>
      <c r="AA40" s="48">
        <f t="shared" si="11"/>
        <v>901358.50300000003</v>
      </c>
      <c r="AB40" s="48">
        <f t="shared" si="11"/>
        <v>1102203.8670000001</v>
      </c>
      <c r="AC40" s="48">
        <f t="shared" si="11"/>
        <v>1133447.068</v>
      </c>
    </row>
    <row r="41" spans="1:29">
      <c r="A41" s="7" t="s">
        <v>119</v>
      </c>
      <c r="X41" s="1">
        <v>0</v>
      </c>
      <c r="AB41" s="1">
        <v>0</v>
      </c>
      <c r="AC41" s="1">
        <v>0</v>
      </c>
    </row>
    <row r="42" spans="1:29">
      <c r="A42" s="1" t="s">
        <v>93</v>
      </c>
      <c r="F42" s="42">
        <v>50901.819000000003</v>
      </c>
      <c r="I42" s="1">
        <v>57964.546000000002</v>
      </c>
      <c r="K42" s="1">
        <v>76903.80780000001</v>
      </c>
      <c r="L42" s="1">
        <v>99240.52</v>
      </c>
      <c r="M42" s="1">
        <v>102738.81600000001</v>
      </c>
      <c r="N42" s="1">
        <v>102624.289</v>
      </c>
      <c r="O42" s="1">
        <v>93134.929000000004</v>
      </c>
      <c r="P42" s="1">
        <v>105894.62699999999</v>
      </c>
      <c r="Q42" s="1">
        <v>100797.739</v>
      </c>
      <c r="R42" s="1">
        <v>110317.452</v>
      </c>
      <c r="S42" s="1">
        <v>120497.66099999999</v>
      </c>
      <c r="T42" s="1">
        <v>127931.265</v>
      </c>
      <c r="U42" s="1">
        <v>144674.22099999999</v>
      </c>
      <c r="V42" s="1">
        <v>188084.815</v>
      </c>
      <c r="W42" s="1">
        <v>182969.79500000001</v>
      </c>
      <c r="X42" s="1">
        <v>198022.663</v>
      </c>
      <c r="Y42" s="1">
        <v>108236.784</v>
      </c>
      <c r="Z42" s="1">
        <v>110535.87699999999</v>
      </c>
      <c r="AA42" s="1">
        <v>112622.81200000001</v>
      </c>
      <c r="AB42" s="1">
        <v>211183.95</v>
      </c>
      <c r="AC42" s="1">
        <v>220692.22899999999</v>
      </c>
    </row>
    <row r="43" spans="1:29">
      <c r="A43" s="1" t="s">
        <v>58</v>
      </c>
      <c r="F43" s="42">
        <v>9782.5149999999994</v>
      </c>
      <c r="I43" s="1">
        <v>11255.188</v>
      </c>
      <c r="K43" s="1">
        <v>12836.278</v>
      </c>
      <c r="L43" s="1">
        <v>15433.994000000001</v>
      </c>
      <c r="M43" s="1">
        <v>16651.822</v>
      </c>
      <c r="N43" s="1">
        <v>14647.953</v>
      </c>
      <c r="O43" s="1">
        <v>14759.468999999999</v>
      </c>
      <c r="P43" s="1">
        <v>14718.64</v>
      </c>
      <c r="Q43" s="1">
        <v>17964.528999999999</v>
      </c>
      <c r="R43" s="1">
        <v>21815.260999999999</v>
      </c>
      <c r="S43" s="1">
        <v>23217.832999999999</v>
      </c>
      <c r="T43" s="1">
        <v>21421.66</v>
      </c>
      <c r="U43" s="1">
        <v>25688.597000000002</v>
      </c>
      <c r="V43" s="1">
        <v>34579.987000000001</v>
      </c>
      <c r="W43" s="1">
        <v>35187.841</v>
      </c>
      <c r="X43" s="1">
        <v>56357.394</v>
      </c>
      <c r="Y43" s="1">
        <v>62488.783000000003</v>
      </c>
      <c r="Z43" s="1">
        <v>67897.106</v>
      </c>
      <c r="AA43" s="1">
        <v>66493.464000000007</v>
      </c>
      <c r="AB43" s="1">
        <v>51996.283000000003</v>
      </c>
      <c r="AC43" s="1">
        <v>66700.150999999998</v>
      </c>
    </row>
    <row r="44" spans="1:29">
      <c r="A44" s="1" t="s">
        <v>94</v>
      </c>
      <c r="F44" s="42">
        <v>21170.02</v>
      </c>
      <c r="I44" s="1">
        <v>21943.297999999999</v>
      </c>
      <c r="K44" s="1">
        <v>22936.877</v>
      </c>
      <c r="L44" s="1">
        <v>27990.690999999999</v>
      </c>
      <c r="M44" s="1">
        <v>29462.244999999999</v>
      </c>
      <c r="N44" s="1">
        <v>26102.132000000001</v>
      </c>
      <c r="O44" s="1">
        <v>23849.846000000001</v>
      </c>
      <c r="P44" s="1">
        <v>28484.469000000001</v>
      </c>
      <c r="Q44" s="1">
        <v>30498.87</v>
      </c>
      <c r="R44" s="1">
        <v>33330.33</v>
      </c>
      <c r="S44" s="1">
        <v>30048.514999999999</v>
      </c>
      <c r="T44" s="1">
        <v>32514.518</v>
      </c>
      <c r="U44" s="1">
        <v>36404.093999999997</v>
      </c>
      <c r="V44" s="1">
        <v>46196.57</v>
      </c>
      <c r="W44" s="1">
        <v>42185.023000000001</v>
      </c>
      <c r="X44" s="1">
        <v>39795.167000000001</v>
      </c>
      <c r="Y44" s="1">
        <v>37136.474000000002</v>
      </c>
      <c r="Z44" s="1">
        <v>37648.764000000003</v>
      </c>
      <c r="AA44" s="1">
        <v>37608.442999999999</v>
      </c>
      <c r="AB44" s="1">
        <v>43111.930999999997</v>
      </c>
      <c r="AC44" s="1">
        <v>44957.637000000002</v>
      </c>
    </row>
    <row r="45" spans="1:29">
      <c r="A45" s="1" t="s">
        <v>95</v>
      </c>
      <c r="F45" s="42">
        <v>17854.937999999998</v>
      </c>
      <c r="I45" s="1">
        <v>23867.987000000001</v>
      </c>
      <c r="K45" s="1">
        <v>30425.008989999995</v>
      </c>
      <c r="L45" s="1">
        <v>33335.114000000001</v>
      </c>
      <c r="M45" s="1">
        <v>35980.152999999998</v>
      </c>
      <c r="N45" s="1">
        <v>38494.534</v>
      </c>
      <c r="O45" s="1">
        <v>35575.258999999998</v>
      </c>
      <c r="P45" s="1">
        <v>36404.749000000003</v>
      </c>
      <c r="Q45" s="1">
        <v>39923.699000000001</v>
      </c>
      <c r="R45" s="1">
        <v>42903.682000000001</v>
      </c>
      <c r="S45" s="1">
        <v>44920.993000000002</v>
      </c>
      <c r="T45" s="1">
        <v>45557.002</v>
      </c>
      <c r="U45" s="1">
        <v>50223.436999999998</v>
      </c>
      <c r="V45" s="1">
        <v>56493.209000000003</v>
      </c>
      <c r="W45" s="1">
        <v>55175.527999999998</v>
      </c>
      <c r="X45" s="1">
        <v>54704.997000000003</v>
      </c>
      <c r="Y45" s="1">
        <v>50655.993000000002</v>
      </c>
      <c r="Z45" s="1">
        <v>50718.756000000001</v>
      </c>
      <c r="AA45" s="1">
        <v>51229.209000000003</v>
      </c>
      <c r="AB45" s="1">
        <v>61167.413999999997</v>
      </c>
      <c r="AC45" s="1">
        <v>64133.218999999997</v>
      </c>
    </row>
    <row r="46" spans="1:29">
      <c r="A46" s="1" t="s">
        <v>98</v>
      </c>
      <c r="F46" s="42">
        <v>86713.482999999993</v>
      </c>
      <c r="I46" s="1">
        <v>108634.641</v>
      </c>
      <c r="K46" s="1">
        <v>124412.67404000003</v>
      </c>
      <c r="L46" s="1">
        <v>142334.845</v>
      </c>
      <c r="M46" s="1">
        <v>156205.628</v>
      </c>
      <c r="N46" s="1">
        <v>165476.144</v>
      </c>
      <c r="O46" s="1">
        <v>170191.39</v>
      </c>
      <c r="P46" s="1">
        <v>154131.34599999999</v>
      </c>
      <c r="Q46" s="1">
        <v>162468.34299999999</v>
      </c>
      <c r="R46" s="1">
        <v>168272.742</v>
      </c>
      <c r="S46" s="1">
        <v>169509.12</v>
      </c>
      <c r="T46" s="1">
        <v>183668.41099999999</v>
      </c>
      <c r="U46" s="1">
        <v>188948.71400000001</v>
      </c>
      <c r="V46" s="1">
        <v>246455.731</v>
      </c>
      <c r="W46" s="1">
        <v>245559.36199999999</v>
      </c>
      <c r="X46" s="1">
        <v>245327.177</v>
      </c>
      <c r="Y46" s="1">
        <v>228619.22099999999</v>
      </c>
      <c r="Z46" s="1">
        <v>227025.851</v>
      </c>
      <c r="AA46" s="1">
        <v>228082.94099999999</v>
      </c>
      <c r="AB46" s="1">
        <v>249602.639</v>
      </c>
      <c r="AC46" s="1">
        <v>249966.071</v>
      </c>
    </row>
    <row r="47" spans="1:29">
      <c r="A47" s="1" t="s">
        <v>99</v>
      </c>
      <c r="F47" s="42">
        <v>28613.179</v>
      </c>
      <c r="I47" s="1">
        <v>37254.260999999999</v>
      </c>
      <c r="K47" s="1">
        <v>55806.008270000013</v>
      </c>
      <c r="L47" s="1">
        <v>73265.232999999993</v>
      </c>
      <c r="M47" s="1">
        <v>82487.98</v>
      </c>
      <c r="N47" s="1">
        <v>81547.482999999993</v>
      </c>
      <c r="O47" s="1">
        <v>76222.926999999996</v>
      </c>
      <c r="P47" s="1">
        <v>81420.001000000004</v>
      </c>
      <c r="Q47" s="1">
        <v>88368.540999999997</v>
      </c>
      <c r="R47" s="1">
        <v>91661.411999999997</v>
      </c>
      <c r="S47" s="1">
        <v>102960.327</v>
      </c>
      <c r="T47" s="1">
        <v>112893.993</v>
      </c>
      <c r="U47" s="1">
        <v>117902.442</v>
      </c>
      <c r="V47" s="1">
        <v>132353.73300000001</v>
      </c>
      <c r="W47" s="1">
        <v>136145</v>
      </c>
      <c r="X47" s="1">
        <v>130311.901</v>
      </c>
      <c r="Y47" s="1">
        <v>101664.412</v>
      </c>
      <c r="Z47" s="1">
        <v>103144.622</v>
      </c>
      <c r="AA47" s="1">
        <v>105315.727</v>
      </c>
      <c r="AB47" s="1">
        <v>133437.56</v>
      </c>
      <c r="AC47" s="1">
        <v>135852.76699999999</v>
      </c>
    </row>
    <row r="48" spans="1:29">
      <c r="A48" s="1" t="s">
        <v>59</v>
      </c>
      <c r="F48" s="42">
        <v>16093.296</v>
      </c>
      <c r="I48" s="1">
        <v>5870.2749999999996</v>
      </c>
      <c r="K48" s="1">
        <v>26730.444</v>
      </c>
      <c r="L48" s="1">
        <v>13801.699000000001</v>
      </c>
      <c r="M48" s="1">
        <v>18189.108</v>
      </c>
      <c r="N48" s="1">
        <v>14599.853999999999</v>
      </c>
      <c r="O48" s="1">
        <v>16943.841</v>
      </c>
      <c r="P48" s="1">
        <v>15993.626</v>
      </c>
      <c r="Q48" s="1">
        <v>17493.237000000001</v>
      </c>
      <c r="R48" s="1">
        <v>18565.745999999999</v>
      </c>
      <c r="S48" s="1">
        <v>20083.517</v>
      </c>
      <c r="T48" s="1">
        <v>21962.695</v>
      </c>
      <c r="U48" s="1">
        <v>24165.581999999999</v>
      </c>
      <c r="V48" s="1">
        <v>28656.249</v>
      </c>
      <c r="W48" s="1">
        <v>50570.773000000001</v>
      </c>
      <c r="X48" s="1">
        <v>50408.400999999998</v>
      </c>
      <c r="Y48" s="1">
        <v>49588.457000000002</v>
      </c>
      <c r="Z48" s="1">
        <v>66999</v>
      </c>
      <c r="AA48" s="1">
        <v>69773.362999999998</v>
      </c>
      <c r="AB48" s="1">
        <v>70607.960000000006</v>
      </c>
      <c r="AC48" s="1">
        <v>66721.956999999995</v>
      </c>
    </row>
    <row r="49" spans="1:29">
      <c r="A49" s="1" t="s">
        <v>101</v>
      </c>
      <c r="F49" s="42">
        <v>9270.2350000000006</v>
      </c>
      <c r="I49" s="1">
        <v>10235.098</v>
      </c>
      <c r="K49" s="1">
        <v>17794.425999999999</v>
      </c>
      <c r="L49" s="1">
        <v>22438.842000000001</v>
      </c>
      <c r="M49" s="1">
        <v>22986.84</v>
      </c>
      <c r="N49" s="1">
        <v>24128.487000000001</v>
      </c>
      <c r="O49" s="1">
        <v>23752.901000000002</v>
      </c>
      <c r="P49" s="1">
        <v>24659.282999999999</v>
      </c>
      <c r="Q49" s="1">
        <v>25906.617999999999</v>
      </c>
      <c r="R49" s="1">
        <v>27047.187999999998</v>
      </c>
      <c r="S49" s="1">
        <v>28327.467000000001</v>
      </c>
      <c r="T49" s="1">
        <v>29341.562000000002</v>
      </c>
      <c r="U49" s="1">
        <v>31801.268</v>
      </c>
      <c r="V49" s="1">
        <v>37391.228999999999</v>
      </c>
      <c r="W49" s="1">
        <v>37061.834999999999</v>
      </c>
      <c r="X49" s="1">
        <v>41375.095999999998</v>
      </c>
      <c r="Y49" s="1">
        <v>35648.442000000003</v>
      </c>
      <c r="Z49" s="1">
        <v>35706.491000000002</v>
      </c>
      <c r="AA49" s="1">
        <v>38633.981</v>
      </c>
      <c r="AB49" s="1">
        <v>50831.248</v>
      </c>
      <c r="AC49" s="1">
        <v>50247.548999999999</v>
      </c>
    </row>
    <row r="50" spans="1:29">
      <c r="A50" s="1" t="s">
        <v>107</v>
      </c>
      <c r="F50" s="42">
        <v>2973.8209999999999</v>
      </c>
      <c r="I50" s="1">
        <v>3560.3560000000002</v>
      </c>
      <c r="K50" s="1">
        <v>2835.1106599999966</v>
      </c>
      <c r="L50" s="1">
        <v>4378.2740000000003</v>
      </c>
      <c r="M50" s="1">
        <v>4442.5320000000002</v>
      </c>
      <c r="N50" s="1">
        <v>4558.7389999999996</v>
      </c>
      <c r="O50" s="1">
        <v>3774.0770000000002</v>
      </c>
      <c r="P50" s="1">
        <v>3769.68</v>
      </c>
      <c r="Q50" s="1">
        <v>4536.3270000000002</v>
      </c>
      <c r="R50" s="1">
        <v>4149.3450000000003</v>
      </c>
      <c r="S50" s="1">
        <v>4811.1989999999996</v>
      </c>
      <c r="T50" s="1">
        <v>3962.0430000000001</v>
      </c>
      <c r="U50" s="1">
        <v>5692.4830000000002</v>
      </c>
      <c r="V50" s="1">
        <v>6981.0690000000004</v>
      </c>
      <c r="W50" s="1">
        <v>7724.4780000000001</v>
      </c>
      <c r="X50" s="1">
        <v>11504.504000000001</v>
      </c>
      <c r="Y50" s="1">
        <v>11325.433999999999</v>
      </c>
      <c r="Z50" s="1">
        <v>12472.619000000001</v>
      </c>
      <c r="AA50" s="1">
        <v>12264.477999999999</v>
      </c>
      <c r="AB50" s="1">
        <v>13335.812</v>
      </c>
      <c r="AC50" s="1">
        <v>13865.245999999999</v>
      </c>
    </row>
    <row r="51" spans="1:29">
      <c r="A51" s="1" t="s">
        <v>108</v>
      </c>
      <c r="F51" s="42">
        <v>43189.644</v>
      </c>
      <c r="I51" s="1">
        <v>47528.843999999997</v>
      </c>
      <c r="K51" s="1">
        <v>56305.830999999998</v>
      </c>
      <c r="L51" s="1">
        <v>69368.237999999998</v>
      </c>
      <c r="M51" s="1">
        <v>75957.782999999996</v>
      </c>
      <c r="N51" s="1">
        <v>66332.107999999993</v>
      </c>
      <c r="O51" s="1">
        <v>73085.043999999994</v>
      </c>
      <c r="P51" s="1">
        <v>74225.804999999993</v>
      </c>
      <c r="Q51" s="1">
        <v>74925.675000000003</v>
      </c>
      <c r="R51" s="1">
        <v>79027.084000000003</v>
      </c>
      <c r="S51" s="1">
        <v>84586.483999999997</v>
      </c>
      <c r="T51" s="1">
        <v>87156.379000000001</v>
      </c>
      <c r="U51" s="1">
        <v>126063.91499999999</v>
      </c>
      <c r="V51" s="1">
        <v>129191.51</v>
      </c>
      <c r="W51" s="1">
        <v>139927.83499999999</v>
      </c>
      <c r="X51" s="1">
        <v>140853.85500000001</v>
      </c>
      <c r="Y51" s="1">
        <v>144146.22200000001</v>
      </c>
      <c r="Z51" s="1">
        <v>146637.101</v>
      </c>
      <c r="AA51" s="1">
        <v>146272.64300000001</v>
      </c>
      <c r="AB51" s="1">
        <v>147669.19500000001</v>
      </c>
      <c r="AC51" s="1">
        <v>156355.55900000001</v>
      </c>
    </row>
    <row r="52" spans="1:29">
      <c r="A52" s="1" t="s">
        <v>112</v>
      </c>
      <c r="F52" s="42">
        <v>91.733000000000004</v>
      </c>
      <c r="I52" s="1">
        <v>115.36499999999999</v>
      </c>
      <c r="K52" s="1">
        <v>1702.0525899999998</v>
      </c>
      <c r="L52" s="1">
        <v>3125.4639999999999</v>
      </c>
      <c r="M52" s="1">
        <v>2829.47</v>
      </c>
      <c r="N52" s="1">
        <v>3735.9879999999998</v>
      </c>
      <c r="O52" s="1">
        <v>1903.3720000000001</v>
      </c>
      <c r="P52" s="1">
        <v>1548.848</v>
      </c>
      <c r="Q52" s="1">
        <v>1222.932</v>
      </c>
      <c r="R52" s="1">
        <v>1531.2170000000001</v>
      </c>
      <c r="S52" s="1">
        <v>2273.1880000000001</v>
      </c>
      <c r="T52" s="1">
        <v>2262.1680000000001</v>
      </c>
      <c r="U52" s="1">
        <v>5231.5569999999998</v>
      </c>
      <c r="V52" s="1">
        <v>2255.3209999999999</v>
      </c>
      <c r="W52" s="1">
        <v>2800.9209999999998</v>
      </c>
      <c r="X52" s="1">
        <v>2677.0990000000002</v>
      </c>
      <c r="Y52" s="1">
        <v>7864.6989999999996</v>
      </c>
      <c r="Z52" s="1">
        <v>8083.4780000000001</v>
      </c>
      <c r="AA52" s="1">
        <v>10261.050999999999</v>
      </c>
      <c r="AB52" s="1">
        <v>8925.7540000000008</v>
      </c>
      <c r="AC52" s="1">
        <v>8377.7950000000001</v>
      </c>
    </row>
    <row r="53" spans="1:29">
      <c r="A53" s="24" t="s">
        <v>116</v>
      </c>
      <c r="B53" s="24"/>
      <c r="C53" s="24"/>
      <c r="D53" s="24"/>
      <c r="E53" s="24"/>
      <c r="F53" s="45">
        <v>16266.776</v>
      </c>
      <c r="G53" s="24"/>
      <c r="H53" s="24"/>
      <c r="I53" s="24">
        <v>18976.13</v>
      </c>
      <c r="J53" s="24"/>
      <c r="K53" s="24">
        <v>21827.154999999999</v>
      </c>
      <c r="L53" s="24">
        <v>26704.422999999999</v>
      </c>
      <c r="M53" s="24">
        <v>31499.444</v>
      </c>
      <c r="N53" s="24">
        <v>31695.205999999998</v>
      </c>
      <c r="O53" s="24">
        <v>34392.076000000001</v>
      </c>
      <c r="P53" s="24">
        <v>36056.934999999998</v>
      </c>
      <c r="Q53" s="24">
        <v>37638.874000000003</v>
      </c>
      <c r="R53" s="24">
        <v>38318.275000000001</v>
      </c>
      <c r="S53" s="24">
        <v>36314.014999999999</v>
      </c>
      <c r="T53" s="24">
        <v>36470.915999999997</v>
      </c>
      <c r="U53" s="24">
        <v>39359.034</v>
      </c>
      <c r="V53" s="24">
        <v>52207.917999999998</v>
      </c>
      <c r="W53" s="24">
        <v>52866.036</v>
      </c>
      <c r="X53" s="24">
        <v>55134.464999999997</v>
      </c>
      <c r="Y53" s="24">
        <v>21945.879000000001</v>
      </c>
      <c r="Z53" s="24">
        <v>22695.948</v>
      </c>
      <c r="AA53" s="24">
        <v>22800.391</v>
      </c>
      <c r="AB53" s="24">
        <v>60334.120999999999</v>
      </c>
      <c r="AC53" s="24">
        <v>55576.887999999999</v>
      </c>
    </row>
    <row r="54" spans="1:29">
      <c r="A54" s="7" t="s">
        <v>122</v>
      </c>
      <c r="B54" s="48">
        <f>SUM(B56:B64)</f>
        <v>0</v>
      </c>
      <c r="C54" s="48">
        <f t="shared" ref="C54:AC54" si="12">SUM(C56:C64)</f>
        <v>0</v>
      </c>
      <c r="D54" s="48">
        <f t="shared" si="12"/>
        <v>0</v>
      </c>
      <c r="E54" s="48">
        <f t="shared" si="12"/>
        <v>0</v>
      </c>
      <c r="F54" s="48">
        <f>SUM(F56:F64)</f>
        <v>164982.90800000002</v>
      </c>
      <c r="G54" s="48">
        <f t="shared" si="12"/>
        <v>0</v>
      </c>
      <c r="H54" s="48">
        <f t="shared" si="12"/>
        <v>0</v>
      </c>
      <c r="I54" s="48">
        <f t="shared" si="12"/>
        <v>197662.49599999998</v>
      </c>
      <c r="J54" s="48">
        <f t="shared" si="12"/>
        <v>0</v>
      </c>
      <c r="K54" s="48">
        <f t="shared" si="12"/>
        <v>254242.08628000005</v>
      </c>
      <c r="L54" s="48">
        <f t="shared" si="12"/>
        <v>273693.147</v>
      </c>
      <c r="M54" s="48">
        <f t="shared" si="12"/>
        <v>314581.85199999996</v>
      </c>
      <c r="N54" s="48">
        <f t="shared" si="12"/>
        <v>330532.96000000002</v>
      </c>
      <c r="O54" s="48">
        <f t="shared" si="12"/>
        <v>348126.58799999993</v>
      </c>
      <c r="P54" s="48">
        <f t="shared" si="12"/>
        <v>367716.52899999998</v>
      </c>
      <c r="Q54" s="48">
        <f t="shared" si="12"/>
        <v>388742.35100000008</v>
      </c>
      <c r="R54" s="48">
        <f t="shared" si="12"/>
        <v>409089.39099999995</v>
      </c>
      <c r="S54" s="48">
        <f t="shared" si="12"/>
        <v>429386.76599999995</v>
      </c>
      <c r="T54" s="48">
        <f t="shared" si="12"/>
        <v>475278.05200000003</v>
      </c>
      <c r="U54" s="48">
        <f t="shared" si="12"/>
        <v>534483.47499999998</v>
      </c>
      <c r="V54" s="48">
        <f t="shared" si="12"/>
        <v>640157.12100000004</v>
      </c>
      <c r="W54" s="48">
        <f t="shared" si="12"/>
        <v>672262.5290000001</v>
      </c>
      <c r="X54" s="48">
        <f t="shared" si="12"/>
        <v>677265.87100000004</v>
      </c>
      <c r="Y54" s="48">
        <f t="shared" si="12"/>
        <v>699000.18</v>
      </c>
      <c r="Z54" s="48">
        <f t="shared" si="12"/>
        <v>755312.10699999996</v>
      </c>
      <c r="AA54" s="48">
        <f t="shared" si="12"/>
        <v>776821.54599999997</v>
      </c>
      <c r="AB54" s="48">
        <f t="shared" si="12"/>
        <v>751503.6129999999</v>
      </c>
      <c r="AC54" s="48">
        <f t="shared" si="12"/>
        <v>742598.19700000004</v>
      </c>
    </row>
    <row r="55" spans="1:29">
      <c r="A55" s="7" t="s">
        <v>119</v>
      </c>
      <c r="X55" s="1">
        <v>0</v>
      </c>
      <c r="AB55" s="1">
        <v>0</v>
      </c>
      <c r="AC55" s="1">
        <v>0</v>
      </c>
    </row>
    <row r="56" spans="1:29">
      <c r="A56" s="1" t="s">
        <v>89</v>
      </c>
      <c r="F56" s="42">
        <v>17672.684000000001</v>
      </c>
      <c r="I56" s="1">
        <v>19982.758000000002</v>
      </c>
      <c r="K56" s="1">
        <v>28212.475040000005</v>
      </c>
      <c r="L56" s="1">
        <v>35536.800999999999</v>
      </c>
      <c r="M56" s="1">
        <v>35433.023000000001</v>
      </c>
      <c r="N56" s="1">
        <v>39891.862000000001</v>
      </c>
      <c r="O56" s="1">
        <v>39738.464</v>
      </c>
      <c r="P56" s="1">
        <v>39992.133999999998</v>
      </c>
      <c r="Q56" s="1">
        <v>45493.953999999998</v>
      </c>
      <c r="R56" s="1">
        <v>48866.875</v>
      </c>
      <c r="S56" s="1">
        <v>52920.802000000003</v>
      </c>
      <c r="T56" s="1">
        <v>61464.536</v>
      </c>
      <c r="U56" s="1">
        <v>78049.228000000003</v>
      </c>
      <c r="V56" s="1">
        <v>87572.513000000006</v>
      </c>
      <c r="W56" s="1">
        <v>91381.123000000007</v>
      </c>
      <c r="X56" s="1">
        <v>92943.967999999993</v>
      </c>
      <c r="Y56" s="1">
        <v>92184.557000000001</v>
      </c>
      <c r="Z56" s="1">
        <v>99084.517999999996</v>
      </c>
      <c r="AA56" s="1">
        <v>106605.03</v>
      </c>
      <c r="AB56" s="1">
        <v>96132.153999999995</v>
      </c>
      <c r="AC56" s="1">
        <v>95307.24</v>
      </c>
    </row>
    <row r="57" spans="1:29">
      <c r="A57" s="1" t="s">
        <v>96</v>
      </c>
      <c r="F57" s="42">
        <v>4353.95</v>
      </c>
      <c r="I57" s="1">
        <v>5004.6109999999999</v>
      </c>
      <c r="K57" s="1">
        <v>5043.5439999999999</v>
      </c>
      <c r="L57" s="1">
        <v>6104.527</v>
      </c>
      <c r="M57" s="1">
        <v>6337.4849999999997</v>
      </c>
      <c r="N57" s="1">
        <v>6900.0039999999999</v>
      </c>
      <c r="O57" s="1">
        <v>6690.2619999999997</v>
      </c>
      <c r="P57" s="1">
        <v>7121.8410000000003</v>
      </c>
      <c r="Q57" s="1">
        <v>7017.76</v>
      </c>
      <c r="R57" s="1">
        <v>7029.9769999999999</v>
      </c>
      <c r="S57" s="1">
        <v>7285.3010000000004</v>
      </c>
      <c r="T57" s="1">
        <v>8099.1859999999997</v>
      </c>
      <c r="U57" s="1">
        <v>10303.039000000001</v>
      </c>
      <c r="V57" s="1">
        <v>10371.584000000001</v>
      </c>
      <c r="W57" s="1">
        <v>11429.528</v>
      </c>
      <c r="X57" s="1">
        <v>12657.302</v>
      </c>
      <c r="Y57" s="1">
        <v>13306.607</v>
      </c>
      <c r="Z57" s="1">
        <v>12796.977000000001</v>
      </c>
      <c r="AA57" s="1">
        <v>13164.022999999999</v>
      </c>
      <c r="AB57" s="1">
        <v>13308.862999999999</v>
      </c>
      <c r="AC57" s="1">
        <v>13788.879000000001</v>
      </c>
    </row>
    <row r="58" spans="1:29" s="11" customFormat="1">
      <c r="A58" s="1" t="s">
        <v>97</v>
      </c>
      <c r="B58" s="1"/>
      <c r="C58" s="1"/>
      <c r="D58" s="1"/>
      <c r="E58" s="1"/>
      <c r="F58" s="42">
        <v>24147.462</v>
      </c>
      <c r="G58" s="1"/>
      <c r="H58" s="1"/>
      <c r="I58" s="1">
        <v>37982.120000000003</v>
      </c>
      <c r="J58" s="1"/>
      <c r="K58" s="1">
        <v>45753.733</v>
      </c>
      <c r="L58" s="1">
        <v>55682.235999999997</v>
      </c>
      <c r="M58" s="1">
        <v>60925.754000000001</v>
      </c>
      <c r="N58" s="1">
        <v>59775.917999999998</v>
      </c>
      <c r="O58" s="1">
        <v>58494.722999999998</v>
      </c>
      <c r="P58" s="1">
        <v>63434.154000000002</v>
      </c>
      <c r="Q58" s="1">
        <v>69988.418000000005</v>
      </c>
      <c r="R58" s="1">
        <v>76142.557000000001</v>
      </c>
      <c r="S58" s="1">
        <v>80666.368000000002</v>
      </c>
      <c r="T58" s="1">
        <v>85145.509000000005</v>
      </c>
      <c r="U58" s="1">
        <v>78745.554000000004</v>
      </c>
      <c r="V58" s="1">
        <v>93032.058000000005</v>
      </c>
      <c r="W58" s="1">
        <v>98978.368000000002</v>
      </c>
      <c r="X58" s="1">
        <v>101761.05</v>
      </c>
      <c r="Y58" s="1">
        <v>104548.473</v>
      </c>
      <c r="Z58" s="1">
        <v>108633.54700000001</v>
      </c>
      <c r="AA58" s="1">
        <v>114667.4</v>
      </c>
      <c r="AB58" s="1">
        <v>116906.573</v>
      </c>
      <c r="AC58" s="1">
        <v>120919.159</v>
      </c>
    </row>
    <row r="59" spans="1:29">
      <c r="A59" s="1" t="s">
        <v>103</v>
      </c>
      <c r="F59" s="42">
        <v>3390.7739999999999</v>
      </c>
      <c r="I59" s="1">
        <v>2853.2460000000001</v>
      </c>
      <c r="K59" s="1">
        <v>3456.8560000000002</v>
      </c>
      <c r="L59" s="1">
        <v>2261.7869999999998</v>
      </c>
      <c r="M59" s="1">
        <v>2789.5239999999999</v>
      </c>
      <c r="N59" s="1">
        <v>4176.6220000000003</v>
      </c>
      <c r="O59" s="1">
        <v>1997.9659999999999</v>
      </c>
      <c r="P59" s="1">
        <v>3006.11</v>
      </c>
      <c r="Q59" s="1">
        <v>2562.4630000000002</v>
      </c>
      <c r="R59" s="1">
        <v>2247.8380000000002</v>
      </c>
      <c r="S59" s="1">
        <v>1731.3789999999999</v>
      </c>
      <c r="T59" s="1">
        <v>3874.9830000000002</v>
      </c>
      <c r="U59" s="1">
        <v>4011.366</v>
      </c>
      <c r="V59" s="1">
        <v>3955.011</v>
      </c>
      <c r="W59" s="1">
        <v>3991.4290000000001</v>
      </c>
      <c r="X59" s="1">
        <v>9095.2620000000006</v>
      </c>
      <c r="Y59" s="1">
        <v>7522.4660000000003</v>
      </c>
      <c r="Z59" s="1">
        <v>7037.1480000000001</v>
      </c>
      <c r="AA59" s="1">
        <v>7526.2870000000003</v>
      </c>
      <c r="AB59" s="1">
        <v>8463.0570000000007</v>
      </c>
      <c r="AC59" s="1">
        <v>9534.6170000000002</v>
      </c>
    </row>
    <row r="60" spans="1:29">
      <c r="A60" s="1" t="s">
        <v>104</v>
      </c>
      <c r="F60" s="42">
        <v>35731.14</v>
      </c>
      <c r="I60" s="1">
        <v>41599.915000000001</v>
      </c>
      <c r="K60" s="1">
        <v>42314.525000000001</v>
      </c>
      <c r="L60" s="1">
        <v>48819.794999999998</v>
      </c>
      <c r="M60" s="1">
        <v>52520.203999999998</v>
      </c>
      <c r="N60" s="1">
        <v>54996.050999999999</v>
      </c>
      <c r="O60" s="1">
        <v>59411.260999999999</v>
      </c>
      <c r="P60" s="1">
        <v>63555.92</v>
      </c>
      <c r="Q60" s="1">
        <v>68009.293000000005</v>
      </c>
      <c r="R60" s="1">
        <v>69852.570999999996</v>
      </c>
      <c r="S60" s="1">
        <v>70671.481</v>
      </c>
      <c r="T60" s="1">
        <v>78208.914000000004</v>
      </c>
      <c r="U60" s="1">
        <v>83954.502999999997</v>
      </c>
      <c r="V60" s="1">
        <v>103714.883</v>
      </c>
      <c r="W60" s="1">
        <v>103657.289</v>
      </c>
      <c r="X60" s="1">
        <v>99530.497000000003</v>
      </c>
      <c r="Y60" s="1">
        <v>101726.981</v>
      </c>
      <c r="Z60" s="1">
        <v>106802.851</v>
      </c>
      <c r="AA60" s="1">
        <v>107369.603</v>
      </c>
      <c r="AB60" s="1">
        <v>96043.425000000003</v>
      </c>
      <c r="AC60" s="1">
        <v>100773.5</v>
      </c>
    </row>
    <row r="61" spans="1:29">
      <c r="A61" s="1" t="s">
        <v>106</v>
      </c>
      <c r="F61" s="42">
        <v>39828.309000000001</v>
      </c>
      <c r="I61" s="1">
        <v>48924.163</v>
      </c>
      <c r="K61" s="1">
        <v>80484.418000000005</v>
      </c>
      <c r="L61" s="1">
        <v>78345.698000000004</v>
      </c>
      <c r="M61" s="1">
        <v>105849.333</v>
      </c>
      <c r="N61" s="1">
        <v>111317.401</v>
      </c>
      <c r="O61" s="1">
        <v>121887.23699999999</v>
      </c>
      <c r="P61" s="1">
        <v>128260.281</v>
      </c>
      <c r="Q61" s="1">
        <v>132171.30900000001</v>
      </c>
      <c r="R61" s="1">
        <v>135734.31299999999</v>
      </c>
      <c r="S61" s="1">
        <v>142973.274</v>
      </c>
      <c r="T61" s="1">
        <v>154971.04300000001</v>
      </c>
      <c r="U61" s="1">
        <v>179186.43400000001</v>
      </c>
      <c r="V61" s="1">
        <v>227629.41500000001</v>
      </c>
      <c r="W61" s="1">
        <v>243854.71400000001</v>
      </c>
      <c r="X61" s="1">
        <v>236123.5</v>
      </c>
      <c r="Y61" s="1">
        <v>252241.42800000001</v>
      </c>
      <c r="Z61" s="1">
        <v>292418.10200000001</v>
      </c>
      <c r="AA61" s="1">
        <v>297664.43400000001</v>
      </c>
      <c r="AB61" s="1">
        <v>298353.11499999999</v>
      </c>
      <c r="AC61" s="1">
        <v>282596.39500000002</v>
      </c>
    </row>
    <row r="62" spans="1:29">
      <c r="A62" s="1" t="s">
        <v>110</v>
      </c>
      <c r="F62" s="42">
        <v>32833.195</v>
      </c>
      <c r="I62" s="1">
        <v>34237.868000000002</v>
      </c>
      <c r="K62" s="1">
        <v>41370.397240000013</v>
      </c>
      <c r="L62" s="1">
        <v>38153.428999999996</v>
      </c>
      <c r="M62" s="1">
        <v>41659.321000000004</v>
      </c>
      <c r="N62" s="1">
        <v>44103.264000000003</v>
      </c>
      <c r="O62" s="1">
        <v>49960.805999999997</v>
      </c>
      <c r="P62" s="1">
        <v>51937.616000000002</v>
      </c>
      <c r="Q62" s="1">
        <v>52695.633999999998</v>
      </c>
      <c r="R62" s="1">
        <v>57161.008000000002</v>
      </c>
      <c r="S62" s="1">
        <v>61196.978999999999</v>
      </c>
      <c r="T62" s="1">
        <v>69999.812000000005</v>
      </c>
      <c r="U62" s="1">
        <v>81882.91</v>
      </c>
      <c r="V62" s="1">
        <v>97822.707999999999</v>
      </c>
      <c r="W62" s="1">
        <v>101178.731</v>
      </c>
      <c r="X62" s="1">
        <v>106967.164</v>
      </c>
      <c r="Y62" s="1">
        <v>103674.47199999999</v>
      </c>
      <c r="Z62" s="1">
        <v>104449.205</v>
      </c>
      <c r="AA62" s="1">
        <v>106553.505</v>
      </c>
      <c r="AB62" s="1">
        <v>101897.591</v>
      </c>
      <c r="AC62" s="1">
        <v>99454.903999999995</v>
      </c>
    </row>
    <row r="63" spans="1:29">
      <c r="A63" s="1" t="s">
        <v>111</v>
      </c>
      <c r="F63" s="42">
        <v>2965.3539999999998</v>
      </c>
      <c r="I63" s="1">
        <v>3640.3960000000002</v>
      </c>
      <c r="K63" s="1">
        <v>3817.779</v>
      </c>
      <c r="L63" s="1">
        <v>4064.95</v>
      </c>
      <c r="M63" s="1">
        <v>4239.3980000000001</v>
      </c>
      <c r="N63" s="1">
        <v>4631.7250000000004</v>
      </c>
      <c r="O63" s="1">
        <v>4895.2700000000004</v>
      </c>
      <c r="P63" s="1">
        <v>5307.0690000000004</v>
      </c>
      <c r="Q63" s="1">
        <v>5305.5209999999997</v>
      </c>
      <c r="R63" s="1">
        <v>6470.1469999999999</v>
      </c>
      <c r="S63" s="1">
        <v>6286.7629999999999</v>
      </c>
      <c r="T63" s="1">
        <v>6973.375</v>
      </c>
      <c r="U63" s="1">
        <v>8479.8060000000005</v>
      </c>
      <c r="V63" s="1">
        <v>7894.9409999999998</v>
      </c>
      <c r="W63" s="1">
        <v>8522.6479999999992</v>
      </c>
      <c r="X63" s="1">
        <v>8195.8729999999996</v>
      </c>
      <c r="Y63" s="1">
        <v>8426.5920000000006</v>
      </c>
      <c r="Z63" s="1">
        <v>8833.7780000000002</v>
      </c>
      <c r="AA63" s="1">
        <v>9027.4310000000005</v>
      </c>
      <c r="AB63" s="1">
        <v>9168.9449999999997</v>
      </c>
      <c r="AC63" s="1">
        <v>8570.7340000000004</v>
      </c>
    </row>
    <row r="64" spans="1:29">
      <c r="A64" s="24" t="s">
        <v>114</v>
      </c>
      <c r="B64" s="24"/>
      <c r="C64" s="24"/>
      <c r="D64" s="24"/>
      <c r="E64" s="24"/>
      <c r="F64" s="45">
        <v>4060.04</v>
      </c>
      <c r="G64" s="24"/>
      <c r="H64" s="24"/>
      <c r="I64" s="24">
        <v>3437.4189999999999</v>
      </c>
      <c r="J64" s="24"/>
      <c r="K64" s="24">
        <v>3788.3589999999999</v>
      </c>
      <c r="L64" s="24">
        <v>4723.924</v>
      </c>
      <c r="M64" s="24">
        <v>4827.8100000000004</v>
      </c>
      <c r="N64" s="24">
        <v>4740.1130000000003</v>
      </c>
      <c r="O64" s="24">
        <v>5050.5990000000002</v>
      </c>
      <c r="P64" s="24">
        <v>5101.4040000000005</v>
      </c>
      <c r="Q64" s="24">
        <v>5497.9989999999998</v>
      </c>
      <c r="R64" s="24">
        <v>5584.1049999999996</v>
      </c>
      <c r="S64" s="24">
        <v>5654.4189999999999</v>
      </c>
      <c r="T64" s="24">
        <v>6540.6940000000004</v>
      </c>
      <c r="U64" s="24">
        <v>9870.6350000000002</v>
      </c>
      <c r="V64" s="24">
        <v>8164.0079999999998</v>
      </c>
      <c r="W64" s="24">
        <v>9268.6990000000005</v>
      </c>
      <c r="X64" s="24">
        <v>9991.2549999999992</v>
      </c>
      <c r="Y64" s="24">
        <v>15368.603999999999</v>
      </c>
      <c r="Z64" s="24">
        <v>15255.981</v>
      </c>
      <c r="AA64" s="24">
        <v>14243.833000000001</v>
      </c>
      <c r="AB64" s="24">
        <v>11229.89</v>
      </c>
      <c r="AC64" s="24">
        <v>11652.769</v>
      </c>
    </row>
    <row r="65" spans="1:29">
      <c r="A65" s="46" t="s">
        <v>90</v>
      </c>
      <c r="B65" s="46"/>
      <c r="C65" s="46"/>
      <c r="D65" s="46"/>
      <c r="E65" s="46"/>
      <c r="F65" s="47">
        <v>0</v>
      </c>
      <c r="G65" s="46"/>
      <c r="H65" s="46"/>
      <c r="I65" s="46">
        <v>0</v>
      </c>
      <c r="J65" s="46"/>
      <c r="K65" s="46">
        <v>0</v>
      </c>
      <c r="L65" s="46">
        <v>0</v>
      </c>
      <c r="M65" s="46">
        <v>0</v>
      </c>
      <c r="N65" s="46">
        <v>0</v>
      </c>
      <c r="O65" s="46">
        <v>0</v>
      </c>
      <c r="P65" s="46">
        <v>0</v>
      </c>
      <c r="Q65" s="46">
        <v>0</v>
      </c>
      <c r="R65" s="46">
        <v>0</v>
      </c>
      <c r="S65" s="46">
        <v>0</v>
      </c>
      <c r="T65" s="46">
        <v>0</v>
      </c>
      <c r="U65" s="46">
        <v>0</v>
      </c>
      <c r="V65" s="46">
        <v>0</v>
      </c>
      <c r="W65" s="46">
        <v>0</v>
      </c>
      <c r="X65" s="24"/>
      <c r="Y65" s="24"/>
      <c r="Z65" s="24"/>
      <c r="AA65" s="24"/>
      <c r="AB65" s="24"/>
      <c r="AC65" s="24"/>
    </row>
    <row r="67" spans="1:29">
      <c r="I67" s="20" t="s">
        <v>78</v>
      </c>
      <c r="J67" s="20" t="s">
        <v>76</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abColor theme="4" tint="0.39997558519241921"/>
  </sheetPr>
  <dimension ref="A1:AC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AA54" sqref="AA54:AC54"/>
    </sheetView>
  </sheetViews>
  <sheetFormatPr defaultColWidth="9.7109375" defaultRowHeight="12.75"/>
  <cols>
    <col min="1" max="1" width="23.42578125" style="44" customWidth="1"/>
    <col min="2" max="23" width="12.42578125" style="1" customWidth="1"/>
    <col min="24" max="42" width="10.7109375" style="1" customWidth="1"/>
    <col min="43" max="16384" width="9.7109375" style="1"/>
  </cols>
  <sheetData>
    <row r="1" spans="1:29">
      <c r="A1" s="7" t="s">
        <v>39</v>
      </c>
      <c r="B1"/>
      <c r="C1"/>
      <c r="D1"/>
      <c r="E1"/>
      <c r="F1"/>
      <c r="G1"/>
      <c r="H1"/>
      <c r="I1"/>
      <c r="J1"/>
      <c r="K1"/>
      <c r="L1"/>
      <c r="M1"/>
      <c r="N1"/>
      <c r="O1"/>
      <c r="P1"/>
      <c r="Q1"/>
      <c r="R1"/>
      <c r="S1"/>
      <c r="T1"/>
      <c r="U1"/>
      <c r="V1"/>
      <c r="W1"/>
      <c r="AA1" s="1">
        <v>1000</v>
      </c>
    </row>
    <row r="2" spans="1:29">
      <c r="A2" s="9"/>
      <c r="B2"/>
      <c r="C2"/>
      <c r="D2"/>
      <c r="E2"/>
      <c r="F2"/>
      <c r="G2"/>
      <c r="H2"/>
      <c r="I2"/>
      <c r="J2"/>
      <c r="K2"/>
      <c r="L2"/>
      <c r="M2"/>
      <c r="N2"/>
      <c r="O2"/>
      <c r="P2"/>
      <c r="Q2"/>
      <c r="R2"/>
      <c r="S2"/>
      <c r="T2"/>
      <c r="U2"/>
      <c r="V2"/>
      <c r="W2"/>
    </row>
    <row r="3" spans="1:29">
      <c r="A3" s="1" t="s">
        <v>22</v>
      </c>
      <c r="B3"/>
      <c r="C3"/>
      <c r="D3"/>
      <c r="E3"/>
      <c r="F3"/>
      <c r="G3"/>
      <c r="H3"/>
      <c r="I3"/>
      <c r="J3"/>
      <c r="K3"/>
      <c r="L3"/>
      <c r="M3"/>
      <c r="N3"/>
      <c r="O3"/>
      <c r="P3"/>
      <c r="Q3"/>
      <c r="R3"/>
      <c r="S3"/>
      <c r="T3"/>
      <c r="U3"/>
      <c r="V3"/>
      <c r="W3"/>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c r="W4" s="40">
        <v>2011</v>
      </c>
      <c r="X4" s="33" t="s">
        <v>140</v>
      </c>
      <c r="Y4" s="33" t="s">
        <v>142</v>
      </c>
      <c r="Z4" s="33" t="s">
        <v>143</v>
      </c>
      <c r="AA4" s="33" t="s">
        <v>144</v>
      </c>
      <c r="AB4" s="96" t="s">
        <v>149</v>
      </c>
      <c r="AC4" s="96" t="s">
        <v>150</v>
      </c>
    </row>
    <row r="5" spans="1:29" s="8" customFormat="1">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c r="W5" s="8" t="s">
        <v>1</v>
      </c>
      <c r="X5" s="8" t="s">
        <v>1</v>
      </c>
      <c r="Y5" s="8" t="s">
        <v>1</v>
      </c>
      <c r="Z5" s="8" t="s">
        <v>1</v>
      </c>
      <c r="AA5" s="8" t="s">
        <v>1</v>
      </c>
      <c r="AB5" s="8" t="s">
        <v>1</v>
      </c>
      <c r="AC5" s="8" t="s">
        <v>1</v>
      </c>
    </row>
    <row r="6" spans="1:29">
      <c r="A6" s="24" t="s">
        <v>118</v>
      </c>
      <c r="B6" s="1">
        <f>534162+1150940</f>
        <v>1685102</v>
      </c>
      <c r="C6" s="1">
        <f>588558+1253205</f>
        <v>1841763</v>
      </c>
      <c r="D6" s="1">
        <f>639977+1361198</f>
        <v>2001175</v>
      </c>
      <c r="E6" s="1">
        <v>2772947.1239999998</v>
      </c>
      <c r="F6" s="49">
        <f>+F7+F25+F40+F54+F65</f>
        <v>2862019.622</v>
      </c>
      <c r="G6" s="1">
        <v>3269448.477</v>
      </c>
      <c r="H6" s="1">
        <v>3298838.8190000001</v>
      </c>
      <c r="I6" s="49">
        <f>+I7+I25+I40+I54+I65</f>
        <v>3405337.8819999998</v>
      </c>
      <c r="J6" s="1">
        <v>3525266.301</v>
      </c>
      <c r="K6" s="49">
        <f t="shared" ref="K6:U6" si="0">+K7+K25+K40+K54+K65</f>
        <v>3881206.0453199996</v>
      </c>
      <c r="L6" s="49">
        <f t="shared" si="0"/>
        <v>4664135.0159999998</v>
      </c>
      <c r="M6" s="49">
        <f t="shared" si="0"/>
        <v>4952500.5470000003</v>
      </c>
      <c r="N6" s="49">
        <f t="shared" si="0"/>
        <v>5211416.4550000001</v>
      </c>
      <c r="O6" s="49">
        <f t="shared" si="0"/>
        <v>5375257.3640000001</v>
      </c>
      <c r="P6" s="49">
        <f t="shared" si="0"/>
        <v>5637180.9160000002</v>
      </c>
      <c r="Q6" s="49">
        <f t="shared" si="0"/>
        <v>6189602.5379999997</v>
      </c>
      <c r="R6" s="49">
        <f t="shared" si="0"/>
        <v>6425120.8950000014</v>
      </c>
      <c r="S6" s="49">
        <f t="shared" si="0"/>
        <v>6875146.0760000004</v>
      </c>
      <c r="T6" s="49">
        <f t="shared" si="0"/>
        <v>7739845.5589999994</v>
      </c>
      <c r="U6" s="49">
        <f t="shared" si="0"/>
        <v>7978662.3099999996</v>
      </c>
      <c r="V6" s="49">
        <f t="shared" ref="V6:W6" si="1">+V7+V25+V40+V54+V65</f>
        <v>9309767.568</v>
      </c>
      <c r="W6" s="49">
        <f t="shared" si="1"/>
        <v>9722966.3499999996</v>
      </c>
      <c r="X6" s="49">
        <f t="shared" ref="X6:Y6" si="2">+X7+X25+X40+X54+X65</f>
        <v>10278086.606999999</v>
      </c>
      <c r="Y6" s="49">
        <f t="shared" si="2"/>
        <v>10739928.431999998</v>
      </c>
      <c r="Z6" s="49">
        <f t="shared" ref="Z6:AA6" si="3">+Z7+Z25+Z40+Z54+Z65</f>
        <v>11534187.737</v>
      </c>
      <c r="AA6" s="49">
        <f t="shared" si="3"/>
        <v>12033843.597999999</v>
      </c>
      <c r="AB6" s="49">
        <f t="shared" ref="AB6:AC6" si="4">+AB7+AB25+AB40+AB54+AB65</f>
        <v>12645165.080999997</v>
      </c>
      <c r="AC6" s="49">
        <f t="shared" si="4"/>
        <v>13175555.091</v>
      </c>
    </row>
    <row r="7" spans="1:29">
      <c r="A7" s="1" t="s">
        <v>56</v>
      </c>
      <c r="B7" s="48">
        <f>SUM(B8:B24)</f>
        <v>419587</v>
      </c>
      <c r="C7" s="48">
        <f t="shared" ref="C7:U7" si="5">SUM(C8:C24)</f>
        <v>461112</v>
      </c>
      <c r="D7" s="48">
        <f t="shared" si="5"/>
        <v>508993</v>
      </c>
      <c r="E7" s="48">
        <f t="shared" si="5"/>
        <v>724983.85499999998</v>
      </c>
      <c r="F7" s="48">
        <f t="shared" si="5"/>
        <v>754283.39300000004</v>
      </c>
      <c r="G7" s="48">
        <f t="shared" si="5"/>
        <v>810540.55299999984</v>
      </c>
      <c r="H7" s="48">
        <f t="shared" si="5"/>
        <v>862587.1</v>
      </c>
      <c r="I7" s="48">
        <f t="shared" si="5"/>
        <v>940786.72600000002</v>
      </c>
      <c r="J7" s="48">
        <f t="shared" si="5"/>
        <v>1000750.7769999999</v>
      </c>
      <c r="K7" s="48">
        <f t="shared" si="5"/>
        <v>1060449.75376</v>
      </c>
      <c r="L7" s="48">
        <f t="shared" si="5"/>
        <v>1369357.7850000001</v>
      </c>
      <c r="M7" s="48">
        <f t="shared" si="5"/>
        <v>1470353.307</v>
      </c>
      <c r="N7" s="48">
        <f t="shared" si="5"/>
        <v>1599360.0019999999</v>
      </c>
      <c r="O7" s="48">
        <f t="shared" si="5"/>
        <v>1719401.6950000001</v>
      </c>
      <c r="P7" s="48">
        <f t="shared" si="5"/>
        <v>1796446.4080000001</v>
      </c>
      <c r="Q7" s="48">
        <f t="shared" si="5"/>
        <v>2046051.155</v>
      </c>
      <c r="R7" s="48">
        <f t="shared" si="5"/>
        <v>2095190.6460000002</v>
      </c>
      <c r="S7" s="48">
        <f t="shared" si="5"/>
        <v>2219104.36</v>
      </c>
      <c r="T7" s="48">
        <f t="shared" si="5"/>
        <v>2506182.1210000003</v>
      </c>
      <c r="U7" s="48">
        <f t="shared" si="5"/>
        <v>2543015.9900000002</v>
      </c>
      <c r="V7" s="48">
        <f t="shared" ref="V7:W7" si="6">SUM(V8:V24)</f>
        <v>3061067.4830000009</v>
      </c>
      <c r="W7" s="48">
        <f t="shared" si="6"/>
        <v>3223858.4389999998</v>
      </c>
      <c r="X7" s="48">
        <f t="shared" ref="X7:Y7" si="7">SUM(X8:X24)</f>
        <v>3415602.7129999995</v>
      </c>
      <c r="Y7" s="48">
        <f t="shared" si="7"/>
        <v>3548333.1770000001</v>
      </c>
      <c r="Z7" s="48">
        <f t="shared" ref="Z7:AA7" si="8">SUM(Z8:Z24)</f>
        <v>3763196.1669999999</v>
      </c>
      <c r="AA7" s="48">
        <f t="shared" si="8"/>
        <v>3884938.0039999997</v>
      </c>
      <c r="AB7" s="48">
        <f t="shared" ref="AB7:AC7" si="9">SUM(AB8:AB24)</f>
        <v>4052328.1069999994</v>
      </c>
      <c r="AC7" s="48">
        <f t="shared" si="9"/>
        <v>4310556.3589999992</v>
      </c>
    </row>
    <row r="8" spans="1:29">
      <c r="A8" s="7" t="s">
        <v>119</v>
      </c>
    </row>
    <row r="9" spans="1:29">
      <c r="A9" s="1" t="s">
        <v>3</v>
      </c>
      <c r="B9" s="1">
        <f>7966+23428</f>
        <v>31394</v>
      </c>
      <c r="C9" s="1">
        <f>8494+26253</f>
        <v>34747</v>
      </c>
      <c r="D9" s="1">
        <f>9323+29235</f>
        <v>38558</v>
      </c>
      <c r="E9" s="1">
        <v>55927.031999999999</v>
      </c>
      <c r="F9" s="42">
        <v>57481.09</v>
      </c>
      <c r="G9" s="1">
        <v>63171.076999999997</v>
      </c>
      <c r="H9" s="1">
        <v>68761.494999999995</v>
      </c>
      <c r="I9" s="1">
        <v>75551.721000000005</v>
      </c>
      <c r="J9" s="1">
        <v>72954.720000000001</v>
      </c>
      <c r="K9" s="1">
        <v>75028.785000000003</v>
      </c>
      <c r="L9" s="1">
        <v>97535.877999999997</v>
      </c>
      <c r="M9" s="1">
        <v>103598.318</v>
      </c>
      <c r="N9" s="1">
        <v>107990.209</v>
      </c>
      <c r="O9" s="1">
        <v>114496.18799999999</v>
      </c>
      <c r="P9" s="1">
        <v>114110.38400000001</v>
      </c>
      <c r="Q9" s="1">
        <v>126744.08199999999</v>
      </c>
      <c r="R9" s="1">
        <v>143651.97099999999</v>
      </c>
      <c r="S9" s="1">
        <v>155111.09</v>
      </c>
      <c r="T9" s="1">
        <v>173529.622</v>
      </c>
      <c r="U9" s="1">
        <v>188654.19699999999</v>
      </c>
      <c r="V9" s="1">
        <v>217811.09899999999</v>
      </c>
      <c r="W9" s="1">
        <v>232375.726</v>
      </c>
      <c r="X9" s="1">
        <v>249743.56700000001</v>
      </c>
      <c r="Y9" s="1">
        <v>268094.45</v>
      </c>
      <c r="Z9" s="1">
        <v>291287.27600000001</v>
      </c>
      <c r="AA9" s="1">
        <v>304223.09399999998</v>
      </c>
      <c r="AB9" s="1">
        <v>333312.40100000001</v>
      </c>
      <c r="AC9" s="1">
        <v>362724.90500000003</v>
      </c>
    </row>
    <row r="10" spans="1:29">
      <c r="A10" s="1" t="s">
        <v>4</v>
      </c>
      <c r="B10" s="1">
        <f>2574+6545</f>
        <v>9119</v>
      </c>
      <c r="C10" s="1">
        <f>3015+7440</f>
        <v>10455</v>
      </c>
      <c r="D10" s="1">
        <f>3373+7977</f>
        <v>11350</v>
      </c>
      <c r="E10" s="1">
        <v>16503.120999999999</v>
      </c>
      <c r="F10" s="42">
        <v>17986.368999999999</v>
      </c>
      <c r="G10" s="1">
        <v>19438.065999999999</v>
      </c>
      <c r="H10" s="1">
        <v>19669.092000000001</v>
      </c>
      <c r="I10" s="1">
        <v>20028.282999999999</v>
      </c>
      <c r="J10" s="1">
        <v>24095.71</v>
      </c>
      <c r="K10" s="1">
        <v>27533.895</v>
      </c>
      <c r="L10" s="1">
        <v>34451.088000000003</v>
      </c>
      <c r="M10" s="1">
        <v>35635.815999999999</v>
      </c>
      <c r="N10" s="1">
        <v>39711.091999999997</v>
      </c>
      <c r="O10" s="1">
        <v>43949.99</v>
      </c>
      <c r="P10" s="1">
        <v>50995.074999999997</v>
      </c>
      <c r="Q10" s="1">
        <v>53087.752</v>
      </c>
      <c r="R10" s="1">
        <v>57971.324000000001</v>
      </c>
      <c r="S10" s="1">
        <v>55129.391000000003</v>
      </c>
      <c r="T10" s="1">
        <v>61507.777999999998</v>
      </c>
      <c r="U10" s="1">
        <v>61961.396000000001</v>
      </c>
      <c r="V10" s="1">
        <v>79758.192999999999</v>
      </c>
      <c r="W10" s="1">
        <v>85286.251000000004</v>
      </c>
      <c r="X10" s="1">
        <v>89819.688999999998</v>
      </c>
      <c r="Y10" s="1">
        <v>95697.811000000002</v>
      </c>
      <c r="Z10" s="1">
        <v>98985.553</v>
      </c>
      <c r="AA10" s="1">
        <v>100636.516</v>
      </c>
      <c r="AB10" s="1">
        <v>101532.182</v>
      </c>
      <c r="AC10" s="1">
        <v>106824.36500000001</v>
      </c>
    </row>
    <row r="11" spans="1:29" ht="12" customHeight="1">
      <c r="A11" s="1" t="s">
        <v>52</v>
      </c>
      <c r="D11" s="1">
        <f>6954+1937</f>
        <v>8891</v>
      </c>
      <c r="E11" s="1">
        <v>12953.847</v>
      </c>
      <c r="F11" s="42">
        <v>13572.08</v>
      </c>
      <c r="I11" s="1">
        <v>17375.366000000002</v>
      </c>
      <c r="J11" s="1">
        <v>17453.524000000001</v>
      </c>
      <c r="K11" s="1">
        <v>17726.221000000001</v>
      </c>
      <c r="L11" s="1">
        <v>21177.713</v>
      </c>
      <c r="M11" s="1">
        <v>24946.172999999999</v>
      </c>
      <c r="N11" s="1">
        <v>25319.242999999999</v>
      </c>
      <c r="O11" s="1">
        <v>25532.830999999998</v>
      </c>
      <c r="P11" s="1">
        <v>27089.837</v>
      </c>
      <c r="Q11" s="1">
        <f>8427.627+19244.397</f>
        <v>27672.024000000001</v>
      </c>
      <c r="R11" s="1">
        <v>32222.204000000002</v>
      </c>
      <c r="S11" s="1">
        <v>14458.902</v>
      </c>
      <c r="T11" s="1">
        <v>41578.453000000001</v>
      </c>
      <c r="U11" s="1">
        <v>41901.065000000002</v>
      </c>
      <c r="V11" s="1">
        <v>44396.156999999999</v>
      </c>
      <c r="W11" s="1">
        <v>46489.368000000002</v>
      </c>
      <c r="X11" s="1">
        <v>45595.09</v>
      </c>
      <c r="Y11" s="1">
        <v>17055.633999999998</v>
      </c>
      <c r="Z11" s="1">
        <v>53303.894999999997</v>
      </c>
      <c r="AA11" s="1">
        <v>52305.067000000003</v>
      </c>
      <c r="AB11" s="1">
        <v>55392.724000000002</v>
      </c>
      <c r="AC11" s="1">
        <v>17383.343000000001</v>
      </c>
    </row>
    <row r="12" spans="1:29">
      <c r="A12" s="1" t="s">
        <v>5</v>
      </c>
      <c r="B12" s="1">
        <f>13592+19092</f>
        <v>32684</v>
      </c>
      <c r="C12" s="1">
        <f>14216+23327</f>
        <v>37543</v>
      </c>
      <c r="D12" s="1">
        <f>15246+26024</f>
        <v>41270</v>
      </c>
      <c r="E12" s="1">
        <v>77691.638000000006</v>
      </c>
      <c r="F12" s="42">
        <v>78046.797000000006</v>
      </c>
      <c r="G12" s="1">
        <v>91567.13</v>
      </c>
      <c r="H12" s="1">
        <v>89812.857999999993</v>
      </c>
      <c r="I12" s="1">
        <v>98549.554000000004</v>
      </c>
      <c r="J12" s="1">
        <v>106798.416</v>
      </c>
      <c r="K12" s="1">
        <v>102759.613</v>
      </c>
      <c r="L12" s="1">
        <v>145828.51</v>
      </c>
      <c r="M12" s="1">
        <v>152773.96900000001</v>
      </c>
      <c r="N12" s="1">
        <v>170589.93400000001</v>
      </c>
      <c r="O12" s="1">
        <v>214241.848</v>
      </c>
      <c r="P12" s="1">
        <v>207440.23199999999</v>
      </c>
      <c r="Q12" s="1">
        <v>220381.609</v>
      </c>
      <c r="R12" s="1">
        <v>229481.321</v>
      </c>
      <c r="S12" s="1">
        <v>231142.93900000001</v>
      </c>
      <c r="T12" s="1">
        <v>245655.22899999999</v>
      </c>
      <c r="U12" s="1">
        <v>232883.91800000001</v>
      </c>
      <c r="V12" s="1">
        <v>255229.78700000001</v>
      </c>
      <c r="W12" s="1">
        <v>275407.71899999998</v>
      </c>
      <c r="X12" s="1">
        <v>292511.86099999998</v>
      </c>
      <c r="Y12" s="1">
        <v>321792.48700000002</v>
      </c>
      <c r="Z12" s="1">
        <v>341901.43599999999</v>
      </c>
      <c r="AA12" s="1">
        <v>354410.147</v>
      </c>
      <c r="AB12" s="1">
        <v>358186.201</v>
      </c>
      <c r="AC12" s="1">
        <v>398574.8</v>
      </c>
    </row>
    <row r="13" spans="1:29">
      <c r="A13" s="1" t="s">
        <v>6</v>
      </c>
      <c r="B13" s="1">
        <f>5207+17228</f>
        <v>22435</v>
      </c>
      <c r="C13" s="1">
        <f>5686+18935</f>
        <v>24621</v>
      </c>
      <c r="D13" s="1">
        <f>5920+25445</f>
        <v>31365</v>
      </c>
      <c r="E13" s="1">
        <v>45194.661999999997</v>
      </c>
      <c r="F13" s="42">
        <v>43654.053999999996</v>
      </c>
      <c r="G13" s="1">
        <v>63301.78</v>
      </c>
      <c r="H13" s="1">
        <v>68140.464999999997</v>
      </c>
      <c r="I13" s="1">
        <v>73655.991999999998</v>
      </c>
      <c r="J13" s="1">
        <v>79457.100999999995</v>
      </c>
      <c r="K13" s="1">
        <v>88765.611999999994</v>
      </c>
      <c r="L13" s="1">
        <v>109895.20600000001</v>
      </c>
      <c r="M13" s="1">
        <v>120087.61900000001</v>
      </c>
      <c r="N13" s="1">
        <v>121617.97500000001</v>
      </c>
      <c r="O13" s="1">
        <v>133903.62299999999</v>
      </c>
      <c r="P13" s="1">
        <v>137727.185</v>
      </c>
      <c r="Q13" s="1">
        <v>145051.21799999999</v>
      </c>
      <c r="R13" s="1">
        <v>150846.96400000001</v>
      </c>
      <c r="S13" s="1">
        <v>168907.88699999999</v>
      </c>
      <c r="T13" s="1">
        <v>190976.48300000001</v>
      </c>
      <c r="U13" s="1">
        <v>190581.71299999999</v>
      </c>
      <c r="V13" s="1">
        <v>231274.546</v>
      </c>
      <c r="W13" s="1">
        <v>271582.83600000001</v>
      </c>
      <c r="X13" s="1">
        <v>285815.31099999999</v>
      </c>
      <c r="Y13" s="1">
        <v>307283.83799999999</v>
      </c>
      <c r="Z13" s="1">
        <v>313813.80200000003</v>
      </c>
      <c r="AA13" s="1">
        <v>345461.23300000001</v>
      </c>
      <c r="AB13" s="1">
        <v>357316.28399999999</v>
      </c>
      <c r="AC13" s="1">
        <v>375986.12300000002</v>
      </c>
    </row>
    <row r="14" spans="1:29">
      <c r="A14" s="1" t="s">
        <v>7</v>
      </c>
      <c r="B14" s="1">
        <f>14270+18487</f>
        <v>32757</v>
      </c>
      <c r="C14" s="1">
        <f>15174+20524</f>
        <v>35698</v>
      </c>
      <c r="D14" s="1">
        <f>16390+21268</f>
        <v>37658</v>
      </c>
      <c r="E14" s="1">
        <v>50528.906999999999</v>
      </c>
      <c r="F14" s="42">
        <v>54121.690999999999</v>
      </c>
      <c r="G14" s="1">
        <v>54696.51</v>
      </c>
      <c r="H14" s="1">
        <v>57865.760000000002</v>
      </c>
      <c r="I14" s="1">
        <v>59711.69</v>
      </c>
      <c r="J14" s="1">
        <v>63123.678999999996</v>
      </c>
      <c r="K14" s="1">
        <v>65926.179999999993</v>
      </c>
      <c r="L14" s="1">
        <v>75933.175000000003</v>
      </c>
      <c r="M14" s="1">
        <v>80558.241999999998</v>
      </c>
      <c r="N14" s="1">
        <v>80656.361000000004</v>
      </c>
      <c r="O14" s="1">
        <v>88793.656000000003</v>
      </c>
      <c r="P14" s="1">
        <v>93158.695999999996</v>
      </c>
      <c r="Q14" s="1">
        <v>98780.611999999994</v>
      </c>
      <c r="R14" s="1">
        <v>107466.63800000001</v>
      </c>
      <c r="S14" s="1">
        <v>117779.891</v>
      </c>
      <c r="T14" s="1">
        <v>135137.99100000001</v>
      </c>
      <c r="U14" s="1">
        <v>142725.296</v>
      </c>
      <c r="V14" s="1">
        <v>171928.76800000001</v>
      </c>
      <c r="W14" s="1">
        <v>186728.568</v>
      </c>
      <c r="X14" s="1">
        <v>201237.94</v>
      </c>
      <c r="Y14" s="1">
        <v>209569.99900000001</v>
      </c>
      <c r="Z14" s="1">
        <v>214316.04300000001</v>
      </c>
      <c r="AA14" s="1">
        <v>221773.73300000001</v>
      </c>
      <c r="AB14" s="1">
        <v>232792.91</v>
      </c>
      <c r="AC14" s="1">
        <v>236179.97399999999</v>
      </c>
    </row>
    <row r="15" spans="1:29">
      <c r="A15" s="1" t="s">
        <v>8</v>
      </c>
      <c r="B15" s="1">
        <f>3472+25348</f>
        <v>28820</v>
      </c>
      <c r="C15" s="1">
        <f>3334+27196</f>
        <v>30530</v>
      </c>
      <c r="D15" s="1">
        <f>3713+27481</f>
        <v>31194</v>
      </c>
      <c r="E15" s="1">
        <v>44712.09</v>
      </c>
      <c r="F15" s="42">
        <v>47804.35</v>
      </c>
      <c r="G15" s="1">
        <v>48095.953000000001</v>
      </c>
      <c r="H15" s="1">
        <v>47876.972999999998</v>
      </c>
      <c r="I15" s="1">
        <v>49959.908000000003</v>
      </c>
      <c r="J15" s="1">
        <v>51976.065000000002</v>
      </c>
      <c r="K15" s="1">
        <v>54849.476999999999</v>
      </c>
      <c r="L15" s="1">
        <v>66366.028999999995</v>
      </c>
      <c r="M15" s="1">
        <v>70410.84</v>
      </c>
      <c r="N15" s="1">
        <v>76324.884000000005</v>
      </c>
      <c r="O15" s="1">
        <v>78386.847999999998</v>
      </c>
      <c r="P15" s="1">
        <v>89306.952000000005</v>
      </c>
      <c r="Q15" s="1">
        <v>92431.35</v>
      </c>
      <c r="R15" s="1">
        <v>93119.400999999998</v>
      </c>
      <c r="S15" s="1">
        <v>97481.884000000005</v>
      </c>
      <c r="T15" s="1">
        <v>119526.947</v>
      </c>
      <c r="U15" s="1">
        <v>123465.254</v>
      </c>
      <c r="V15" s="1">
        <v>141189.908</v>
      </c>
      <c r="W15" s="1">
        <v>140502.85200000001</v>
      </c>
      <c r="X15" s="1">
        <v>141200.11600000001</v>
      </c>
      <c r="Y15" s="1">
        <v>142335.74299999999</v>
      </c>
      <c r="Z15" s="1">
        <v>146115.872</v>
      </c>
      <c r="AA15" s="1">
        <v>148713.538</v>
      </c>
      <c r="AB15" s="1">
        <v>136648.31</v>
      </c>
      <c r="AC15" s="1">
        <v>149187.861</v>
      </c>
    </row>
    <row r="16" spans="1:29">
      <c r="A16" s="1" t="s">
        <v>9</v>
      </c>
      <c r="B16" s="1">
        <v>34600</v>
      </c>
      <c r="C16" s="1">
        <f>0+39006</f>
        <v>39006</v>
      </c>
      <c r="D16" s="1">
        <f>0+34121</f>
        <v>34121</v>
      </c>
      <c r="E16" s="1">
        <v>53416.159</v>
      </c>
      <c r="F16" s="42">
        <v>52759.904000000002</v>
      </c>
      <c r="G16" s="1">
        <v>50499.665000000001</v>
      </c>
      <c r="H16" s="1">
        <v>55814.997000000003</v>
      </c>
      <c r="I16" s="1">
        <v>59208.728000000003</v>
      </c>
      <c r="J16" s="1">
        <v>62401.434000000001</v>
      </c>
      <c r="K16" s="1">
        <v>72879.817999999999</v>
      </c>
      <c r="L16" s="1">
        <v>83362.164999999994</v>
      </c>
      <c r="M16" s="1">
        <v>90285.036999999997</v>
      </c>
      <c r="N16" s="1">
        <v>110517.272</v>
      </c>
      <c r="O16" s="1">
        <v>113659.015</v>
      </c>
      <c r="P16" s="1">
        <v>111112.126</v>
      </c>
      <c r="Q16" s="1">
        <v>222901.02100000001</v>
      </c>
      <c r="R16" s="1">
        <v>135991.31400000001</v>
      </c>
      <c r="S16" s="1">
        <v>155717.823</v>
      </c>
      <c r="T16" s="1">
        <v>171544.486</v>
      </c>
      <c r="U16" s="1">
        <v>181261.598</v>
      </c>
      <c r="V16" s="1">
        <v>204144.853</v>
      </c>
      <c r="W16" s="1">
        <v>208931.867</v>
      </c>
      <c r="X16" s="1">
        <v>225514.353</v>
      </c>
      <c r="Y16" s="1">
        <v>231083.30900000001</v>
      </c>
      <c r="Z16" s="1">
        <v>247894.82800000001</v>
      </c>
      <c r="AA16" s="1">
        <v>252491.51</v>
      </c>
      <c r="AB16" s="1">
        <v>256834.592</v>
      </c>
      <c r="AC16" s="1">
        <v>274682.75400000002</v>
      </c>
    </row>
    <row r="17" spans="1:29">
      <c r="A17" s="1" t="s">
        <v>10</v>
      </c>
      <c r="B17" s="1">
        <f>2856+13503</f>
        <v>16359</v>
      </c>
      <c r="C17" s="1">
        <f>2759+14975</f>
        <v>17734</v>
      </c>
      <c r="D17" s="1">
        <f>2925+17664</f>
        <v>20589</v>
      </c>
      <c r="E17" s="1">
        <v>24462.089</v>
      </c>
      <c r="F17" s="42">
        <v>24816.226999999999</v>
      </c>
      <c r="G17" s="1">
        <v>26453.039000000001</v>
      </c>
      <c r="H17" s="1">
        <v>28188.953000000001</v>
      </c>
      <c r="I17" s="1">
        <v>30725.210999999999</v>
      </c>
      <c r="J17" s="1">
        <v>33575.705000000002</v>
      </c>
      <c r="K17" s="1">
        <v>31710.719000000001</v>
      </c>
      <c r="L17" s="1">
        <v>48061.521000000001</v>
      </c>
      <c r="M17" s="1">
        <v>47055.601000000002</v>
      </c>
      <c r="N17" s="1">
        <v>47601.648999999998</v>
      </c>
      <c r="O17" s="1">
        <v>49954.277999999998</v>
      </c>
      <c r="P17" s="1">
        <v>51026.553999999996</v>
      </c>
      <c r="Q17" s="1">
        <v>54095.400999999998</v>
      </c>
      <c r="R17" s="1">
        <v>58018.131999999998</v>
      </c>
      <c r="S17" s="1">
        <v>67303.233999999997</v>
      </c>
      <c r="T17" s="1">
        <v>71893.491999999998</v>
      </c>
      <c r="U17" s="1">
        <v>71757.611000000004</v>
      </c>
      <c r="V17" s="1">
        <v>81275.551999999996</v>
      </c>
      <c r="W17" s="1">
        <v>82231.770999999993</v>
      </c>
      <c r="X17" s="1">
        <v>84901.240999999995</v>
      </c>
      <c r="Y17" s="1">
        <v>86508.1</v>
      </c>
      <c r="Z17" s="1">
        <v>92150.399000000005</v>
      </c>
      <c r="AA17" s="1">
        <v>93626.538</v>
      </c>
      <c r="AB17" s="1">
        <v>97248.35</v>
      </c>
      <c r="AC17" s="1">
        <v>108003.932</v>
      </c>
    </row>
    <row r="18" spans="1:29">
      <c r="A18" s="1" t="s">
        <v>11</v>
      </c>
      <c r="B18" s="1">
        <f>4171+22880</f>
        <v>27051</v>
      </c>
      <c r="C18" s="1">
        <f>4936+25139</f>
        <v>30075</v>
      </c>
      <c r="D18" s="1">
        <f>5341+28068</f>
        <v>33409</v>
      </c>
      <c r="E18" s="1">
        <v>45075.476999999999</v>
      </c>
      <c r="F18" s="42">
        <v>46454.677000000003</v>
      </c>
      <c r="G18" s="1">
        <v>50439.281999999999</v>
      </c>
      <c r="H18" s="1">
        <v>53519.048000000003</v>
      </c>
      <c r="I18" s="1">
        <v>59696.991999999998</v>
      </c>
      <c r="J18" s="1">
        <v>62287.947999999997</v>
      </c>
      <c r="K18" s="1">
        <v>65507.358</v>
      </c>
      <c r="L18" s="1">
        <v>80979.023000000001</v>
      </c>
      <c r="M18" s="1">
        <v>87514.100999999995</v>
      </c>
      <c r="N18" s="1">
        <v>98016.144</v>
      </c>
      <c r="O18" s="1">
        <v>98413.150999999998</v>
      </c>
      <c r="P18" s="1">
        <v>102099.912</v>
      </c>
      <c r="Q18" s="1">
        <v>109728.808</v>
      </c>
      <c r="R18" s="1">
        <v>121035.001</v>
      </c>
      <c r="S18" s="1">
        <v>138293.98000000001</v>
      </c>
      <c r="T18" s="1">
        <v>150961.12299999999</v>
      </c>
      <c r="U18" s="1">
        <v>153237.201</v>
      </c>
      <c r="V18" s="1">
        <v>192293.726</v>
      </c>
      <c r="W18" s="1">
        <v>203533.44399999999</v>
      </c>
      <c r="X18" s="1">
        <v>199572.86300000001</v>
      </c>
      <c r="Y18" s="1">
        <v>222847.11499999999</v>
      </c>
      <c r="Z18" s="1">
        <v>229030.02100000001</v>
      </c>
      <c r="AA18" s="1">
        <v>236393.31899999999</v>
      </c>
      <c r="AB18" s="1">
        <v>242741.71599999999</v>
      </c>
      <c r="AC18" s="1">
        <v>276356.74599999998</v>
      </c>
    </row>
    <row r="19" spans="1:29">
      <c r="A19" s="1" t="s">
        <v>12</v>
      </c>
      <c r="B19" s="1">
        <v>12765</v>
      </c>
      <c r="C19" s="1">
        <f>0+12483</f>
        <v>12483</v>
      </c>
      <c r="D19" s="1">
        <f>0+16609</f>
        <v>16609</v>
      </c>
      <c r="E19" s="1">
        <v>20370.488000000001</v>
      </c>
      <c r="F19" s="42">
        <v>24631.776000000002</v>
      </c>
      <c r="G19" s="1">
        <v>25311.164000000001</v>
      </c>
      <c r="H19" s="1">
        <v>26648.576000000001</v>
      </c>
      <c r="I19" s="1">
        <v>28160.358</v>
      </c>
      <c r="J19" s="1">
        <v>30277.048999999999</v>
      </c>
      <c r="K19" s="1">
        <v>34016.907189999998</v>
      </c>
      <c r="L19" s="1">
        <v>47453.908000000003</v>
      </c>
      <c r="M19" s="1">
        <v>52093.031999999999</v>
      </c>
      <c r="N19" s="1">
        <v>50373.059000000001</v>
      </c>
      <c r="O19" s="1">
        <v>54814.84</v>
      </c>
      <c r="P19" s="1">
        <v>56630.266000000003</v>
      </c>
      <c r="Q19" s="1">
        <v>68453.437999999995</v>
      </c>
      <c r="R19" s="1">
        <v>76814.346000000005</v>
      </c>
      <c r="S19" s="1">
        <v>80722.369000000006</v>
      </c>
      <c r="T19" s="1">
        <v>94039.702999999994</v>
      </c>
      <c r="U19" s="1">
        <v>90122.728000000003</v>
      </c>
      <c r="V19" s="1">
        <v>106588.223</v>
      </c>
      <c r="W19" s="1">
        <v>109192.747</v>
      </c>
      <c r="X19" s="1">
        <v>114890.997</v>
      </c>
      <c r="Y19" s="1">
        <v>124131.773</v>
      </c>
      <c r="Z19" s="1">
        <v>128657.315</v>
      </c>
      <c r="AA19" s="1">
        <v>134341.65400000001</v>
      </c>
      <c r="AB19" s="1">
        <v>136871.73199999999</v>
      </c>
      <c r="AC19" s="1">
        <v>139240.296</v>
      </c>
    </row>
    <row r="20" spans="1:29">
      <c r="A20" s="1" t="s">
        <v>13</v>
      </c>
      <c r="B20" s="1">
        <f>10931+11980</f>
        <v>22911</v>
      </c>
      <c r="C20" s="1">
        <f>11581+14123</f>
        <v>25704</v>
      </c>
      <c r="D20" s="1">
        <f>12590+15677</f>
        <v>28267</v>
      </c>
      <c r="E20" s="1">
        <v>39647.877</v>
      </c>
      <c r="F20" s="42">
        <v>41163.387000000002</v>
      </c>
      <c r="G20" s="1">
        <v>43038.775000000001</v>
      </c>
      <c r="H20" s="1">
        <v>44885.050999999999</v>
      </c>
      <c r="I20" s="1">
        <v>47024.855000000003</v>
      </c>
      <c r="J20" s="1">
        <v>50111.072999999997</v>
      </c>
      <c r="K20" s="1">
        <v>54520.46</v>
      </c>
      <c r="L20" s="1">
        <v>72483.111999999994</v>
      </c>
      <c r="M20" s="1">
        <v>76014.520999999993</v>
      </c>
      <c r="N20" s="1">
        <v>80299.792000000001</v>
      </c>
      <c r="O20" s="1">
        <v>91343.294999999998</v>
      </c>
      <c r="P20" s="1">
        <v>99870.415999999997</v>
      </c>
      <c r="Q20" s="1">
        <v>101950.164</v>
      </c>
      <c r="R20" s="1">
        <v>120373.711</v>
      </c>
      <c r="S20" s="1">
        <v>133779.296</v>
      </c>
      <c r="T20" s="1">
        <v>150778.54399999999</v>
      </c>
      <c r="U20" s="1">
        <v>139060.046</v>
      </c>
      <c r="V20" s="1">
        <v>181306.80600000001</v>
      </c>
      <c r="W20" s="1">
        <v>188389.35800000001</v>
      </c>
      <c r="X20" s="1">
        <v>197394.10800000001</v>
      </c>
      <c r="Y20" s="1">
        <v>218810.62299999999</v>
      </c>
      <c r="Z20" s="1">
        <v>242562.867</v>
      </c>
      <c r="AA20" s="1">
        <v>246564.28700000001</v>
      </c>
      <c r="AB20" s="1">
        <v>241299.82</v>
      </c>
      <c r="AC20" s="1">
        <v>260529.68100000001</v>
      </c>
    </row>
    <row r="21" spans="1:29" s="24" customFormat="1">
      <c r="A21" s="1" t="s">
        <v>14</v>
      </c>
      <c r="B21" s="1">
        <f>8694+28697</f>
        <v>37391</v>
      </c>
      <c r="C21" s="1">
        <f>9467+31738</f>
        <v>41205</v>
      </c>
      <c r="D21" s="1">
        <f>11943+33209</f>
        <v>45152</v>
      </c>
      <c r="E21" s="1">
        <v>66787.707999999999</v>
      </c>
      <c r="F21" s="42">
        <v>65789.991999999998</v>
      </c>
      <c r="G21" s="1">
        <v>73548.846000000005</v>
      </c>
      <c r="H21" s="1">
        <v>80310.091</v>
      </c>
      <c r="I21" s="1">
        <v>86914.998000000007</v>
      </c>
      <c r="J21" s="1">
        <v>93390.614000000001</v>
      </c>
      <c r="K21" s="1">
        <v>95350.998470000006</v>
      </c>
      <c r="L21" s="1">
        <v>130238.5</v>
      </c>
      <c r="M21" s="1">
        <v>139543.875</v>
      </c>
      <c r="N21" s="1">
        <v>149734.45499999999</v>
      </c>
      <c r="O21" s="1">
        <v>151364.61300000001</v>
      </c>
      <c r="P21" s="1">
        <v>159188.19899999999</v>
      </c>
      <c r="Q21" s="1">
        <v>179492.23699999999</v>
      </c>
      <c r="R21" s="1">
        <v>181468.09299999999</v>
      </c>
      <c r="S21" s="1">
        <v>176183.022</v>
      </c>
      <c r="T21" s="1">
        <v>192312.476</v>
      </c>
      <c r="U21" s="1">
        <v>202659.978</v>
      </c>
      <c r="V21" s="1">
        <v>243082.50099999999</v>
      </c>
      <c r="W21" s="1">
        <v>252834.65100000001</v>
      </c>
      <c r="X21" s="1">
        <v>277235.995</v>
      </c>
      <c r="Y21" s="1">
        <v>281837.52299999999</v>
      </c>
      <c r="Z21" s="1">
        <v>292980.05300000001</v>
      </c>
      <c r="AA21" s="1">
        <v>291165.31800000003</v>
      </c>
      <c r="AB21" s="1">
        <v>308540.51899999997</v>
      </c>
      <c r="AC21" s="1">
        <v>322976.06599999999</v>
      </c>
    </row>
    <row r="22" spans="1:29">
      <c r="A22" s="1" t="s">
        <v>15</v>
      </c>
      <c r="B22" s="1">
        <f>19788+44629</f>
        <v>64417</v>
      </c>
      <c r="C22" s="1">
        <f>27412+42147</f>
        <v>69559</v>
      </c>
      <c r="D22" s="1">
        <f>26811+42894</f>
        <v>69705</v>
      </c>
      <c r="E22" s="1">
        <v>86205.198000000004</v>
      </c>
      <c r="F22" s="42">
        <v>99256.18</v>
      </c>
      <c r="G22" s="1">
        <v>112502.04300000001</v>
      </c>
      <c r="H22" s="1">
        <v>124081.575</v>
      </c>
      <c r="I22" s="1">
        <v>129192.42200000001</v>
      </c>
      <c r="J22" s="1">
        <v>147350.40599999999</v>
      </c>
      <c r="K22" s="1">
        <v>159196.201</v>
      </c>
      <c r="L22" s="1">
        <v>224082.095</v>
      </c>
      <c r="M22" s="1">
        <v>247323.16800000001</v>
      </c>
      <c r="N22" s="1">
        <v>296721.45500000002</v>
      </c>
      <c r="O22" s="1">
        <v>314602.37099999998</v>
      </c>
      <c r="P22" s="1">
        <v>353025.375</v>
      </c>
      <c r="Q22" s="1">
        <v>387299.52100000001</v>
      </c>
      <c r="R22" s="1">
        <v>415509.66499999998</v>
      </c>
      <c r="S22" s="1">
        <v>443000.21799999999</v>
      </c>
      <c r="T22" s="1">
        <v>497079.75099999999</v>
      </c>
      <c r="U22" s="1">
        <v>508249.88400000002</v>
      </c>
      <c r="V22" s="1">
        <v>641830.22</v>
      </c>
      <c r="W22" s="1">
        <v>655269.43900000001</v>
      </c>
      <c r="X22" s="1">
        <v>711091.41099999996</v>
      </c>
      <c r="Y22" s="1">
        <v>709814.054</v>
      </c>
      <c r="Z22" s="1">
        <v>753879.18700000003</v>
      </c>
      <c r="AA22" s="1">
        <v>776592.13899999997</v>
      </c>
      <c r="AB22" s="1">
        <v>866950.39099999995</v>
      </c>
      <c r="AC22" s="1">
        <v>935538.65300000005</v>
      </c>
    </row>
    <row r="23" spans="1:29">
      <c r="A23" s="1" t="s">
        <v>16</v>
      </c>
      <c r="B23" s="1">
        <f>11235+21622</f>
        <v>32857</v>
      </c>
      <c r="C23" s="1">
        <f>12682+23755</f>
        <v>36437</v>
      </c>
      <c r="D23" s="1">
        <f>13920+29967</f>
        <v>43887</v>
      </c>
      <c r="E23" s="1">
        <v>60550.508000000002</v>
      </c>
      <c r="F23" s="42">
        <v>59949.11</v>
      </c>
      <c r="G23" s="1">
        <v>60052.478000000003</v>
      </c>
      <c r="H23" s="1">
        <v>65286.722999999998</v>
      </c>
      <c r="I23" s="1">
        <v>69863.452000000005</v>
      </c>
      <c r="J23" s="1">
        <v>70587.338000000003</v>
      </c>
      <c r="K23" s="1">
        <v>78090.153000000006</v>
      </c>
      <c r="L23" s="1">
        <v>89671.53</v>
      </c>
      <c r="M23" s="1">
        <v>96238.195999999996</v>
      </c>
      <c r="N23" s="1">
        <v>99348.69</v>
      </c>
      <c r="O23" s="1">
        <v>97451.846999999994</v>
      </c>
      <c r="P23" s="1">
        <v>97396.293000000005</v>
      </c>
      <c r="Q23" s="1">
        <v>109050.95699999999</v>
      </c>
      <c r="R23" s="1">
        <v>119174.424</v>
      </c>
      <c r="S23" s="1">
        <v>127873.92200000001</v>
      </c>
      <c r="T23" s="1">
        <v>146817.69500000001</v>
      </c>
      <c r="U23" s="1">
        <v>152903.52100000001</v>
      </c>
      <c r="V23" s="1">
        <v>189308.52900000001</v>
      </c>
      <c r="W23" s="1">
        <v>198597.68100000001</v>
      </c>
      <c r="X23" s="1">
        <v>206826.791</v>
      </c>
      <c r="Y23" s="1">
        <v>217873.16800000001</v>
      </c>
      <c r="Z23" s="1">
        <v>224484.81</v>
      </c>
      <c r="AA23" s="1">
        <v>234587.55</v>
      </c>
      <c r="AB23" s="1">
        <v>242095.557</v>
      </c>
      <c r="AC23" s="1">
        <v>262495.59499999997</v>
      </c>
    </row>
    <row r="24" spans="1:29">
      <c r="A24" s="24" t="s">
        <v>17</v>
      </c>
      <c r="B24" s="24">
        <f>5932+8095</f>
        <v>14027</v>
      </c>
      <c r="C24" s="24">
        <f>6524+8791</f>
        <v>15315</v>
      </c>
      <c r="D24" s="24">
        <f>7085+9883</f>
        <v>16968</v>
      </c>
      <c r="E24" s="24">
        <v>24957.054</v>
      </c>
      <c r="F24" s="45">
        <v>26795.708999999999</v>
      </c>
      <c r="G24" s="24">
        <v>28424.744999999999</v>
      </c>
      <c r="H24" s="24">
        <v>31725.442999999999</v>
      </c>
      <c r="I24" s="24">
        <v>35167.196000000004</v>
      </c>
      <c r="J24" s="24">
        <v>34909.995000000003</v>
      </c>
      <c r="K24" s="24">
        <v>36587.356100000005</v>
      </c>
      <c r="L24" s="24">
        <v>41838.332000000002</v>
      </c>
      <c r="M24" s="24">
        <v>46274.798999999999</v>
      </c>
      <c r="N24" s="24">
        <v>44537.788</v>
      </c>
      <c r="O24" s="24">
        <v>48493.300999999999</v>
      </c>
      <c r="P24" s="24">
        <v>46268.906000000003</v>
      </c>
      <c r="Q24" s="24">
        <v>48930.961000000003</v>
      </c>
      <c r="R24" s="24">
        <v>52046.137000000002</v>
      </c>
      <c r="S24" s="24">
        <v>56218.512000000002</v>
      </c>
      <c r="T24" s="24">
        <v>62842.347999999998</v>
      </c>
      <c r="U24" s="24">
        <v>61590.584000000003</v>
      </c>
      <c r="V24" s="24">
        <v>79648.615000000005</v>
      </c>
      <c r="W24" s="24">
        <v>86504.160999999993</v>
      </c>
      <c r="X24" s="24">
        <v>92251.38</v>
      </c>
      <c r="Y24" s="24">
        <v>93597.55</v>
      </c>
      <c r="Z24" s="24">
        <v>91832.81</v>
      </c>
      <c r="AA24" s="24">
        <v>91652.361000000004</v>
      </c>
      <c r="AB24" s="24">
        <v>84564.418000000005</v>
      </c>
      <c r="AC24" s="24">
        <v>83871.264999999999</v>
      </c>
    </row>
    <row r="25" spans="1:29">
      <c r="A25" s="7" t="s">
        <v>120</v>
      </c>
      <c r="B25" s="48">
        <f>SUM(B27:B39)</f>
        <v>0</v>
      </c>
      <c r="C25" s="48">
        <f t="shared" ref="C25:AC25" si="10">SUM(C27:C39)</f>
        <v>0</v>
      </c>
      <c r="D25" s="48">
        <f t="shared" si="10"/>
        <v>0</v>
      </c>
      <c r="E25" s="48">
        <f t="shared" si="10"/>
        <v>0</v>
      </c>
      <c r="F25" s="48">
        <f t="shared" si="10"/>
        <v>755912.96800000011</v>
      </c>
      <c r="G25" s="48">
        <f t="shared" si="10"/>
        <v>0</v>
      </c>
      <c r="H25" s="48">
        <f t="shared" si="10"/>
        <v>0</v>
      </c>
      <c r="I25" s="48">
        <f t="shared" si="10"/>
        <v>879486.14399999985</v>
      </c>
      <c r="J25" s="48">
        <f t="shared" si="10"/>
        <v>0</v>
      </c>
      <c r="K25" s="48">
        <f t="shared" si="10"/>
        <v>984374.15868000011</v>
      </c>
      <c r="L25" s="48">
        <f t="shared" si="10"/>
        <v>1148286.3519999997</v>
      </c>
      <c r="M25" s="48">
        <f t="shared" si="10"/>
        <v>1261910.0330000001</v>
      </c>
      <c r="N25" s="48">
        <f t="shared" si="10"/>
        <v>1334271.3390000002</v>
      </c>
      <c r="O25" s="48">
        <f t="shared" si="10"/>
        <v>1386631.0759999997</v>
      </c>
      <c r="P25" s="48">
        <f t="shared" si="10"/>
        <v>1448698.8939999999</v>
      </c>
      <c r="Q25" s="48">
        <f t="shared" si="10"/>
        <v>1554195.5759999997</v>
      </c>
      <c r="R25" s="48">
        <f t="shared" si="10"/>
        <v>1637725.5530000003</v>
      </c>
      <c r="S25" s="48">
        <f t="shared" si="10"/>
        <v>1796154.3729999997</v>
      </c>
      <c r="T25" s="48">
        <f t="shared" si="10"/>
        <v>2078688.8120000002</v>
      </c>
      <c r="U25" s="48">
        <f t="shared" si="10"/>
        <v>2066363.8309999998</v>
      </c>
      <c r="V25" s="48">
        <f t="shared" si="10"/>
        <v>2305093.6780000003</v>
      </c>
      <c r="W25" s="48">
        <f t="shared" si="10"/>
        <v>2432500.8590000002</v>
      </c>
      <c r="X25" s="48">
        <f t="shared" si="10"/>
        <v>2631413.0419999994</v>
      </c>
      <c r="Y25" s="48">
        <f t="shared" si="10"/>
        <v>2808701.760999999</v>
      </c>
      <c r="Z25" s="48">
        <f t="shared" si="10"/>
        <v>3104582.341</v>
      </c>
      <c r="AA25" s="48">
        <f t="shared" si="10"/>
        <v>3272142.4129999997</v>
      </c>
      <c r="AB25" s="48">
        <f t="shared" si="10"/>
        <v>3569864.6769999997</v>
      </c>
      <c r="AC25" s="48">
        <f t="shared" si="10"/>
        <v>3670711.6339999991</v>
      </c>
    </row>
    <row r="26" spans="1:29">
      <c r="A26" s="7" t="s">
        <v>119</v>
      </c>
      <c r="X26" s="1">
        <v>0</v>
      </c>
      <c r="Y26" s="1">
        <v>0</v>
      </c>
      <c r="AB26" s="1">
        <v>0</v>
      </c>
      <c r="AC26" s="1">
        <v>0</v>
      </c>
    </row>
    <row r="27" spans="1:29">
      <c r="A27" s="1" t="s">
        <v>85</v>
      </c>
      <c r="F27" s="42">
        <v>18301.045999999998</v>
      </c>
      <c r="I27" s="1">
        <v>22742.123</v>
      </c>
      <c r="K27" s="1">
        <v>23116.848999999998</v>
      </c>
      <c r="L27" s="1">
        <v>23838.185000000001</v>
      </c>
      <c r="M27" s="1">
        <v>26261.656999999999</v>
      </c>
      <c r="N27" s="1">
        <v>28653.49</v>
      </c>
      <c r="O27" s="1">
        <v>31156.173999999999</v>
      </c>
      <c r="P27" s="1">
        <v>32744.350999999999</v>
      </c>
      <c r="Q27" s="1">
        <v>35757.421000000002</v>
      </c>
      <c r="R27" s="1">
        <v>38240.879000000001</v>
      </c>
      <c r="S27" s="1">
        <v>41592.800999999999</v>
      </c>
      <c r="T27" s="1">
        <v>45093.949000000001</v>
      </c>
      <c r="U27" s="1">
        <v>57706.67</v>
      </c>
      <c r="V27" s="1">
        <v>59927.563999999998</v>
      </c>
      <c r="W27" s="1">
        <v>61902.273000000001</v>
      </c>
      <c r="X27" s="1">
        <v>63241.771999999997</v>
      </c>
      <c r="Y27" s="1">
        <v>65602.712</v>
      </c>
      <c r="Z27" s="1">
        <v>66368.267000000007</v>
      </c>
      <c r="AA27" s="1">
        <v>66321.828999999998</v>
      </c>
      <c r="AB27" s="1">
        <v>65264.328000000001</v>
      </c>
      <c r="AC27" s="1">
        <v>63137.324999999997</v>
      </c>
    </row>
    <row r="28" spans="1:29">
      <c r="A28" s="1" t="s">
        <v>86</v>
      </c>
      <c r="F28" s="42">
        <v>44909.114000000001</v>
      </c>
      <c r="I28" s="1">
        <v>46249.760000000002</v>
      </c>
      <c r="K28" s="1">
        <v>57165.139000000003</v>
      </c>
      <c r="L28" s="1">
        <v>70547.694000000003</v>
      </c>
      <c r="M28" s="1">
        <v>78195.888000000006</v>
      </c>
      <c r="N28" s="1">
        <v>70942.172999999995</v>
      </c>
      <c r="O28" s="1">
        <v>70467.914000000004</v>
      </c>
      <c r="P28" s="1">
        <v>76685.78</v>
      </c>
      <c r="Q28" s="1">
        <v>86050.546000000002</v>
      </c>
      <c r="R28" s="1">
        <v>91735.82</v>
      </c>
      <c r="S28" s="1">
        <v>101080.99800000001</v>
      </c>
      <c r="T28" s="1">
        <v>110940.98</v>
      </c>
      <c r="U28" s="1">
        <v>107863.122</v>
      </c>
      <c r="V28" s="1">
        <v>118711.234</v>
      </c>
      <c r="W28" s="1">
        <v>135337.29800000001</v>
      </c>
      <c r="X28" s="1">
        <v>149806.71100000001</v>
      </c>
      <c r="Y28" s="1">
        <v>177050.201</v>
      </c>
      <c r="Z28" s="1">
        <v>198314.935</v>
      </c>
      <c r="AA28" s="1">
        <v>226163.587</v>
      </c>
      <c r="AB28" s="1">
        <v>230486.09</v>
      </c>
      <c r="AC28" s="1">
        <v>246703.367</v>
      </c>
    </row>
    <row r="29" spans="1:29">
      <c r="A29" s="1" t="s">
        <v>87</v>
      </c>
      <c r="F29" s="42">
        <v>422677.38400000002</v>
      </c>
      <c r="I29" s="1">
        <v>483566.79399999999</v>
      </c>
      <c r="K29" s="1">
        <v>535879.30299999996</v>
      </c>
      <c r="L29" s="1">
        <v>650995.67599999998</v>
      </c>
      <c r="M29" s="1">
        <v>725190.098</v>
      </c>
      <c r="N29" s="1">
        <v>747176.72400000005</v>
      </c>
      <c r="O29" s="1">
        <v>777189.10600000003</v>
      </c>
      <c r="P29" s="1">
        <v>790429.76300000004</v>
      </c>
      <c r="Q29" s="1">
        <v>822628.00300000003</v>
      </c>
      <c r="R29" s="1">
        <v>895281.47600000002</v>
      </c>
      <c r="S29" s="1">
        <v>983965.52300000004</v>
      </c>
      <c r="T29" s="1">
        <v>1201119.3259999999</v>
      </c>
      <c r="U29" s="1">
        <v>1230723.1159999999</v>
      </c>
      <c r="V29" s="1">
        <v>1304904.2390000001</v>
      </c>
      <c r="W29" s="1">
        <v>1420380.655</v>
      </c>
      <c r="X29" s="1">
        <v>1538695.162</v>
      </c>
      <c r="Y29" s="1">
        <v>1635397.7919999999</v>
      </c>
      <c r="Z29" s="1">
        <v>1803444.844</v>
      </c>
      <c r="AA29" s="1">
        <v>1940965.2679999999</v>
      </c>
      <c r="AB29" s="1">
        <v>2156359.307</v>
      </c>
      <c r="AC29" s="1">
        <v>2171543.7919999999</v>
      </c>
    </row>
    <row r="30" spans="1:29">
      <c r="A30" s="1" t="s">
        <v>88</v>
      </c>
      <c r="F30" s="42">
        <v>69355.682000000001</v>
      </c>
      <c r="I30" s="1">
        <v>84852.269</v>
      </c>
      <c r="K30" s="1">
        <v>98511.713300000003</v>
      </c>
      <c r="L30" s="1">
        <v>107704.266</v>
      </c>
      <c r="M30" s="1">
        <v>113098.67600000001</v>
      </c>
      <c r="N30" s="1">
        <v>126166.26300000001</v>
      </c>
      <c r="O30" s="1">
        <v>126907.16499999999</v>
      </c>
      <c r="P30" s="1">
        <v>123878.389</v>
      </c>
      <c r="Q30" s="1">
        <v>157874.00099999999</v>
      </c>
      <c r="R30" s="1">
        <v>134150.26199999999</v>
      </c>
      <c r="S30" s="1">
        <v>126355.15300000001</v>
      </c>
      <c r="T30" s="1">
        <v>125372.37</v>
      </c>
      <c r="U30" s="1">
        <v>133587.82199999999</v>
      </c>
      <c r="V30" s="1">
        <v>159620.462</v>
      </c>
      <c r="W30" s="1">
        <v>169908.01800000001</v>
      </c>
      <c r="X30" s="1">
        <v>198155.986</v>
      </c>
      <c r="Y30" s="1">
        <v>209849.54500000001</v>
      </c>
      <c r="Z30" s="1">
        <v>230160.02799999999</v>
      </c>
      <c r="AA30" s="1">
        <v>252540.88399999999</v>
      </c>
      <c r="AB30" s="1">
        <v>263707.01799999998</v>
      </c>
      <c r="AC30" s="1">
        <v>296170.88299999997</v>
      </c>
    </row>
    <row r="31" spans="1:29">
      <c r="A31" s="1" t="s">
        <v>91</v>
      </c>
      <c r="F31" s="42">
        <v>17647.446</v>
      </c>
      <c r="I31" s="1">
        <v>20468.277999999998</v>
      </c>
      <c r="K31" s="1">
        <v>20486.382000000001</v>
      </c>
      <c r="L31" s="1">
        <v>20283.103999999999</v>
      </c>
      <c r="M31" s="1">
        <v>20573.080000000002</v>
      </c>
      <c r="N31" s="1">
        <v>22355.376</v>
      </c>
      <c r="O31" s="1">
        <v>25327.576000000001</v>
      </c>
      <c r="P31" s="1">
        <v>29637</v>
      </c>
      <c r="Q31" s="1">
        <v>31521.338</v>
      </c>
      <c r="R31" s="1">
        <v>38018.411</v>
      </c>
      <c r="S31" s="1">
        <v>37940.436999999998</v>
      </c>
      <c r="T31" s="1">
        <v>42001.279000000002</v>
      </c>
      <c r="U31" s="1">
        <v>41998.37</v>
      </c>
      <c r="V31" s="1">
        <v>47632.637000000002</v>
      </c>
      <c r="W31" s="1">
        <v>57230.453999999998</v>
      </c>
      <c r="X31" s="1">
        <v>63736.732000000004</v>
      </c>
      <c r="Y31" s="1">
        <v>71016.561000000002</v>
      </c>
      <c r="Z31" s="1">
        <v>81154.77</v>
      </c>
      <c r="AA31" s="1">
        <v>49944.82</v>
      </c>
      <c r="AB31" s="1">
        <v>52922.817000000003</v>
      </c>
      <c r="AC31" s="1">
        <v>56050.580999999998</v>
      </c>
    </row>
    <row r="32" spans="1:29">
      <c r="A32" s="1" t="s">
        <v>92</v>
      </c>
      <c r="F32" s="42">
        <v>12694.396000000001</v>
      </c>
      <c r="I32" s="1">
        <v>15293.195</v>
      </c>
      <c r="K32" s="1">
        <v>17290.583999999999</v>
      </c>
      <c r="L32" s="1">
        <v>22410.296999999999</v>
      </c>
      <c r="M32" s="1">
        <v>24173.002</v>
      </c>
      <c r="N32" s="1">
        <v>26870.856</v>
      </c>
      <c r="O32" s="1">
        <v>29994.242999999999</v>
      </c>
      <c r="P32" s="1">
        <v>26430.845000000001</v>
      </c>
      <c r="Q32" s="1">
        <v>25382.785</v>
      </c>
      <c r="R32" s="1">
        <v>26033.044999999998</v>
      </c>
      <c r="S32" s="1">
        <v>27320.725999999999</v>
      </c>
      <c r="T32" s="1">
        <v>29590.833999999999</v>
      </c>
      <c r="U32" s="1">
        <v>31428.007000000001</v>
      </c>
      <c r="V32" s="1">
        <v>37037.764000000003</v>
      </c>
      <c r="W32" s="1">
        <v>40331.408000000003</v>
      </c>
      <c r="X32" s="1">
        <v>42804.254000000001</v>
      </c>
      <c r="Y32" s="1">
        <v>45784.858999999997</v>
      </c>
      <c r="Z32" s="1">
        <v>52019.531999999999</v>
      </c>
      <c r="AA32" s="1">
        <v>56347.053999999996</v>
      </c>
      <c r="AB32" s="1">
        <v>56296.271999999997</v>
      </c>
      <c r="AC32" s="1">
        <v>61322.203999999998</v>
      </c>
    </row>
    <row r="33" spans="1:29">
      <c r="A33" s="1" t="s">
        <v>100</v>
      </c>
      <c r="F33" s="42">
        <v>23013.403999999999</v>
      </c>
      <c r="I33" s="1">
        <v>26484.411</v>
      </c>
      <c r="K33" s="1">
        <v>30733.177</v>
      </c>
      <c r="L33" s="1">
        <v>34458.57</v>
      </c>
      <c r="M33" s="1">
        <v>35875.553</v>
      </c>
      <c r="N33" s="1">
        <v>37353.71</v>
      </c>
      <c r="O33" s="1">
        <v>37731.362999999998</v>
      </c>
      <c r="P33" s="1">
        <v>41478.754000000001</v>
      </c>
      <c r="Q33" s="1">
        <v>40336.042000000001</v>
      </c>
      <c r="R33" s="1">
        <v>43334.322999999997</v>
      </c>
      <c r="S33" s="1">
        <v>46213.71</v>
      </c>
      <c r="T33" s="1">
        <v>50129.595000000001</v>
      </c>
      <c r="U33" s="1">
        <v>60575.69</v>
      </c>
      <c r="V33" s="1">
        <v>64656.688999999998</v>
      </c>
      <c r="W33" s="1">
        <v>70015.922999999995</v>
      </c>
      <c r="X33" s="1">
        <v>74340.721000000005</v>
      </c>
      <c r="Y33" s="1">
        <v>78380.418999999994</v>
      </c>
      <c r="Z33" s="1">
        <v>80673.066999999995</v>
      </c>
      <c r="AA33" s="1">
        <v>80670.976999999999</v>
      </c>
      <c r="AB33" s="1">
        <v>82929.688999999998</v>
      </c>
      <c r="AC33" s="1">
        <v>86115.21</v>
      </c>
    </row>
    <row r="34" spans="1:29">
      <c r="A34" s="1" t="s">
        <v>102</v>
      </c>
      <c r="F34" s="42">
        <v>19015.323</v>
      </c>
      <c r="I34" s="1">
        <v>21810.155999999999</v>
      </c>
      <c r="K34" s="1">
        <v>23989.652999999998</v>
      </c>
      <c r="L34" s="1">
        <v>17873.019</v>
      </c>
      <c r="M34" s="1">
        <v>20961.962</v>
      </c>
      <c r="N34" s="1">
        <v>29430.83</v>
      </c>
      <c r="O34" s="1">
        <v>34545.300999999999</v>
      </c>
      <c r="P34" s="1">
        <v>52076.766000000003</v>
      </c>
      <c r="Q34" s="1">
        <v>57982.800999999999</v>
      </c>
      <c r="R34" s="1">
        <v>66623.616999999998</v>
      </c>
      <c r="S34" s="1">
        <v>83786.89</v>
      </c>
      <c r="T34" s="1">
        <v>91328.838000000003</v>
      </c>
      <c r="U34" s="1">
        <v>63759.675000000003</v>
      </c>
      <c r="V34" s="1">
        <v>71882.604999999996</v>
      </c>
      <c r="W34" s="1">
        <v>72613.172999999995</v>
      </c>
      <c r="X34" s="1">
        <v>71137.425000000003</v>
      </c>
      <c r="Y34" s="1">
        <v>87744.532999999996</v>
      </c>
      <c r="Z34" s="1">
        <v>117250.034</v>
      </c>
      <c r="AA34" s="1">
        <v>120082.628</v>
      </c>
      <c r="AB34" s="1">
        <v>127599.436</v>
      </c>
      <c r="AC34" s="1">
        <v>140479.774</v>
      </c>
    </row>
    <row r="35" spans="1:29">
      <c r="A35" s="1" t="s">
        <v>105</v>
      </c>
      <c r="F35" s="42">
        <v>27479.126</v>
      </c>
      <c r="I35" s="1">
        <v>31364.018</v>
      </c>
      <c r="K35" s="1">
        <v>39179.513380000004</v>
      </c>
      <c r="L35" s="1">
        <v>36921.048000000003</v>
      </c>
      <c r="M35" s="1">
        <v>38696.623</v>
      </c>
      <c r="N35" s="1">
        <v>34275.535000000003</v>
      </c>
      <c r="O35" s="1">
        <v>35040.817999999999</v>
      </c>
      <c r="P35" s="1">
        <v>39834.750999999997</v>
      </c>
      <c r="Q35" s="1">
        <v>41532.197</v>
      </c>
      <c r="R35" s="1">
        <v>43296.353000000003</v>
      </c>
      <c r="S35" s="1">
        <v>47181.387000000002</v>
      </c>
      <c r="T35" s="1">
        <v>48984.925000000003</v>
      </c>
      <c r="U35" s="1">
        <v>51243.732000000004</v>
      </c>
      <c r="V35" s="1">
        <v>61508.347999999998</v>
      </c>
      <c r="W35" s="1">
        <v>59987.788</v>
      </c>
      <c r="X35" s="1">
        <v>60752.074999999997</v>
      </c>
      <c r="Y35" s="1">
        <v>62727.02</v>
      </c>
      <c r="Z35" s="1">
        <v>66782.37</v>
      </c>
      <c r="AA35" s="1">
        <v>67445.350999999995</v>
      </c>
      <c r="AB35" s="1">
        <v>68840.953999999998</v>
      </c>
      <c r="AC35" s="1">
        <v>66166.910999999993</v>
      </c>
    </row>
    <row r="36" spans="1:29">
      <c r="A36" s="1" t="s">
        <v>109</v>
      </c>
      <c r="F36" s="42">
        <v>30904.366000000002</v>
      </c>
      <c r="I36" s="1">
        <v>35518.135999999999</v>
      </c>
      <c r="K36" s="1">
        <v>35408.006000000001</v>
      </c>
      <c r="L36" s="1">
        <v>41032.400000000001</v>
      </c>
      <c r="M36" s="1">
        <v>47014.184999999998</v>
      </c>
      <c r="N36" s="1">
        <v>75581.667000000001</v>
      </c>
      <c r="O36" s="1">
        <v>79323.244999999995</v>
      </c>
      <c r="P36" s="1">
        <v>87977.884999999995</v>
      </c>
      <c r="Q36" s="1">
        <v>100814.663</v>
      </c>
      <c r="R36" s="1">
        <v>96339.819000000003</v>
      </c>
      <c r="S36" s="1">
        <v>101832.045</v>
      </c>
      <c r="T36" s="1">
        <v>110997.264</v>
      </c>
      <c r="U36" s="1">
        <v>79411.982999999993</v>
      </c>
      <c r="V36" s="1">
        <v>145348.837</v>
      </c>
      <c r="W36" s="1">
        <v>100974.91</v>
      </c>
      <c r="X36" s="1">
        <v>108128.914</v>
      </c>
      <c r="Y36" s="1">
        <v>114307.70699999999</v>
      </c>
      <c r="Z36" s="1">
        <v>121998.79300000001</v>
      </c>
      <c r="AA36" s="1">
        <v>112373.48</v>
      </c>
      <c r="AB36" s="1">
        <v>133433.478</v>
      </c>
      <c r="AC36" s="1">
        <v>133595.29699999999</v>
      </c>
    </row>
    <row r="37" spans="1:29">
      <c r="A37" s="1" t="s">
        <v>113</v>
      </c>
      <c r="F37" s="42">
        <v>25198.026999999998</v>
      </c>
      <c r="I37" s="1">
        <v>40329.167000000001</v>
      </c>
      <c r="K37" s="1">
        <v>44477.832999999999</v>
      </c>
      <c r="L37" s="1">
        <v>50995.752999999997</v>
      </c>
      <c r="M37" s="1">
        <v>54676.110999999997</v>
      </c>
      <c r="N37" s="1">
        <v>55991.614999999998</v>
      </c>
      <c r="O37" s="1">
        <v>57290.771999999997</v>
      </c>
      <c r="P37" s="1">
        <v>60703.014000000003</v>
      </c>
      <c r="Q37" s="1">
        <v>64850.216</v>
      </c>
      <c r="R37" s="1">
        <v>69214.346999999994</v>
      </c>
      <c r="S37" s="1">
        <v>75533.179999999993</v>
      </c>
      <c r="T37" s="1">
        <v>84144.467000000004</v>
      </c>
      <c r="U37" s="1">
        <v>90110.281000000003</v>
      </c>
      <c r="V37" s="1">
        <v>99256.865999999995</v>
      </c>
      <c r="W37" s="1">
        <v>104035.344</v>
      </c>
      <c r="X37" s="1">
        <v>115713.999</v>
      </c>
      <c r="Y37" s="1">
        <v>112254.891</v>
      </c>
      <c r="Z37" s="1">
        <v>119987.125</v>
      </c>
      <c r="AA37" s="1">
        <v>127412.697</v>
      </c>
      <c r="AB37" s="1">
        <v>147960.26300000001</v>
      </c>
      <c r="AC37" s="1">
        <v>158755.68900000001</v>
      </c>
    </row>
    <row r="38" spans="1:29">
      <c r="A38" s="1" t="s">
        <v>115</v>
      </c>
      <c r="F38" s="42">
        <v>39546.192000000003</v>
      </c>
      <c r="I38" s="1">
        <v>46040.357000000004</v>
      </c>
      <c r="K38" s="1">
        <v>52752.01</v>
      </c>
      <c r="L38" s="1">
        <v>63649.027999999998</v>
      </c>
      <c r="M38" s="1">
        <v>69916.240000000005</v>
      </c>
      <c r="N38" s="1">
        <v>69498.991999999998</v>
      </c>
      <c r="O38" s="1">
        <v>72322.982000000004</v>
      </c>
      <c r="P38" s="1">
        <v>76719.888999999996</v>
      </c>
      <c r="Q38" s="1">
        <v>79576.342999999993</v>
      </c>
      <c r="R38" s="1">
        <v>85838.107999999993</v>
      </c>
      <c r="S38" s="1">
        <v>113360.258</v>
      </c>
      <c r="T38" s="1">
        <v>127514.97500000001</v>
      </c>
      <c r="U38" s="1">
        <v>106441.298</v>
      </c>
      <c r="V38" s="1">
        <v>121442.211</v>
      </c>
      <c r="W38" s="1">
        <v>125839.753</v>
      </c>
      <c r="X38" s="1">
        <v>128781.59600000001</v>
      </c>
      <c r="Y38" s="1">
        <v>133149.97099999999</v>
      </c>
      <c r="Z38" s="1">
        <v>149531.72700000001</v>
      </c>
      <c r="AA38" s="1">
        <v>154590.022</v>
      </c>
      <c r="AB38" s="1">
        <v>166746.14799999999</v>
      </c>
      <c r="AC38" s="1">
        <v>171518.848</v>
      </c>
    </row>
    <row r="39" spans="1:29">
      <c r="A39" s="24" t="s">
        <v>117</v>
      </c>
      <c r="B39" s="24"/>
      <c r="C39" s="24"/>
      <c r="D39" s="24"/>
      <c r="E39" s="24"/>
      <c r="F39" s="45">
        <v>5171.4620000000004</v>
      </c>
      <c r="G39" s="24"/>
      <c r="H39" s="24"/>
      <c r="I39" s="24">
        <v>4767.4799999999996</v>
      </c>
      <c r="J39" s="24"/>
      <c r="K39" s="24">
        <v>5383.9960000000001</v>
      </c>
      <c r="L39" s="24">
        <v>7577.3119999999999</v>
      </c>
      <c r="M39" s="24">
        <v>7276.9579999999996</v>
      </c>
      <c r="N39" s="24">
        <v>9974.1080000000002</v>
      </c>
      <c r="O39" s="24">
        <v>9334.4169999999995</v>
      </c>
      <c r="P39" s="24">
        <v>10101.707</v>
      </c>
      <c r="Q39" s="24">
        <v>9889.2199999999993</v>
      </c>
      <c r="R39" s="24">
        <v>9619.0930000000008</v>
      </c>
      <c r="S39" s="24">
        <v>9991.2649999999994</v>
      </c>
      <c r="T39" s="24">
        <v>11470.01</v>
      </c>
      <c r="U39" s="24">
        <v>11514.065000000001</v>
      </c>
      <c r="V39" s="24">
        <v>13164.222</v>
      </c>
      <c r="W39" s="24">
        <v>13943.861999999999</v>
      </c>
      <c r="X39" s="24">
        <v>16117.695</v>
      </c>
      <c r="Y39" s="24">
        <v>15435.55</v>
      </c>
      <c r="Z39" s="24">
        <v>16896.848999999998</v>
      </c>
      <c r="AA39" s="24">
        <v>17283.815999999999</v>
      </c>
      <c r="AB39" s="24">
        <v>17318.877</v>
      </c>
      <c r="AC39" s="24">
        <v>19151.753000000001</v>
      </c>
    </row>
    <row r="40" spans="1:29">
      <c r="A40" s="7" t="s">
        <v>121</v>
      </c>
      <c r="B40" s="48">
        <f>SUM(B42:B53)</f>
        <v>0</v>
      </c>
      <c r="C40" s="48">
        <f t="shared" ref="C40:AC40" si="11">SUM(C42:C53)</f>
        <v>0</v>
      </c>
      <c r="D40" s="48">
        <f t="shared" si="11"/>
        <v>0</v>
      </c>
      <c r="E40" s="48">
        <f t="shared" si="11"/>
        <v>0</v>
      </c>
      <c r="F40" s="48">
        <f t="shared" si="11"/>
        <v>847313.51699999999</v>
      </c>
      <c r="G40" s="48">
        <f t="shared" si="11"/>
        <v>0</v>
      </c>
      <c r="H40" s="48">
        <f t="shared" si="11"/>
        <v>0</v>
      </c>
      <c r="I40" s="48">
        <f t="shared" si="11"/>
        <v>962196.36300000001</v>
      </c>
      <c r="J40" s="48">
        <f t="shared" si="11"/>
        <v>0</v>
      </c>
      <c r="K40" s="48">
        <f t="shared" si="11"/>
        <v>1080278.32121</v>
      </c>
      <c r="L40" s="48">
        <f t="shared" si="11"/>
        <v>1283167.0330000001</v>
      </c>
      <c r="M40" s="48">
        <f t="shared" si="11"/>
        <v>1366969.2779999999</v>
      </c>
      <c r="N40" s="48">
        <f t="shared" si="11"/>
        <v>1439213.1260000002</v>
      </c>
      <c r="O40" s="48">
        <f t="shared" si="11"/>
        <v>1485226.868</v>
      </c>
      <c r="P40" s="48">
        <f t="shared" si="11"/>
        <v>1562562.6239999998</v>
      </c>
      <c r="Q40" s="48">
        <f t="shared" si="11"/>
        <v>1612033.9900000002</v>
      </c>
      <c r="R40" s="48">
        <f t="shared" si="11"/>
        <v>1694162.2829999998</v>
      </c>
      <c r="S40" s="48">
        <f t="shared" si="11"/>
        <v>1776888.051</v>
      </c>
      <c r="T40" s="48">
        <f t="shared" si="11"/>
        <v>1942624.9519999996</v>
      </c>
      <c r="U40" s="48">
        <f t="shared" si="11"/>
        <v>2136599.8939999999</v>
      </c>
      <c r="V40" s="48">
        <f t="shared" si="11"/>
        <v>2406828.9589999998</v>
      </c>
      <c r="W40" s="48">
        <f t="shared" si="11"/>
        <v>2461277.5659999996</v>
      </c>
      <c r="X40" s="48">
        <f t="shared" si="11"/>
        <v>2567537.4680000003</v>
      </c>
      <c r="Y40" s="48">
        <f t="shared" si="11"/>
        <v>2695302.8939999999</v>
      </c>
      <c r="Z40" s="48">
        <f t="shared" si="11"/>
        <v>2858681.22</v>
      </c>
      <c r="AA40" s="48">
        <f t="shared" si="11"/>
        <v>3008681.7889999999</v>
      </c>
      <c r="AB40" s="48">
        <f t="shared" si="11"/>
        <v>2980533.0209999993</v>
      </c>
      <c r="AC40" s="48">
        <f t="shared" si="11"/>
        <v>3094618.6640000003</v>
      </c>
    </row>
    <row r="41" spans="1:29">
      <c r="A41" s="7" t="s">
        <v>119</v>
      </c>
      <c r="X41" s="1">
        <v>0</v>
      </c>
      <c r="Y41" s="1">
        <v>0</v>
      </c>
      <c r="AB41" s="1">
        <v>0</v>
      </c>
      <c r="AC41" s="1">
        <v>0</v>
      </c>
    </row>
    <row r="42" spans="1:29">
      <c r="A42" s="1" t="s">
        <v>93</v>
      </c>
      <c r="F42" s="42">
        <v>118109.56200000001</v>
      </c>
      <c r="I42" s="1">
        <v>136724.08199999999</v>
      </c>
      <c r="K42" s="1">
        <v>153667.96799999999</v>
      </c>
      <c r="L42" s="1">
        <v>169536.345</v>
      </c>
      <c r="M42" s="1">
        <v>176699.00399999999</v>
      </c>
      <c r="N42" s="1">
        <v>196037.43400000001</v>
      </c>
      <c r="O42" s="1">
        <v>199705.08499999999</v>
      </c>
      <c r="P42" s="1">
        <v>231576.08199999999</v>
      </c>
      <c r="Q42" s="1">
        <v>231671.67499999999</v>
      </c>
      <c r="R42" s="1">
        <v>243828.986</v>
      </c>
      <c r="S42" s="1">
        <v>262795.23499999999</v>
      </c>
      <c r="T42" s="1">
        <v>287946.27899999998</v>
      </c>
      <c r="U42" s="1">
        <v>318652.66700000002</v>
      </c>
      <c r="V42" s="1">
        <v>377058.962</v>
      </c>
      <c r="W42" s="1">
        <v>395717.67700000003</v>
      </c>
      <c r="X42" s="1">
        <v>414145.94400000002</v>
      </c>
      <c r="Y42" s="1">
        <v>451936.45500000002</v>
      </c>
      <c r="Z42" s="1">
        <v>465755.12099999998</v>
      </c>
      <c r="AA42" s="1">
        <v>501946.11700000003</v>
      </c>
      <c r="AB42" s="1">
        <v>494515.46899999998</v>
      </c>
      <c r="AC42" s="1">
        <v>515708.18199999997</v>
      </c>
    </row>
    <row r="43" spans="1:29">
      <c r="A43" s="1" t="s">
        <v>58</v>
      </c>
      <c r="F43" s="42">
        <v>60629.978999999999</v>
      </c>
      <c r="I43" s="1">
        <v>72183.857999999993</v>
      </c>
      <c r="K43" s="1">
        <v>81646.956000000006</v>
      </c>
      <c r="L43" s="1">
        <v>96390.744999999995</v>
      </c>
      <c r="M43" s="1">
        <v>102460.908</v>
      </c>
      <c r="N43" s="1">
        <v>103230.67200000001</v>
      </c>
      <c r="O43" s="1">
        <v>111512.557</v>
      </c>
      <c r="P43" s="1">
        <v>123870.981</v>
      </c>
      <c r="Q43" s="1">
        <v>134893.25200000001</v>
      </c>
      <c r="R43" s="1">
        <v>141038.81200000001</v>
      </c>
      <c r="S43" s="1">
        <v>142319.611</v>
      </c>
      <c r="T43" s="1">
        <v>144400.63399999999</v>
      </c>
      <c r="U43" s="1">
        <v>184614.77100000001</v>
      </c>
      <c r="V43" s="1">
        <v>218533.66800000001</v>
      </c>
      <c r="W43" s="1">
        <v>200783.66899999999</v>
      </c>
      <c r="X43" s="1">
        <v>210316.47399999999</v>
      </c>
      <c r="Y43" s="1">
        <v>215715.288</v>
      </c>
      <c r="Z43" s="1">
        <v>220267.291</v>
      </c>
      <c r="AA43" s="1">
        <v>226878.61900000001</v>
      </c>
      <c r="AB43" s="1">
        <v>245622.576</v>
      </c>
      <c r="AC43" s="1">
        <v>252312.18700000001</v>
      </c>
    </row>
    <row r="44" spans="1:29">
      <c r="A44" s="1" t="s">
        <v>94</v>
      </c>
      <c r="F44" s="42">
        <v>36223.199000000001</v>
      </c>
      <c r="I44" s="1">
        <v>37740.374000000003</v>
      </c>
      <c r="K44" s="1">
        <v>42693.625</v>
      </c>
      <c r="L44" s="1">
        <v>49604.544999999998</v>
      </c>
      <c r="M44" s="1">
        <v>50943.010999999999</v>
      </c>
      <c r="N44" s="1">
        <v>50237.052000000003</v>
      </c>
      <c r="O44" s="1">
        <v>55322.877</v>
      </c>
      <c r="P44" s="1">
        <v>55564.527999999998</v>
      </c>
      <c r="Q44" s="1">
        <v>57311.580999999998</v>
      </c>
      <c r="R44" s="1">
        <v>61416.923000000003</v>
      </c>
      <c r="S44" s="1">
        <v>59148.741999999998</v>
      </c>
      <c r="T44" s="1">
        <v>63644.697</v>
      </c>
      <c r="U44" s="1">
        <v>64863.345000000001</v>
      </c>
      <c r="V44" s="1">
        <v>80433.243000000002</v>
      </c>
      <c r="W44" s="1">
        <v>76333.031000000003</v>
      </c>
      <c r="X44" s="1">
        <v>80426.941999999995</v>
      </c>
      <c r="Y44" s="1">
        <v>81722.615000000005</v>
      </c>
      <c r="Z44" s="1">
        <v>85088.657999999996</v>
      </c>
      <c r="AA44" s="1">
        <v>95690.883000000002</v>
      </c>
      <c r="AB44" s="1">
        <v>95982.642000000007</v>
      </c>
      <c r="AC44" s="1">
        <v>106592.023</v>
      </c>
    </row>
    <row r="45" spans="1:29">
      <c r="A45" s="1" t="s">
        <v>95</v>
      </c>
      <c r="F45" s="42">
        <v>42803.544999999998</v>
      </c>
      <c r="I45" s="1">
        <v>53659.186000000002</v>
      </c>
      <c r="K45" s="1">
        <v>60477.629070000003</v>
      </c>
      <c r="L45" s="1">
        <v>71537.129000000001</v>
      </c>
      <c r="M45" s="1">
        <v>69990.826000000001</v>
      </c>
      <c r="N45" s="1">
        <v>86420.657999999996</v>
      </c>
      <c r="O45" s="1">
        <v>76304.072</v>
      </c>
      <c r="P45" s="1">
        <v>79320.043999999994</v>
      </c>
      <c r="Q45" s="1">
        <v>83326.45</v>
      </c>
      <c r="R45" s="1">
        <v>88978.513999999996</v>
      </c>
      <c r="S45" s="1">
        <v>92197.866999999998</v>
      </c>
      <c r="T45" s="1">
        <v>103249.227</v>
      </c>
      <c r="U45" s="1">
        <v>139217.05499999999</v>
      </c>
      <c r="V45" s="1">
        <v>155115.00599999999</v>
      </c>
      <c r="W45" s="1">
        <v>166609.23000000001</v>
      </c>
      <c r="X45" s="1">
        <v>182188.37100000001</v>
      </c>
      <c r="Y45" s="1">
        <v>178879.14799999999</v>
      </c>
      <c r="Z45" s="1">
        <v>191398.16699999999</v>
      </c>
      <c r="AA45" s="1">
        <v>203785.56099999999</v>
      </c>
      <c r="AB45" s="1">
        <v>156655.943</v>
      </c>
      <c r="AC45" s="1">
        <v>151695.44899999999</v>
      </c>
    </row>
    <row r="46" spans="1:29">
      <c r="A46" s="1" t="s">
        <v>98</v>
      </c>
      <c r="F46" s="42">
        <v>158220.41200000001</v>
      </c>
      <c r="I46" s="1">
        <v>169753.897</v>
      </c>
      <c r="K46" s="1">
        <v>187894.50399999999</v>
      </c>
      <c r="L46" s="1">
        <v>215592.28099999999</v>
      </c>
      <c r="M46" s="1">
        <v>228214.43799999999</v>
      </c>
      <c r="N46" s="1">
        <v>240159.91200000001</v>
      </c>
      <c r="O46" s="1">
        <v>251584.53200000001</v>
      </c>
      <c r="P46" s="1">
        <v>238089.62400000001</v>
      </c>
      <c r="Q46" s="1">
        <v>242126.66200000001</v>
      </c>
      <c r="R46" s="1">
        <v>251745.48</v>
      </c>
      <c r="S46" s="1">
        <v>266786.65500000003</v>
      </c>
      <c r="T46" s="1">
        <v>318843.3</v>
      </c>
      <c r="U46" s="1">
        <v>350515.33</v>
      </c>
      <c r="V46" s="1">
        <v>374275.64899999998</v>
      </c>
      <c r="W46" s="1">
        <v>383647.26899999997</v>
      </c>
      <c r="X46" s="1">
        <v>398839.64</v>
      </c>
      <c r="Y46" s="1">
        <v>434475.97100000002</v>
      </c>
      <c r="Z46" s="1">
        <v>449918.75</v>
      </c>
      <c r="AA46" s="1">
        <v>472891.054</v>
      </c>
      <c r="AB46" s="1">
        <v>453152.38900000002</v>
      </c>
      <c r="AC46" s="1">
        <v>463739.8</v>
      </c>
    </row>
    <row r="47" spans="1:29">
      <c r="A47" s="1" t="s">
        <v>99</v>
      </c>
      <c r="F47" s="42">
        <v>68328.039999999994</v>
      </c>
      <c r="I47" s="1">
        <v>73975.514999999999</v>
      </c>
      <c r="K47" s="1">
        <v>94876.26</v>
      </c>
      <c r="L47" s="1">
        <v>115601.891</v>
      </c>
      <c r="M47" s="1">
        <v>128404.083</v>
      </c>
      <c r="N47" s="1">
        <v>133283.95600000001</v>
      </c>
      <c r="O47" s="1">
        <v>135413.25</v>
      </c>
      <c r="P47" s="1">
        <v>140443.68100000001</v>
      </c>
      <c r="Q47" s="1">
        <v>146855.48499999999</v>
      </c>
      <c r="R47" s="1">
        <v>157635.63399999999</v>
      </c>
      <c r="S47" s="1">
        <v>165558.492</v>
      </c>
      <c r="T47" s="1">
        <v>173400.83799999999</v>
      </c>
      <c r="U47" s="1">
        <v>213652.58100000001</v>
      </c>
      <c r="V47" s="1">
        <v>230645.845</v>
      </c>
      <c r="W47" s="1">
        <v>234151.36600000001</v>
      </c>
      <c r="X47" s="1">
        <v>237086.81599999999</v>
      </c>
      <c r="Y47" s="1">
        <v>253167.06400000001</v>
      </c>
      <c r="Z47" s="1">
        <v>264399.049</v>
      </c>
      <c r="AA47" s="1">
        <v>264252.86</v>
      </c>
      <c r="AB47" s="1">
        <v>269579.71999999997</v>
      </c>
      <c r="AC47" s="1">
        <v>285696.76899999997</v>
      </c>
    </row>
    <row r="48" spans="1:29">
      <c r="A48" s="1" t="s">
        <v>59</v>
      </c>
      <c r="F48" s="42">
        <v>65420.743000000002</v>
      </c>
      <c r="I48" s="1">
        <v>80144.017999999996</v>
      </c>
      <c r="K48" s="1">
        <v>91457.004000000001</v>
      </c>
      <c r="L48" s="1">
        <v>109295.274</v>
      </c>
      <c r="M48" s="1">
        <v>118852.83</v>
      </c>
      <c r="N48" s="1">
        <v>110632.296</v>
      </c>
      <c r="O48" s="1">
        <v>106930.792</v>
      </c>
      <c r="P48" s="1">
        <v>120653.499</v>
      </c>
      <c r="Q48" s="1">
        <v>125880.065</v>
      </c>
      <c r="R48" s="1">
        <v>134829.50700000001</v>
      </c>
      <c r="S48" s="1">
        <v>137323.09299999999</v>
      </c>
      <c r="T48" s="1">
        <v>150499.02799999999</v>
      </c>
      <c r="U48" s="1">
        <v>152636.54199999999</v>
      </c>
      <c r="V48" s="1">
        <v>167803.23300000001</v>
      </c>
      <c r="W48" s="1">
        <v>169332.77299999999</v>
      </c>
      <c r="X48" s="1">
        <v>181953.37100000001</v>
      </c>
      <c r="Y48" s="1">
        <v>191349.81400000001</v>
      </c>
      <c r="Z48" s="1">
        <v>211690.40299999999</v>
      </c>
      <c r="AA48" s="1">
        <v>222976.633</v>
      </c>
      <c r="AB48" s="1">
        <v>233827.29699999999</v>
      </c>
      <c r="AC48" s="1">
        <v>239451.076</v>
      </c>
    </row>
    <row r="49" spans="1:29">
      <c r="A49" s="1" t="s">
        <v>101</v>
      </c>
      <c r="F49" s="42">
        <v>18851.812999999998</v>
      </c>
      <c r="I49" s="1">
        <v>23305.936000000002</v>
      </c>
      <c r="K49" s="1">
        <v>21518.357</v>
      </c>
      <c r="L49" s="1">
        <v>25302.931</v>
      </c>
      <c r="M49" s="1">
        <v>26581.93</v>
      </c>
      <c r="N49" s="1">
        <v>26401.032999999999</v>
      </c>
      <c r="O49" s="1">
        <v>24275.973000000002</v>
      </c>
      <c r="P49" s="1">
        <v>23303.701000000001</v>
      </c>
      <c r="Q49" s="1">
        <v>26192.537</v>
      </c>
      <c r="R49" s="1">
        <v>30518.645</v>
      </c>
      <c r="S49" s="1">
        <v>31889.874</v>
      </c>
      <c r="T49" s="1">
        <v>39920.481</v>
      </c>
      <c r="U49" s="1">
        <v>33792.639000000003</v>
      </c>
      <c r="V49" s="1">
        <v>43332.322</v>
      </c>
      <c r="W49" s="1">
        <v>45780.552000000003</v>
      </c>
      <c r="X49" s="1">
        <v>52525.14</v>
      </c>
      <c r="Y49" s="1">
        <v>48587.055</v>
      </c>
      <c r="Z49" s="1">
        <v>49018.205999999998</v>
      </c>
      <c r="AA49" s="1">
        <v>50763.212</v>
      </c>
      <c r="AB49" s="1">
        <v>54868.423000000003</v>
      </c>
      <c r="AC49" s="1">
        <v>60400.38</v>
      </c>
    </row>
    <row r="50" spans="1:29">
      <c r="A50" s="1" t="s">
        <v>107</v>
      </c>
      <c r="F50" s="42">
        <v>12605.308999999999</v>
      </c>
      <c r="I50" s="1">
        <v>14351.857</v>
      </c>
      <c r="K50" s="1">
        <v>14547.696</v>
      </c>
      <c r="L50" s="1">
        <v>16660.422999999999</v>
      </c>
      <c r="M50" s="1">
        <v>18966.27</v>
      </c>
      <c r="N50" s="1">
        <v>21338.143</v>
      </c>
      <c r="O50" s="1">
        <v>22849.91</v>
      </c>
      <c r="P50" s="1">
        <v>24578.146000000001</v>
      </c>
      <c r="Q50" s="1">
        <v>26070.504000000001</v>
      </c>
      <c r="R50" s="1">
        <v>29101.632000000001</v>
      </c>
      <c r="S50" s="1">
        <v>31098.465</v>
      </c>
      <c r="T50" s="1">
        <v>33078.533000000003</v>
      </c>
      <c r="U50" s="1">
        <v>34997.652000000002</v>
      </c>
      <c r="V50" s="1">
        <v>40960.559999999998</v>
      </c>
      <c r="W50" s="1">
        <v>45365.144999999997</v>
      </c>
      <c r="X50" s="1">
        <v>46162.089</v>
      </c>
      <c r="Y50" s="1">
        <v>47984.860999999997</v>
      </c>
      <c r="Z50" s="1">
        <v>90521.917000000001</v>
      </c>
      <c r="AA50" s="1">
        <v>100623.788</v>
      </c>
      <c r="AB50" s="1">
        <v>97116.154999999999</v>
      </c>
      <c r="AC50" s="1">
        <v>101225.569</v>
      </c>
    </row>
    <row r="51" spans="1:29">
      <c r="A51" s="1" t="s">
        <v>108</v>
      </c>
      <c r="F51" s="42">
        <v>138465.351</v>
      </c>
      <c r="I51" s="1">
        <v>152975.897</v>
      </c>
      <c r="K51" s="1">
        <v>170094.649</v>
      </c>
      <c r="L51" s="1">
        <v>212242.62599999999</v>
      </c>
      <c r="M51" s="1">
        <v>226351.17300000001</v>
      </c>
      <c r="N51" s="1">
        <v>236613.77499999999</v>
      </c>
      <c r="O51" s="1">
        <v>256922.22500000001</v>
      </c>
      <c r="P51" s="1">
        <v>266597.09000000003</v>
      </c>
      <c r="Q51" s="1">
        <v>270911.84700000001</v>
      </c>
      <c r="R51" s="1">
        <v>281016.95600000001</v>
      </c>
      <c r="S51" s="1">
        <v>288895.554</v>
      </c>
      <c r="T51" s="1">
        <v>312550.28200000001</v>
      </c>
      <c r="U51" s="1">
        <v>304216.98599999998</v>
      </c>
      <c r="V51" s="1">
        <v>330499.80099999998</v>
      </c>
      <c r="W51" s="1">
        <v>343143.14399999997</v>
      </c>
      <c r="X51" s="1">
        <v>339985.62099999998</v>
      </c>
      <c r="Y51" s="1">
        <v>360690.29800000001</v>
      </c>
      <c r="Z51" s="1">
        <v>378054.005</v>
      </c>
      <c r="AA51" s="1">
        <v>406972.86599999998</v>
      </c>
      <c r="AB51" s="1">
        <v>432227.63</v>
      </c>
      <c r="AC51" s="1">
        <v>466784.63500000001</v>
      </c>
    </row>
    <row r="52" spans="1:29">
      <c r="A52" s="1" t="s">
        <v>112</v>
      </c>
      <c r="F52" s="42">
        <v>13095.206</v>
      </c>
      <c r="I52" s="1">
        <v>17389.377</v>
      </c>
      <c r="K52" s="1">
        <v>18401.98314</v>
      </c>
      <c r="L52" s="1">
        <v>24671.412</v>
      </c>
      <c r="M52" s="1">
        <v>24393.243999999999</v>
      </c>
      <c r="N52" s="1">
        <v>26896.516</v>
      </c>
      <c r="O52" s="1">
        <v>26206.143</v>
      </c>
      <c r="P52" s="1">
        <v>28808.254000000001</v>
      </c>
      <c r="Q52" s="1">
        <v>32382.365000000002</v>
      </c>
      <c r="R52" s="1">
        <v>33775.578000000001</v>
      </c>
      <c r="S52" s="1">
        <v>36351.85</v>
      </c>
      <c r="T52" s="1">
        <v>39189.082000000002</v>
      </c>
      <c r="U52" s="1">
        <v>39234.949999999997</v>
      </c>
      <c r="V52" s="1">
        <v>44270.567000000003</v>
      </c>
      <c r="W52" s="1">
        <v>45718.483</v>
      </c>
      <c r="X52" s="1">
        <v>50967.415999999997</v>
      </c>
      <c r="Y52" s="1">
        <v>56358.936999999998</v>
      </c>
      <c r="Z52" s="1">
        <v>58516.05</v>
      </c>
      <c r="AA52" s="1">
        <v>61708.180999999997</v>
      </c>
      <c r="AB52" s="1">
        <v>65491.084000000003</v>
      </c>
      <c r="AC52" s="1">
        <v>75142.827000000005</v>
      </c>
    </row>
    <row r="53" spans="1:29">
      <c r="A53" s="24" t="s">
        <v>116</v>
      </c>
      <c r="B53" s="24"/>
      <c r="C53" s="24"/>
      <c r="D53" s="24"/>
      <c r="E53" s="24"/>
      <c r="F53" s="45">
        <v>114560.35799999999</v>
      </c>
      <c r="G53" s="24"/>
      <c r="H53" s="24"/>
      <c r="I53" s="24">
        <v>129992.36599999999</v>
      </c>
      <c r="J53" s="24"/>
      <c r="K53" s="24">
        <v>143001.69</v>
      </c>
      <c r="L53" s="24">
        <v>176731.43100000001</v>
      </c>
      <c r="M53" s="24">
        <v>195111.56099999999</v>
      </c>
      <c r="N53" s="24">
        <v>207961.679</v>
      </c>
      <c r="O53" s="24">
        <v>218199.45199999999</v>
      </c>
      <c r="P53" s="24">
        <v>229756.99400000001</v>
      </c>
      <c r="Q53" s="24">
        <v>234411.56700000001</v>
      </c>
      <c r="R53" s="24">
        <v>240275.61600000001</v>
      </c>
      <c r="S53" s="24">
        <v>262522.61300000001</v>
      </c>
      <c r="T53" s="24">
        <v>275902.571</v>
      </c>
      <c r="U53" s="24">
        <v>300205.37599999999</v>
      </c>
      <c r="V53" s="24">
        <v>343900.103</v>
      </c>
      <c r="W53" s="24">
        <v>354695.22700000001</v>
      </c>
      <c r="X53" s="24">
        <v>372939.64399999997</v>
      </c>
      <c r="Y53" s="24">
        <v>374435.38799999998</v>
      </c>
      <c r="Z53" s="24">
        <v>394053.603</v>
      </c>
      <c r="AA53" s="24">
        <v>400192.01500000001</v>
      </c>
      <c r="AB53" s="24">
        <v>381493.69300000003</v>
      </c>
      <c r="AC53" s="24">
        <v>375869.76699999999</v>
      </c>
    </row>
    <row r="54" spans="1:29">
      <c r="A54" s="7" t="s">
        <v>122</v>
      </c>
      <c r="B54" s="48">
        <f>SUM(B56:B64)</f>
        <v>0</v>
      </c>
      <c r="C54" s="48">
        <f t="shared" ref="C54:AC54" si="12">SUM(C56:C64)</f>
        <v>0</v>
      </c>
      <c r="D54" s="48">
        <f t="shared" si="12"/>
        <v>0</v>
      </c>
      <c r="E54" s="48">
        <f t="shared" si="12"/>
        <v>0</v>
      </c>
      <c r="F54" s="48">
        <f>SUM(F56:F64)</f>
        <v>497928.19199999998</v>
      </c>
      <c r="G54" s="48">
        <f t="shared" si="12"/>
        <v>0</v>
      </c>
      <c r="H54" s="48">
        <f t="shared" si="12"/>
        <v>0</v>
      </c>
      <c r="I54" s="48">
        <f t="shared" si="12"/>
        <v>618317.34899999993</v>
      </c>
      <c r="J54" s="48">
        <f t="shared" si="12"/>
        <v>0</v>
      </c>
      <c r="K54" s="48">
        <f t="shared" si="12"/>
        <v>751238.96199999994</v>
      </c>
      <c r="L54" s="48">
        <f t="shared" si="12"/>
        <v>853964.04399999999</v>
      </c>
      <c r="M54" s="48">
        <f t="shared" si="12"/>
        <v>844677.679</v>
      </c>
      <c r="N54" s="48">
        <f t="shared" si="12"/>
        <v>833538.59699999995</v>
      </c>
      <c r="O54" s="48">
        <f t="shared" si="12"/>
        <v>779982.85400000005</v>
      </c>
      <c r="P54" s="48">
        <f t="shared" si="12"/>
        <v>825152.79500000016</v>
      </c>
      <c r="Q54" s="48">
        <f t="shared" si="12"/>
        <v>969434.61899999995</v>
      </c>
      <c r="R54" s="48">
        <f t="shared" si="12"/>
        <v>989909.39900000009</v>
      </c>
      <c r="S54" s="48">
        <f t="shared" si="12"/>
        <v>1074142.2169999999</v>
      </c>
      <c r="T54" s="48">
        <f t="shared" si="12"/>
        <v>1202739.5659999999</v>
      </c>
      <c r="U54" s="48">
        <f t="shared" si="12"/>
        <v>1223701.9179999998</v>
      </c>
      <c r="V54" s="48">
        <f t="shared" si="12"/>
        <v>1526758.4479999999</v>
      </c>
      <c r="W54" s="48">
        <f t="shared" si="12"/>
        <v>1595284.733</v>
      </c>
      <c r="X54" s="48">
        <f t="shared" si="12"/>
        <v>1651927.5179999999</v>
      </c>
      <c r="Y54" s="48">
        <f t="shared" si="12"/>
        <v>1675116.8359999999</v>
      </c>
      <c r="Z54" s="48">
        <f t="shared" si="12"/>
        <v>1800320.0739999998</v>
      </c>
      <c r="AA54" s="48">
        <f t="shared" si="12"/>
        <v>1858593.5220000001</v>
      </c>
      <c r="AB54" s="48">
        <f t="shared" si="12"/>
        <v>2030917.064</v>
      </c>
      <c r="AC54" s="48">
        <f t="shared" si="12"/>
        <v>2086573.2930000001</v>
      </c>
    </row>
    <row r="55" spans="1:29">
      <c r="A55" s="7" t="s">
        <v>119</v>
      </c>
      <c r="X55" s="1">
        <v>0</v>
      </c>
      <c r="Y55" s="1">
        <v>0</v>
      </c>
      <c r="AB55" s="1">
        <v>0</v>
      </c>
      <c r="AC55" s="1">
        <v>0</v>
      </c>
    </row>
    <row r="56" spans="1:29">
      <c r="A56" s="1" t="s">
        <v>89</v>
      </c>
      <c r="F56" s="42">
        <v>22646.129000000001</v>
      </c>
      <c r="I56" s="1">
        <v>32285.432000000001</v>
      </c>
      <c r="K56" s="1">
        <v>33489.195</v>
      </c>
      <c r="L56" s="1">
        <v>58354.69</v>
      </c>
      <c r="M56" s="1">
        <v>56579.985999999997</v>
      </c>
      <c r="N56" s="1">
        <v>62309.125</v>
      </c>
      <c r="O56" s="1">
        <v>66257.009999999995</v>
      </c>
      <c r="P56" s="1">
        <v>68289.558000000005</v>
      </c>
      <c r="Q56" s="1">
        <v>85014.751000000004</v>
      </c>
      <c r="R56" s="1">
        <v>82690.091</v>
      </c>
      <c r="S56" s="1">
        <v>92503.678</v>
      </c>
      <c r="T56" s="1">
        <v>113655.21</v>
      </c>
      <c r="U56" s="1">
        <v>115970.97100000001</v>
      </c>
      <c r="V56" s="1">
        <v>130811.976</v>
      </c>
      <c r="W56" s="1">
        <v>131353.45699999999</v>
      </c>
      <c r="X56" s="1">
        <v>120494.731</v>
      </c>
      <c r="Y56" s="1">
        <v>126534.423</v>
      </c>
      <c r="Z56" s="1">
        <v>149766.31099999999</v>
      </c>
      <c r="AA56" s="1">
        <v>160306.01</v>
      </c>
      <c r="AB56" s="1">
        <v>166485.96</v>
      </c>
      <c r="AC56" s="1">
        <v>147508.88099999999</v>
      </c>
    </row>
    <row r="57" spans="1:29">
      <c r="A57" s="1" t="s">
        <v>96</v>
      </c>
      <c r="F57" s="42">
        <v>23047.458999999999</v>
      </c>
      <c r="I57" s="1">
        <v>25129.305</v>
      </c>
      <c r="K57" s="1">
        <v>28571.003000000001</v>
      </c>
      <c r="L57" s="1">
        <v>33231.595999999998</v>
      </c>
      <c r="M57" s="1">
        <v>36257.802000000003</v>
      </c>
      <c r="N57" s="1">
        <v>36964.146000000001</v>
      </c>
      <c r="O57" s="1">
        <v>38844.39</v>
      </c>
      <c r="P57" s="1">
        <v>40749.4</v>
      </c>
      <c r="Q57" s="1">
        <v>42061.921999999999</v>
      </c>
      <c r="R57" s="1">
        <v>43800.978999999999</v>
      </c>
      <c r="S57" s="1">
        <v>47483.095000000001</v>
      </c>
      <c r="T57" s="1">
        <v>49704.41</v>
      </c>
      <c r="U57" s="1">
        <v>51457.849000000002</v>
      </c>
      <c r="V57" s="1">
        <v>58452.7</v>
      </c>
      <c r="W57" s="1">
        <v>59057.324999999997</v>
      </c>
      <c r="X57" s="1">
        <v>60254.008999999998</v>
      </c>
      <c r="Y57" s="1">
        <v>61444.821000000004</v>
      </c>
      <c r="Z57" s="1">
        <v>60809.696000000004</v>
      </c>
      <c r="AA57" s="1">
        <v>64083.053</v>
      </c>
      <c r="AB57" s="1">
        <v>68496.728000000003</v>
      </c>
      <c r="AC57" s="1">
        <v>69250.342000000004</v>
      </c>
    </row>
    <row r="58" spans="1:29" s="24" customFormat="1">
      <c r="A58" s="1" t="s">
        <v>97</v>
      </c>
      <c r="B58" s="1"/>
      <c r="C58" s="1"/>
      <c r="D58" s="1"/>
      <c r="E58" s="1"/>
      <c r="F58" s="42">
        <v>56235.154000000002</v>
      </c>
      <c r="G58" s="1"/>
      <c r="H58" s="1"/>
      <c r="I58" s="1">
        <v>72243.626000000004</v>
      </c>
      <c r="J58" s="1"/>
      <c r="K58" s="1">
        <v>90166.892999999996</v>
      </c>
      <c r="L58" s="1">
        <v>108627.982</v>
      </c>
      <c r="M58" s="1">
        <v>121890.7</v>
      </c>
      <c r="N58" s="1">
        <v>119799.791</v>
      </c>
      <c r="O58" s="1">
        <v>115530.228</v>
      </c>
      <c r="P58" s="1">
        <v>117841.164</v>
      </c>
      <c r="Q58" s="1">
        <v>130393.82399999999</v>
      </c>
      <c r="R58" s="1">
        <v>136849.82999999999</v>
      </c>
      <c r="S58" s="1">
        <v>151160.163</v>
      </c>
      <c r="T58" s="1">
        <v>163729.44</v>
      </c>
      <c r="U58" s="1">
        <v>145038.81</v>
      </c>
      <c r="V58" s="1">
        <v>190324.01699999999</v>
      </c>
      <c r="W58" s="1">
        <v>209520.81</v>
      </c>
      <c r="X58" s="1">
        <v>225482.723</v>
      </c>
      <c r="Y58" s="1">
        <v>231609.24400000001</v>
      </c>
      <c r="Z58" s="1">
        <v>250833.75200000001</v>
      </c>
      <c r="AA58" s="1">
        <v>273692.05200000003</v>
      </c>
      <c r="AB58" s="1">
        <v>291637.55200000003</v>
      </c>
      <c r="AC58" s="1">
        <v>308966.65299999999</v>
      </c>
    </row>
    <row r="59" spans="1:29">
      <c r="A59" s="1" t="s">
        <v>103</v>
      </c>
      <c r="F59" s="42">
        <v>15278.573</v>
      </c>
      <c r="I59" s="1">
        <v>15636.526</v>
      </c>
      <c r="K59" s="1">
        <v>16742.142</v>
      </c>
      <c r="L59" s="1">
        <v>18444.644</v>
      </c>
      <c r="M59" s="1">
        <v>20266.667000000001</v>
      </c>
      <c r="N59" s="1">
        <v>20942.811000000002</v>
      </c>
      <c r="O59" s="1">
        <v>25840.92</v>
      </c>
      <c r="P59" s="1">
        <v>25507.88</v>
      </c>
      <c r="Q59" s="1">
        <v>26394.858</v>
      </c>
      <c r="R59" s="1">
        <v>28871.49</v>
      </c>
      <c r="S59" s="1">
        <v>29444.147000000001</v>
      </c>
      <c r="T59" s="1">
        <v>36702.885999999999</v>
      </c>
      <c r="U59" s="1">
        <v>45367.881999999998</v>
      </c>
      <c r="V59" s="1">
        <v>43057.758000000002</v>
      </c>
      <c r="W59" s="1">
        <v>45335.809000000001</v>
      </c>
      <c r="X59" s="1">
        <v>39299.173999999999</v>
      </c>
      <c r="Y59" s="1">
        <v>39769.93</v>
      </c>
      <c r="Z59" s="1">
        <v>41922.834000000003</v>
      </c>
      <c r="AA59" s="1">
        <v>45752.042999999998</v>
      </c>
      <c r="AB59" s="1">
        <v>48952.625999999997</v>
      </c>
      <c r="AC59" s="1">
        <v>51539.31</v>
      </c>
    </row>
    <row r="60" spans="1:29">
      <c r="A60" s="1" t="s">
        <v>104</v>
      </c>
      <c r="F60" s="42">
        <v>54174.499000000003</v>
      </c>
      <c r="I60" s="1">
        <v>62035.243000000002</v>
      </c>
      <c r="K60" s="1">
        <v>111476.469</v>
      </c>
      <c r="L60" s="1">
        <v>80891.89</v>
      </c>
      <c r="M60" s="1">
        <v>90055.634999999995</v>
      </c>
      <c r="N60" s="1">
        <v>97483.498999999996</v>
      </c>
      <c r="O60" s="1">
        <v>88708.516000000003</v>
      </c>
      <c r="P60" s="1">
        <v>98722.092000000004</v>
      </c>
      <c r="Q60" s="1">
        <v>170318.75200000001</v>
      </c>
      <c r="R60" s="1">
        <v>188178.7</v>
      </c>
      <c r="S60" s="1">
        <v>194099.171</v>
      </c>
      <c r="T60" s="1">
        <v>212549.61</v>
      </c>
      <c r="U60" s="1">
        <v>218589.02900000001</v>
      </c>
      <c r="V60" s="1">
        <v>265123.44300000003</v>
      </c>
      <c r="W60" s="1">
        <v>273669.93</v>
      </c>
      <c r="X60" s="1">
        <v>299652.26899999997</v>
      </c>
      <c r="Y60" s="1">
        <v>305823.05499999999</v>
      </c>
      <c r="Z60" s="1">
        <v>344991.44099999999</v>
      </c>
      <c r="AA60" s="1">
        <v>330749.91499999998</v>
      </c>
      <c r="AB60" s="1">
        <v>371807.69799999997</v>
      </c>
      <c r="AC60" s="1">
        <v>408770.951</v>
      </c>
    </row>
    <row r="61" spans="1:29">
      <c r="A61" s="1" t="s">
        <v>106</v>
      </c>
      <c r="F61" s="42">
        <v>154042.67600000001</v>
      </c>
      <c r="I61" s="1">
        <v>202696.08100000001</v>
      </c>
      <c r="K61" s="1">
        <v>237734.72899999999</v>
      </c>
      <c r="L61" s="1">
        <v>270030.788</v>
      </c>
      <c r="M61" s="1">
        <v>257306.747</v>
      </c>
      <c r="N61" s="1">
        <v>282740.64500000002</v>
      </c>
      <c r="O61" s="1">
        <v>287704.63400000002</v>
      </c>
      <c r="P61" s="1">
        <v>295867.70500000002</v>
      </c>
      <c r="Q61" s="1">
        <v>341070.75099999999</v>
      </c>
      <c r="R61" s="1">
        <v>329826.35600000003</v>
      </c>
      <c r="S61" s="1">
        <v>366856.685</v>
      </c>
      <c r="T61" s="1">
        <v>412510.26500000001</v>
      </c>
      <c r="U61" s="1">
        <v>425388.18699999998</v>
      </c>
      <c r="V61" s="1">
        <v>567116.79299999995</v>
      </c>
      <c r="W61" s="1">
        <v>588988.299</v>
      </c>
      <c r="X61" s="1">
        <v>611461.103</v>
      </c>
      <c r="Y61" s="1">
        <v>608056.73699999996</v>
      </c>
      <c r="Z61" s="1">
        <v>634977.31999999995</v>
      </c>
      <c r="AA61" s="1">
        <v>659597.62699999998</v>
      </c>
      <c r="AB61" s="1">
        <v>743741.26399999997</v>
      </c>
      <c r="AC61" s="1">
        <v>746313.68500000006</v>
      </c>
    </row>
    <row r="62" spans="1:29">
      <c r="A62" s="1" t="s">
        <v>110</v>
      </c>
      <c r="F62" s="42">
        <v>147079.054</v>
      </c>
      <c r="I62" s="1">
        <v>176672.73300000001</v>
      </c>
      <c r="K62" s="1">
        <v>196508.81</v>
      </c>
      <c r="L62" s="1">
        <v>248020.33</v>
      </c>
      <c r="M62" s="1">
        <v>223218.552</v>
      </c>
      <c r="N62" s="1">
        <v>166397.08499999999</v>
      </c>
      <c r="O62" s="1">
        <v>114331.103</v>
      </c>
      <c r="P62" s="1">
        <v>124566.586</v>
      </c>
      <c r="Q62" s="1">
        <v>117019.311</v>
      </c>
      <c r="R62" s="1">
        <v>120523.125</v>
      </c>
      <c r="S62" s="1">
        <v>128841.02099999999</v>
      </c>
      <c r="T62" s="1">
        <v>140517.29</v>
      </c>
      <c r="U62" s="1">
        <v>149697.90100000001</v>
      </c>
      <c r="V62" s="1">
        <v>185135.05</v>
      </c>
      <c r="W62" s="1">
        <v>196322.959</v>
      </c>
      <c r="X62" s="1">
        <v>199651.95699999999</v>
      </c>
      <c r="Y62" s="1">
        <v>205016.00399999999</v>
      </c>
      <c r="Z62" s="1">
        <v>213313.91899999999</v>
      </c>
      <c r="AA62" s="1">
        <v>216984.677</v>
      </c>
      <c r="AB62" s="1">
        <v>221580.86499999999</v>
      </c>
      <c r="AC62" s="1">
        <v>229237.533</v>
      </c>
    </row>
    <row r="63" spans="1:29">
      <c r="A63" s="1" t="s">
        <v>111</v>
      </c>
      <c r="F63" s="42">
        <v>13309.314</v>
      </c>
      <c r="I63" s="1">
        <v>18235.886999999999</v>
      </c>
      <c r="K63" s="1">
        <v>21755.892</v>
      </c>
      <c r="L63" s="1">
        <v>20681.835999999999</v>
      </c>
      <c r="M63" s="1">
        <v>21992.965</v>
      </c>
      <c r="N63" s="1">
        <v>23436.767</v>
      </c>
      <c r="O63" s="1">
        <v>24892.462</v>
      </c>
      <c r="P63" s="1">
        <v>27193.149000000001</v>
      </c>
      <c r="Q63" s="1">
        <v>29148.375</v>
      </c>
      <c r="R63" s="1">
        <v>30494.587</v>
      </c>
      <c r="S63" s="1">
        <v>30985.756000000001</v>
      </c>
      <c r="T63" s="1">
        <v>34418.156999999999</v>
      </c>
      <c r="U63" s="1">
        <v>34224.944000000003</v>
      </c>
      <c r="V63" s="1">
        <v>38455.892999999996</v>
      </c>
      <c r="W63" s="1">
        <v>40565.137999999999</v>
      </c>
      <c r="X63" s="1">
        <v>44708.281000000003</v>
      </c>
      <c r="Y63" s="1">
        <v>45398.196000000004</v>
      </c>
      <c r="Z63" s="1">
        <v>48028.733999999997</v>
      </c>
      <c r="AA63" s="1">
        <v>47835.633999999998</v>
      </c>
      <c r="AB63" s="1">
        <v>48976.423000000003</v>
      </c>
      <c r="AC63" s="1">
        <v>51953.184000000001</v>
      </c>
    </row>
    <row r="64" spans="1:29">
      <c r="A64" s="24" t="s">
        <v>114</v>
      </c>
      <c r="B64" s="24"/>
      <c r="C64" s="24"/>
      <c r="D64" s="24"/>
      <c r="E64" s="24"/>
      <c r="F64" s="45">
        <v>12115.334000000001</v>
      </c>
      <c r="G64" s="24"/>
      <c r="H64" s="24"/>
      <c r="I64" s="24">
        <v>13382.516</v>
      </c>
      <c r="J64" s="24"/>
      <c r="K64" s="24">
        <v>14793.829</v>
      </c>
      <c r="L64" s="24">
        <v>15680.288</v>
      </c>
      <c r="M64" s="24">
        <v>17108.625</v>
      </c>
      <c r="N64" s="24">
        <v>23464.727999999999</v>
      </c>
      <c r="O64" s="24">
        <v>17873.591</v>
      </c>
      <c r="P64" s="24">
        <v>26415.260999999999</v>
      </c>
      <c r="Q64" s="24">
        <v>28012.075000000001</v>
      </c>
      <c r="R64" s="24">
        <v>28674.241000000002</v>
      </c>
      <c r="S64" s="24">
        <v>32768.500999999997</v>
      </c>
      <c r="T64" s="24">
        <v>38952.298000000003</v>
      </c>
      <c r="U64" s="24">
        <v>37966.345000000001</v>
      </c>
      <c r="V64" s="24">
        <v>48280.817999999999</v>
      </c>
      <c r="W64" s="24">
        <v>50471.006000000001</v>
      </c>
      <c r="X64" s="24">
        <v>50923.271000000001</v>
      </c>
      <c r="Y64" s="24">
        <v>51464.425999999999</v>
      </c>
      <c r="Z64" s="24">
        <v>55676.067000000003</v>
      </c>
      <c r="AA64" s="24">
        <v>59592.510999999999</v>
      </c>
      <c r="AB64" s="24">
        <v>69237.948000000004</v>
      </c>
      <c r="AC64" s="24">
        <v>73032.754000000001</v>
      </c>
    </row>
    <row r="65" spans="1:29">
      <c r="A65" s="46" t="s">
        <v>90</v>
      </c>
      <c r="B65" s="46"/>
      <c r="C65" s="46"/>
      <c r="D65" s="46"/>
      <c r="E65" s="46"/>
      <c r="F65" s="47">
        <v>6581.5519999999997</v>
      </c>
      <c r="G65" s="46"/>
      <c r="H65" s="46"/>
      <c r="I65" s="46">
        <v>4551.3</v>
      </c>
      <c r="J65" s="46"/>
      <c r="K65" s="46">
        <v>4864.8496699999996</v>
      </c>
      <c r="L65" s="46">
        <v>9359.8019999999997</v>
      </c>
      <c r="M65" s="46">
        <v>8590.25</v>
      </c>
      <c r="N65" s="46">
        <v>5033.3909999999996</v>
      </c>
      <c r="O65" s="46">
        <v>4014.8710000000001</v>
      </c>
      <c r="P65" s="46">
        <v>4320.1949999999997</v>
      </c>
      <c r="Q65" s="46">
        <v>7887.1980000000003</v>
      </c>
      <c r="R65" s="46">
        <v>8133.0140000000001</v>
      </c>
      <c r="S65" s="46">
        <v>8857.0750000000007</v>
      </c>
      <c r="T65" s="46">
        <v>9610.1080000000002</v>
      </c>
      <c r="U65" s="46">
        <v>8980.6769999999997</v>
      </c>
      <c r="V65" s="46">
        <v>10019</v>
      </c>
      <c r="W65" s="46">
        <v>10044.753000000001</v>
      </c>
      <c r="X65" s="24">
        <v>11605.866</v>
      </c>
      <c r="Y65" s="24">
        <v>12473.763999999999</v>
      </c>
      <c r="Z65" s="24">
        <v>7407.9350000000004</v>
      </c>
      <c r="AA65" s="24">
        <v>9487.8700000000008</v>
      </c>
      <c r="AB65" s="24">
        <v>11522.212</v>
      </c>
      <c r="AC65" s="24">
        <v>13095.141</v>
      </c>
    </row>
    <row r="67" spans="1:29">
      <c r="I67" s="20" t="s">
        <v>78</v>
      </c>
      <c r="J67" s="20" t="s">
        <v>76</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8">
    <tabColor theme="4" tint="0.39997558519241921"/>
  </sheetPr>
  <dimension ref="A1:AD70"/>
  <sheetViews>
    <sheetView showZeros="0" zoomScaleNormal="100" workbookViewId="0">
      <pane xSplit="1" ySplit="5" topLeftCell="U6" activePane="bottomRight" state="frozen"/>
      <selection activeCell="AC65" sqref="AC65"/>
      <selection pane="topRight" activeCell="AC65" sqref="AC65"/>
      <selection pane="bottomLeft" activeCell="AC65" sqref="AC65"/>
      <selection pane="bottomRight" activeCell="AA54" sqref="AA54:AC54"/>
    </sheetView>
  </sheetViews>
  <sheetFormatPr defaultColWidth="9.7109375" defaultRowHeight="12.75"/>
  <cols>
    <col min="1" max="1" width="23.42578125" style="44" customWidth="1"/>
    <col min="2" max="23" width="12.42578125" style="1" customWidth="1"/>
    <col min="24" max="24" width="10.7109375" style="1" customWidth="1"/>
    <col min="25" max="25" width="12.7109375" style="1" bestFit="1" customWidth="1"/>
    <col min="26" max="29" width="12.7109375" style="1" customWidth="1"/>
    <col min="30" max="42" width="10.7109375" style="1" customWidth="1"/>
    <col min="43" max="16384" width="9.7109375" style="1"/>
  </cols>
  <sheetData>
    <row r="1" spans="1:29">
      <c r="A1" s="7" t="s">
        <v>39</v>
      </c>
      <c r="B1"/>
      <c r="C1"/>
      <c r="D1"/>
      <c r="E1"/>
      <c r="F1"/>
      <c r="G1"/>
      <c r="H1"/>
      <c r="I1"/>
      <c r="J1"/>
      <c r="K1"/>
      <c r="L1"/>
      <c r="M1"/>
      <c r="N1"/>
      <c r="O1"/>
      <c r="P1"/>
      <c r="Q1"/>
      <c r="R1"/>
      <c r="S1"/>
      <c r="T1"/>
      <c r="U1"/>
      <c r="V1"/>
      <c r="W1"/>
    </row>
    <row r="2" spans="1:29">
      <c r="A2" s="9"/>
      <c r="B2"/>
      <c r="C2"/>
      <c r="D2"/>
      <c r="E2"/>
      <c r="F2"/>
      <c r="G2"/>
      <c r="H2"/>
      <c r="I2"/>
      <c r="J2"/>
      <c r="K2"/>
      <c r="L2"/>
      <c r="M2"/>
      <c r="N2"/>
      <c r="O2"/>
      <c r="P2"/>
      <c r="Q2"/>
      <c r="R2"/>
      <c r="S2"/>
      <c r="T2"/>
      <c r="U2"/>
      <c r="V2"/>
      <c r="W2"/>
      <c r="AA2" s="1">
        <v>1000</v>
      </c>
    </row>
    <row r="3" spans="1:29">
      <c r="A3" s="1" t="s">
        <v>22</v>
      </c>
      <c r="B3"/>
      <c r="C3"/>
      <c r="D3"/>
      <c r="E3"/>
      <c r="F3"/>
      <c r="G3"/>
      <c r="H3"/>
      <c r="I3"/>
      <c r="J3"/>
      <c r="K3"/>
      <c r="L3"/>
      <c r="M3"/>
      <c r="N3"/>
      <c r="O3"/>
      <c r="P3"/>
      <c r="Q3"/>
      <c r="R3"/>
      <c r="S3"/>
      <c r="T3"/>
      <c r="U3"/>
      <c r="V3"/>
      <c r="W3"/>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c r="W4" s="40">
        <v>2011</v>
      </c>
      <c r="X4" s="33" t="s">
        <v>140</v>
      </c>
      <c r="Y4" s="33" t="s">
        <v>142</v>
      </c>
      <c r="Z4" s="33" t="s">
        <v>143</v>
      </c>
      <c r="AA4" s="33" t="s">
        <v>144</v>
      </c>
      <c r="AB4" s="96" t="s">
        <v>149</v>
      </c>
      <c r="AC4" s="96" t="s">
        <v>150</v>
      </c>
    </row>
    <row r="5" spans="1:29" s="8" customFormat="1">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1">
        <v>775102</v>
      </c>
      <c r="C6" s="1">
        <v>842580</v>
      </c>
      <c r="D6" s="1">
        <v>920584</v>
      </c>
      <c r="E6" s="1">
        <v>1494583.094</v>
      </c>
      <c r="F6" s="49">
        <f>+F7+F25+F40+F54+F55</f>
        <v>1587201.267</v>
      </c>
      <c r="G6" s="1">
        <v>1797787.031</v>
      </c>
      <c r="H6" s="1">
        <v>1906801.6669999999</v>
      </c>
      <c r="I6" s="49">
        <f>+I7+I25+I40+I54+I55</f>
        <v>1923559.7099999997</v>
      </c>
      <c r="J6" s="1">
        <v>2173970.1150000002</v>
      </c>
      <c r="K6" s="49">
        <f t="shared" ref="K6:U6" si="0">+K7+K25+K40+K54+K55</f>
        <v>2242781.8574600006</v>
      </c>
      <c r="L6" s="49">
        <f t="shared" si="0"/>
        <v>2551965.3009999995</v>
      </c>
      <c r="M6" s="49">
        <f t="shared" si="0"/>
        <v>2786238.628</v>
      </c>
      <c r="N6" s="49">
        <f t="shared" si="0"/>
        <v>2838801.6030000001</v>
      </c>
      <c r="O6" s="49">
        <f t="shared" si="0"/>
        <v>2946185.4359999998</v>
      </c>
      <c r="P6" s="49">
        <f t="shared" si="0"/>
        <v>3036538.071</v>
      </c>
      <c r="Q6" s="49">
        <f t="shared" si="0"/>
        <v>3460856.0970000001</v>
      </c>
      <c r="R6" s="49">
        <f t="shared" si="0"/>
        <v>3639083.9119999995</v>
      </c>
      <c r="S6" s="49">
        <f t="shared" si="0"/>
        <v>3901066.358</v>
      </c>
      <c r="T6" s="49">
        <f t="shared" si="0"/>
        <v>4214526.3679999998</v>
      </c>
      <c r="U6" s="49">
        <f t="shared" si="0"/>
        <v>4685088.4159999993</v>
      </c>
      <c r="V6" s="49">
        <f t="shared" ref="V6:W6" si="1">+V7+V25+V40+V54+V55</f>
        <v>5515884.8159999996</v>
      </c>
      <c r="W6" s="49">
        <f t="shared" si="1"/>
        <v>5701678.3920000009</v>
      </c>
      <c r="X6" s="49">
        <f t="shared" ref="X6:Y6" si="2">+X7+X25+X40+X54+X55</f>
        <v>5822183.5049999999</v>
      </c>
      <c r="Y6" s="49">
        <f t="shared" si="2"/>
        <v>5038833.6170000006</v>
      </c>
      <c r="Z6" s="49">
        <f t="shared" ref="Z6:AA6" si="3">+Z7+Z25+Z40+Z54+Z55</f>
        <v>5244172.3339999998</v>
      </c>
      <c r="AA6" s="49">
        <f t="shared" si="3"/>
        <v>5422272.0829999996</v>
      </c>
      <c r="AB6" s="49">
        <f t="shared" ref="AB6:AC6" si="4">+AB7+AB25+AB40+AB54+AB55</f>
        <v>6640148.4789999994</v>
      </c>
      <c r="AC6" s="49">
        <f t="shared" si="4"/>
        <v>6802262.6919999998</v>
      </c>
    </row>
    <row r="7" spans="1:29">
      <c r="A7" s="1" t="s">
        <v>56</v>
      </c>
      <c r="B7" s="48">
        <f>SUM(B8:B24)</f>
        <v>215005</v>
      </c>
      <c r="C7" s="48">
        <f t="shared" ref="C7:U7" si="5">SUM(C8:C24)</f>
        <v>232101</v>
      </c>
      <c r="D7" s="48">
        <f t="shared" si="5"/>
        <v>256495</v>
      </c>
      <c r="E7" s="48">
        <f t="shared" si="5"/>
        <v>404611.26900000009</v>
      </c>
      <c r="F7" s="48">
        <f t="shared" si="5"/>
        <v>429054.929</v>
      </c>
      <c r="G7" s="48">
        <f t="shared" si="5"/>
        <v>474875.93700000009</v>
      </c>
      <c r="H7" s="48">
        <f t="shared" si="5"/>
        <v>522360.60499999998</v>
      </c>
      <c r="I7" s="48">
        <f t="shared" si="5"/>
        <v>551569.87400000007</v>
      </c>
      <c r="J7" s="48">
        <f t="shared" si="5"/>
        <v>592551.14799999993</v>
      </c>
      <c r="K7" s="48">
        <f t="shared" si="5"/>
        <v>606061.12185</v>
      </c>
      <c r="L7" s="48">
        <f t="shared" si="5"/>
        <v>768650.77099999995</v>
      </c>
      <c r="M7" s="48">
        <f t="shared" si="5"/>
        <v>868617.55200000003</v>
      </c>
      <c r="N7" s="48">
        <f t="shared" si="5"/>
        <v>846868.22799999989</v>
      </c>
      <c r="O7" s="48">
        <f t="shared" si="5"/>
        <v>872823.61199999996</v>
      </c>
      <c r="P7" s="48">
        <f t="shared" si="5"/>
        <v>915887.95199999993</v>
      </c>
      <c r="Q7" s="48">
        <f t="shared" si="5"/>
        <v>1009867.49</v>
      </c>
      <c r="R7" s="48">
        <f t="shared" si="5"/>
        <v>1070373.8109999998</v>
      </c>
      <c r="S7" s="48">
        <f t="shared" si="5"/>
        <v>1163593.291</v>
      </c>
      <c r="T7" s="48">
        <f t="shared" si="5"/>
        <v>1281704.3199999998</v>
      </c>
      <c r="U7" s="48">
        <f t="shared" si="5"/>
        <v>1446840.6139999998</v>
      </c>
      <c r="V7" s="48">
        <f t="shared" ref="V7:W7" si="6">SUM(V8:V24)</f>
        <v>1739986.7560000001</v>
      </c>
      <c r="W7" s="48">
        <f t="shared" si="6"/>
        <v>1834847.773</v>
      </c>
      <c r="X7" s="48">
        <f t="shared" ref="X7:Y7" si="7">SUM(X8:X24)</f>
        <v>1889440.318</v>
      </c>
      <c r="Y7" s="48">
        <f t="shared" si="7"/>
        <v>1845607.8949999998</v>
      </c>
      <c r="Z7" s="48">
        <f t="shared" ref="Z7:AA7" si="8">SUM(Z8:Z24)</f>
        <v>1917972.7110000001</v>
      </c>
      <c r="AA7" s="48">
        <f t="shared" si="8"/>
        <v>1937965.1389999997</v>
      </c>
      <c r="AB7" s="48">
        <f t="shared" ref="AB7:AC7" si="9">SUM(AB8:AB24)</f>
        <v>2077563.889</v>
      </c>
      <c r="AC7" s="48">
        <f t="shared" si="9"/>
        <v>2007749.2229999998</v>
      </c>
    </row>
    <row r="8" spans="1:29">
      <c r="A8" s="7" t="s">
        <v>119</v>
      </c>
    </row>
    <row r="9" spans="1:29">
      <c r="A9" s="1" t="s">
        <v>3</v>
      </c>
      <c r="B9" s="1">
        <v>10656</v>
      </c>
      <c r="C9" s="1">
        <v>13446</v>
      </c>
      <c r="D9" s="1">
        <v>15787</v>
      </c>
      <c r="E9" s="1">
        <v>27172.903999999999</v>
      </c>
      <c r="F9" s="42">
        <v>25791.47</v>
      </c>
      <c r="G9" s="1">
        <v>28598.18</v>
      </c>
      <c r="H9" s="1">
        <v>30714.486000000001</v>
      </c>
      <c r="I9" s="1">
        <v>32342.355</v>
      </c>
      <c r="J9" s="1">
        <v>35380.856</v>
      </c>
      <c r="K9" s="1">
        <v>34658.134840000006</v>
      </c>
      <c r="L9" s="1">
        <v>42421.55</v>
      </c>
      <c r="M9" s="1">
        <v>47340.921000000002</v>
      </c>
      <c r="N9" s="1">
        <v>44740.523000000001</v>
      </c>
      <c r="O9" s="1">
        <v>47183.012000000002</v>
      </c>
      <c r="P9" s="1">
        <v>48173.714999999997</v>
      </c>
      <c r="Q9" s="1">
        <v>50467.750999999997</v>
      </c>
      <c r="R9" s="1">
        <v>55288.398999999998</v>
      </c>
      <c r="S9" s="1">
        <v>62251.076999999997</v>
      </c>
      <c r="T9" s="1">
        <v>79516.838000000003</v>
      </c>
      <c r="U9" s="1">
        <v>82951.476999999999</v>
      </c>
      <c r="V9" s="1">
        <v>92570.968999999997</v>
      </c>
      <c r="W9" s="1">
        <v>94333.663</v>
      </c>
      <c r="X9" s="1">
        <v>93097.354999999996</v>
      </c>
      <c r="Y9" s="1">
        <v>86853.664999999994</v>
      </c>
      <c r="Z9" s="1">
        <v>87623.88</v>
      </c>
      <c r="AA9" s="1">
        <v>88815.02</v>
      </c>
      <c r="AB9" s="1">
        <v>86503.034</v>
      </c>
      <c r="AC9" s="1">
        <v>86591.532999999996</v>
      </c>
    </row>
    <row r="10" spans="1:29">
      <c r="A10" s="1" t="s">
        <v>4</v>
      </c>
      <c r="B10" s="1">
        <v>2210</v>
      </c>
      <c r="C10" s="1">
        <v>2633</v>
      </c>
      <c r="D10" s="1">
        <v>3055</v>
      </c>
      <c r="E10" s="1">
        <v>5131.1469999999999</v>
      </c>
      <c r="F10" s="42">
        <v>5954.7340000000004</v>
      </c>
      <c r="G10" s="1">
        <v>7530.49</v>
      </c>
      <c r="H10" s="1">
        <v>8142.991</v>
      </c>
      <c r="I10" s="1">
        <v>10098.424999999999</v>
      </c>
      <c r="J10" s="1">
        <v>14570.306</v>
      </c>
      <c r="K10" s="1">
        <v>13490.715</v>
      </c>
      <c r="L10" s="1">
        <v>18903.634999999998</v>
      </c>
      <c r="M10" s="1">
        <v>22041.567999999999</v>
      </c>
      <c r="N10" s="1">
        <v>21265.603999999999</v>
      </c>
      <c r="O10" s="1">
        <v>21819.448</v>
      </c>
      <c r="P10" s="1">
        <v>24145.48</v>
      </c>
      <c r="Q10" s="1">
        <v>24831.763999999999</v>
      </c>
      <c r="R10" s="1">
        <v>28440.190999999999</v>
      </c>
      <c r="S10" s="1">
        <v>35723.360000000001</v>
      </c>
      <c r="T10" s="1">
        <v>40687.387000000002</v>
      </c>
      <c r="U10" s="1">
        <v>42460.392999999996</v>
      </c>
      <c r="V10" s="1">
        <v>53628.637000000002</v>
      </c>
      <c r="W10" s="1">
        <v>57423.12</v>
      </c>
      <c r="X10" s="1">
        <v>58926.862000000001</v>
      </c>
      <c r="Y10" s="1">
        <v>58473.690999999999</v>
      </c>
      <c r="Z10" s="1">
        <v>57255.781000000003</v>
      </c>
      <c r="AA10" s="1">
        <v>57936.442999999999</v>
      </c>
      <c r="AB10" s="1">
        <v>54495.383999999998</v>
      </c>
      <c r="AC10" s="1">
        <v>54804.269</v>
      </c>
    </row>
    <row r="11" spans="1:29" ht="12" customHeight="1">
      <c r="A11" s="1" t="s">
        <v>52</v>
      </c>
      <c r="D11" s="1">
        <v>1989</v>
      </c>
      <c r="E11" s="1">
        <v>3580.0630000000001</v>
      </c>
      <c r="F11" s="42">
        <v>3853.8780000000002</v>
      </c>
      <c r="I11" s="1">
        <v>8610.2170000000006</v>
      </c>
      <c r="J11" s="1">
        <v>5628.116</v>
      </c>
      <c r="K11" s="1">
        <v>5807.0050000000001</v>
      </c>
      <c r="L11" s="1">
        <v>5859.3410000000003</v>
      </c>
      <c r="M11" s="1">
        <v>6435.5720000000001</v>
      </c>
      <c r="N11" s="1">
        <v>6625.6559999999999</v>
      </c>
      <c r="O11" s="1">
        <v>7893.0169999999998</v>
      </c>
      <c r="P11" s="1">
        <v>6910.0360000000001</v>
      </c>
      <c r="Q11" s="1">
        <v>7643.183</v>
      </c>
      <c r="R11" s="1">
        <v>8668.3889999999992</v>
      </c>
      <c r="S11" s="1">
        <v>7894.6350000000002</v>
      </c>
      <c r="T11" s="1">
        <v>9052.6280000000006</v>
      </c>
      <c r="U11" s="1">
        <v>8738.6149999999998</v>
      </c>
      <c r="V11" s="1">
        <v>9803.1180000000004</v>
      </c>
      <c r="W11" s="1">
        <v>10027.59</v>
      </c>
      <c r="X11" s="1">
        <v>10893.504999999999</v>
      </c>
      <c r="Y11" s="1">
        <v>11369.285</v>
      </c>
      <c r="Z11" s="1">
        <v>11837.51</v>
      </c>
      <c r="AA11" s="1">
        <v>11828.736000000001</v>
      </c>
      <c r="AB11" s="1">
        <v>12046.058000000001</v>
      </c>
      <c r="AC11" s="1">
        <v>12078.331</v>
      </c>
    </row>
    <row r="12" spans="1:29">
      <c r="A12" s="1" t="s">
        <v>5</v>
      </c>
      <c r="B12" s="1">
        <v>47099</v>
      </c>
      <c r="C12" s="1">
        <v>49203</v>
      </c>
      <c r="D12" s="1">
        <v>53875</v>
      </c>
      <c r="E12" s="1">
        <v>88254.462</v>
      </c>
      <c r="F12" s="42">
        <v>94695.578999999998</v>
      </c>
      <c r="G12" s="1">
        <v>104573.60400000001</v>
      </c>
      <c r="H12" s="1">
        <v>113450.663</v>
      </c>
      <c r="I12" s="1">
        <v>117129.266</v>
      </c>
      <c r="J12" s="1">
        <v>116948.43</v>
      </c>
      <c r="K12" s="1">
        <v>123887.708</v>
      </c>
      <c r="L12" s="1">
        <v>156823.92300000001</v>
      </c>
      <c r="M12" s="1">
        <v>183304.50399999999</v>
      </c>
      <c r="N12" s="1">
        <v>162638.91800000001</v>
      </c>
      <c r="O12" s="1">
        <v>142939.39300000001</v>
      </c>
      <c r="P12" s="1">
        <v>154643.179</v>
      </c>
      <c r="Q12" s="1">
        <v>162602.557</v>
      </c>
      <c r="R12" s="1">
        <v>169861.628</v>
      </c>
      <c r="S12" s="1">
        <v>196749.821</v>
      </c>
      <c r="T12" s="1">
        <v>196649.46</v>
      </c>
      <c r="U12" s="1">
        <v>311383.913</v>
      </c>
      <c r="V12" s="1">
        <v>317197.80099999998</v>
      </c>
      <c r="W12" s="1">
        <v>347857.826</v>
      </c>
      <c r="X12" s="1">
        <v>357768.54599999997</v>
      </c>
      <c r="Y12" s="1">
        <v>364586.63400000002</v>
      </c>
      <c r="Z12" s="1">
        <v>391564.179</v>
      </c>
      <c r="AA12" s="1">
        <v>381699.56</v>
      </c>
      <c r="AB12" s="1">
        <v>406444.179</v>
      </c>
      <c r="AC12" s="1">
        <v>410657.071</v>
      </c>
    </row>
    <row r="13" spans="1:29">
      <c r="A13" s="1" t="s">
        <v>6</v>
      </c>
      <c r="B13" s="1">
        <v>5704</v>
      </c>
      <c r="C13" s="1">
        <v>5950</v>
      </c>
      <c r="D13" s="1">
        <v>7243</v>
      </c>
      <c r="E13" s="1">
        <v>19352.126</v>
      </c>
      <c r="F13" s="42">
        <v>23412.66</v>
      </c>
      <c r="G13" s="1">
        <v>28345.544999999998</v>
      </c>
      <c r="H13" s="1">
        <v>33729.614000000001</v>
      </c>
      <c r="I13" s="1">
        <v>36479.864999999998</v>
      </c>
      <c r="J13" s="1">
        <v>29323.618999999999</v>
      </c>
      <c r="K13" s="1">
        <v>33080.897579999997</v>
      </c>
      <c r="L13" s="1">
        <v>50628.14</v>
      </c>
      <c r="M13" s="1">
        <v>56931.891000000003</v>
      </c>
      <c r="N13" s="1">
        <v>65383.491000000002</v>
      </c>
      <c r="O13" s="1">
        <v>71030.702000000005</v>
      </c>
      <c r="P13" s="1">
        <v>76104.759000000005</v>
      </c>
      <c r="Q13" s="1">
        <v>77552.578999999998</v>
      </c>
      <c r="R13" s="1">
        <v>83724.445999999996</v>
      </c>
      <c r="S13" s="1">
        <v>82831.519</v>
      </c>
      <c r="T13" s="1">
        <v>85761.066999999995</v>
      </c>
      <c r="U13" s="1">
        <v>43447.207999999999</v>
      </c>
      <c r="V13" s="1">
        <v>118458.03</v>
      </c>
      <c r="W13" s="1">
        <v>126982.916</v>
      </c>
      <c r="X13" s="1">
        <v>142102.20600000001</v>
      </c>
      <c r="Y13" s="1">
        <v>49671.881000000001</v>
      </c>
      <c r="Z13" s="1">
        <v>55703.682999999997</v>
      </c>
      <c r="AA13" s="1">
        <v>56852.11</v>
      </c>
      <c r="AB13" s="1">
        <v>133851.17199999999</v>
      </c>
      <c r="AC13" s="1">
        <v>43585.521999999997</v>
      </c>
    </row>
    <row r="14" spans="1:29">
      <c r="A14" s="1" t="s">
        <v>7</v>
      </c>
      <c r="B14" s="1">
        <v>2679</v>
      </c>
      <c r="C14" s="1">
        <v>1096</v>
      </c>
      <c r="D14" s="1">
        <v>926</v>
      </c>
      <c r="E14" s="1">
        <v>5337.8119999999999</v>
      </c>
      <c r="F14" s="42">
        <v>6815.2529999999997</v>
      </c>
      <c r="G14" s="1">
        <v>6603.7380000000003</v>
      </c>
      <c r="H14" s="1">
        <v>6757.1319999999996</v>
      </c>
      <c r="I14" s="1">
        <v>7461.8450000000003</v>
      </c>
      <c r="J14" s="1">
        <v>7944.482</v>
      </c>
      <c r="K14" s="1">
        <v>9456.2080000000005</v>
      </c>
      <c r="L14" s="1">
        <v>18793.048999999999</v>
      </c>
      <c r="M14" s="1">
        <v>27814.814999999999</v>
      </c>
      <c r="N14" s="1">
        <v>1710.0119999999999</v>
      </c>
      <c r="O14" s="1">
        <v>2080.7759999999998</v>
      </c>
      <c r="P14" s="1">
        <v>2256.9899999999998</v>
      </c>
      <c r="Q14" s="1">
        <v>34003.557000000001</v>
      </c>
      <c r="R14" s="1">
        <v>35612.332999999999</v>
      </c>
      <c r="S14" s="1">
        <v>38289.050000000003</v>
      </c>
      <c r="T14" s="1">
        <v>46901.226999999999</v>
      </c>
      <c r="U14" s="1">
        <v>44435.241000000002</v>
      </c>
      <c r="V14" s="1">
        <v>57387.040000000001</v>
      </c>
      <c r="W14" s="1">
        <v>61141.767</v>
      </c>
      <c r="X14" s="1">
        <v>62128.248</v>
      </c>
      <c r="Y14" s="1">
        <v>59741.987999999998</v>
      </c>
      <c r="Z14" s="1">
        <v>56716.951000000001</v>
      </c>
      <c r="AA14" s="1">
        <v>57649.83</v>
      </c>
      <c r="AB14" s="1">
        <v>63443.773000000001</v>
      </c>
      <c r="AC14" s="1">
        <v>54696.228999999999</v>
      </c>
    </row>
    <row r="15" spans="1:29">
      <c r="A15" s="1" t="s">
        <v>8</v>
      </c>
      <c r="B15" s="1">
        <v>2563</v>
      </c>
      <c r="C15" s="1">
        <v>2835</v>
      </c>
      <c r="D15" s="1">
        <v>2925</v>
      </c>
      <c r="E15" s="1">
        <v>3970.7719999999999</v>
      </c>
      <c r="F15" s="42">
        <v>4331.7359999999999</v>
      </c>
      <c r="G15" s="1">
        <v>5180.8999999999996</v>
      </c>
      <c r="H15" s="1">
        <v>5503.05</v>
      </c>
      <c r="I15" s="1">
        <v>5854.1409999999996</v>
      </c>
      <c r="J15" s="1">
        <v>10327.201999999999</v>
      </c>
      <c r="K15" s="1">
        <v>9713.2338699999982</v>
      </c>
      <c r="L15" s="1">
        <v>15226.955</v>
      </c>
      <c r="M15" s="1">
        <v>17608.981</v>
      </c>
      <c r="N15" s="1">
        <v>21595.123</v>
      </c>
      <c r="O15" s="1">
        <v>29314.675999999999</v>
      </c>
      <c r="P15" s="1">
        <v>32521.072</v>
      </c>
      <c r="Q15" s="1">
        <v>31924.047999999999</v>
      </c>
      <c r="R15" s="1">
        <v>32003.172999999999</v>
      </c>
      <c r="S15" s="1">
        <v>34400.978999999999</v>
      </c>
      <c r="T15" s="1">
        <v>43564.803999999996</v>
      </c>
      <c r="U15" s="1">
        <v>36132.74</v>
      </c>
      <c r="V15" s="1">
        <v>44662.694000000003</v>
      </c>
      <c r="W15" s="1">
        <v>43326.267</v>
      </c>
      <c r="X15" s="1">
        <v>43587.582000000002</v>
      </c>
      <c r="Y15" s="1">
        <v>34349.207000000002</v>
      </c>
      <c r="Z15" s="1">
        <v>33495.161</v>
      </c>
      <c r="AA15" s="1">
        <v>35955.129999999997</v>
      </c>
      <c r="AB15" s="1">
        <v>44859.775000000001</v>
      </c>
      <c r="AC15" s="1">
        <v>34044.735000000001</v>
      </c>
    </row>
    <row r="16" spans="1:29">
      <c r="A16" s="1" t="s">
        <v>9</v>
      </c>
      <c r="B16" s="1">
        <v>20853</v>
      </c>
      <c r="C16" s="1">
        <v>21363</v>
      </c>
      <c r="D16" s="1">
        <v>23440</v>
      </c>
      <c r="E16" s="1">
        <v>34991.697999999997</v>
      </c>
      <c r="F16" s="42">
        <v>28042.714</v>
      </c>
      <c r="G16" s="1">
        <v>37207.970999999998</v>
      </c>
      <c r="H16" s="1">
        <v>40089.620999999999</v>
      </c>
      <c r="I16" s="1">
        <v>33734.222000000002</v>
      </c>
      <c r="J16" s="1">
        <v>43673.156000000003</v>
      </c>
      <c r="K16" s="1">
        <v>43453.504999999997</v>
      </c>
      <c r="L16" s="1">
        <v>54767.883000000002</v>
      </c>
      <c r="M16" s="1">
        <v>59941.42</v>
      </c>
      <c r="N16" s="1">
        <v>65805.361000000004</v>
      </c>
      <c r="O16" s="1">
        <v>73014.372000000003</v>
      </c>
      <c r="P16" s="1">
        <v>75497.278999999995</v>
      </c>
      <c r="Q16" s="1">
        <v>80055.627999999997</v>
      </c>
      <c r="R16" s="1">
        <v>84563.119000000006</v>
      </c>
      <c r="S16" s="1">
        <v>92981.918000000005</v>
      </c>
      <c r="T16" s="1">
        <v>100077.761</v>
      </c>
      <c r="U16" s="1">
        <v>116051.394</v>
      </c>
      <c r="V16" s="1">
        <v>127851.265</v>
      </c>
      <c r="W16" s="1">
        <v>135083.951</v>
      </c>
      <c r="X16" s="1">
        <v>145659.87100000001</v>
      </c>
      <c r="Y16" s="1">
        <v>148519.533</v>
      </c>
      <c r="Z16" s="1">
        <v>154717.217</v>
      </c>
      <c r="AA16" s="1">
        <v>159913.22700000001</v>
      </c>
      <c r="AB16" s="1">
        <v>160185.41399999999</v>
      </c>
      <c r="AC16" s="1">
        <v>155781.736</v>
      </c>
    </row>
    <row r="17" spans="1:29">
      <c r="A17" s="1" t="s">
        <v>10</v>
      </c>
      <c r="B17" s="1">
        <v>11458</v>
      </c>
      <c r="C17" s="1">
        <v>10987</v>
      </c>
      <c r="D17" s="1">
        <v>12201</v>
      </c>
      <c r="E17" s="1">
        <v>18918.142</v>
      </c>
      <c r="F17" s="42">
        <v>19019.035</v>
      </c>
      <c r="G17" s="1">
        <v>20186.917000000001</v>
      </c>
      <c r="H17" s="1">
        <v>22387.745999999999</v>
      </c>
      <c r="I17" s="1">
        <v>27811.074000000001</v>
      </c>
      <c r="J17" s="1">
        <v>30879.891</v>
      </c>
      <c r="K17" s="1">
        <v>31720.042000000001</v>
      </c>
      <c r="L17" s="1">
        <v>35118.22</v>
      </c>
      <c r="M17" s="1">
        <v>37013.256000000001</v>
      </c>
      <c r="N17" s="1">
        <v>34439.26</v>
      </c>
      <c r="O17" s="1">
        <v>36051.241999999998</v>
      </c>
      <c r="P17" s="1">
        <v>39732.735999999997</v>
      </c>
      <c r="Q17" s="1">
        <v>40445.171000000002</v>
      </c>
      <c r="R17" s="1">
        <v>40900.557999999997</v>
      </c>
      <c r="S17" s="1">
        <v>47024.838000000003</v>
      </c>
      <c r="T17" s="1">
        <v>51188.521000000001</v>
      </c>
      <c r="U17" s="1">
        <v>56554.641000000003</v>
      </c>
      <c r="V17" s="1">
        <v>65346.703000000001</v>
      </c>
      <c r="W17" s="1">
        <v>66351.600000000006</v>
      </c>
      <c r="X17" s="1">
        <v>69673.046000000002</v>
      </c>
      <c r="Y17" s="1">
        <v>72559.457999999999</v>
      </c>
      <c r="Z17" s="1">
        <v>72775.520999999993</v>
      </c>
      <c r="AA17" s="1">
        <v>78238.362999999998</v>
      </c>
      <c r="AB17" s="1">
        <v>80692.722999999998</v>
      </c>
      <c r="AC17" s="1">
        <v>85619.986000000004</v>
      </c>
    </row>
    <row r="18" spans="1:29">
      <c r="A18" s="1" t="s">
        <v>11</v>
      </c>
      <c r="B18" s="1">
        <v>19607</v>
      </c>
      <c r="C18" s="1">
        <v>21999</v>
      </c>
      <c r="D18" s="1">
        <v>24285</v>
      </c>
      <c r="E18" s="1">
        <v>36031.214</v>
      </c>
      <c r="F18" s="42">
        <v>38063.112000000001</v>
      </c>
      <c r="G18" s="1">
        <v>43462.3</v>
      </c>
      <c r="H18" s="1">
        <v>46410.493999999999</v>
      </c>
      <c r="I18" s="1">
        <v>46704.099000000002</v>
      </c>
      <c r="J18" s="1">
        <v>47805.981</v>
      </c>
      <c r="K18" s="1">
        <v>49760.348450000005</v>
      </c>
      <c r="L18" s="1">
        <v>68019.032999999996</v>
      </c>
      <c r="M18" s="1">
        <v>64641.224999999999</v>
      </c>
      <c r="N18" s="1">
        <v>60882.18</v>
      </c>
      <c r="O18" s="1">
        <v>68891.572</v>
      </c>
      <c r="P18" s="1">
        <v>72523.837</v>
      </c>
      <c r="Q18" s="1">
        <v>81209.342000000004</v>
      </c>
      <c r="R18" s="1">
        <v>89399.796000000002</v>
      </c>
      <c r="S18" s="1">
        <v>93137.339000000007</v>
      </c>
      <c r="T18" s="1">
        <v>98927.547999999995</v>
      </c>
      <c r="U18" s="1">
        <v>104127.25</v>
      </c>
      <c r="V18" s="1">
        <v>125198.798</v>
      </c>
      <c r="W18" s="1">
        <v>133252.649</v>
      </c>
      <c r="X18" s="1">
        <v>143275.128</v>
      </c>
      <c r="Y18" s="1">
        <v>154806.26199999999</v>
      </c>
      <c r="Z18" s="1">
        <v>153359.84899999999</v>
      </c>
      <c r="AA18" s="1">
        <v>153886.549</v>
      </c>
      <c r="AB18" s="1">
        <v>152292.44</v>
      </c>
      <c r="AC18" s="1">
        <v>157658.40100000001</v>
      </c>
    </row>
    <row r="19" spans="1:29">
      <c r="A19" s="1" t="s">
        <v>12</v>
      </c>
      <c r="B19" s="1">
        <v>6948</v>
      </c>
      <c r="C19" s="1">
        <v>7248</v>
      </c>
      <c r="D19" s="1">
        <v>8222</v>
      </c>
      <c r="E19" s="1">
        <v>12435.403</v>
      </c>
      <c r="F19" s="42">
        <v>14723.955</v>
      </c>
      <c r="G19" s="1">
        <v>14449.800999999999</v>
      </c>
      <c r="H19" s="1">
        <v>15501.637000000001</v>
      </c>
      <c r="I19" s="1">
        <v>17076.774000000001</v>
      </c>
      <c r="J19" s="1">
        <v>17488.560000000001</v>
      </c>
      <c r="K19" s="1">
        <v>19964.940830000007</v>
      </c>
      <c r="L19" s="1">
        <v>23113.078000000001</v>
      </c>
      <c r="M19" s="1">
        <v>35870.343000000001</v>
      </c>
      <c r="N19" s="1">
        <v>29154.136999999999</v>
      </c>
      <c r="O19" s="1">
        <v>27056.01</v>
      </c>
      <c r="P19" s="1">
        <v>26468.885999999999</v>
      </c>
      <c r="Q19" s="1">
        <v>29353.427</v>
      </c>
      <c r="R19" s="1">
        <v>31509.302</v>
      </c>
      <c r="S19" s="1">
        <v>32115.325000000001</v>
      </c>
      <c r="T19" s="1">
        <v>37127.881999999998</v>
      </c>
      <c r="U19" s="1">
        <v>43152.053</v>
      </c>
      <c r="V19" s="1">
        <v>51025.218999999997</v>
      </c>
      <c r="W19" s="1">
        <v>55065.671999999999</v>
      </c>
      <c r="X19" s="1">
        <v>50959.828999999998</v>
      </c>
      <c r="Y19" s="1">
        <v>51523.74</v>
      </c>
      <c r="Z19" s="1">
        <v>55344.188000000002</v>
      </c>
      <c r="AA19" s="1">
        <v>52458.591</v>
      </c>
      <c r="AB19" s="1">
        <v>49419.01</v>
      </c>
      <c r="AC19" s="1">
        <v>50349.453999999998</v>
      </c>
    </row>
    <row r="20" spans="1:29">
      <c r="A20" s="1" t="s">
        <v>13</v>
      </c>
      <c r="B20" s="1">
        <v>10110</v>
      </c>
      <c r="C20" s="1">
        <v>12184</v>
      </c>
      <c r="D20" s="1">
        <v>13460</v>
      </c>
      <c r="E20" s="1">
        <v>18864.028999999999</v>
      </c>
      <c r="F20" s="42">
        <v>21726.866000000002</v>
      </c>
      <c r="G20" s="1">
        <v>21595.312999999998</v>
      </c>
      <c r="H20" s="1">
        <v>25208.121999999999</v>
      </c>
      <c r="I20" s="1">
        <v>27897.993999999999</v>
      </c>
      <c r="J20" s="1">
        <v>31044.352999999999</v>
      </c>
      <c r="K20" s="1">
        <v>30925.513999999999</v>
      </c>
      <c r="L20" s="1">
        <v>41240.696000000004</v>
      </c>
      <c r="M20" s="1">
        <v>43607.796999999999</v>
      </c>
      <c r="N20" s="1">
        <v>46441.826999999997</v>
      </c>
      <c r="O20" s="1">
        <v>47279.671000000002</v>
      </c>
      <c r="P20" s="1">
        <v>49052.934000000001</v>
      </c>
      <c r="Q20" s="1">
        <v>53454.362999999998</v>
      </c>
      <c r="R20" s="1">
        <v>55931.400999999998</v>
      </c>
      <c r="S20" s="1">
        <v>61003.781000000003</v>
      </c>
      <c r="T20" s="1">
        <v>66349.024999999994</v>
      </c>
      <c r="U20" s="1">
        <v>82805.111000000004</v>
      </c>
      <c r="V20" s="1">
        <v>83874.820999999996</v>
      </c>
      <c r="W20" s="1">
        <v>83671.339000000007</v>
      </c>
      <c r="X20" s="1">
        <v>85950.894</v>
      </c>
      <c r="Y20" s="1">
        <v>91547.509000000005</v>
      </c>
      <c r="Z20" s="1">
        <v>92730.357000000004</v>
      </c>
      <c r="AA20" s="1">
        <v>96650.142999999996</v>
      </c>
      <c r="AB20" s="1">
        <v>96353.430999999997</v>
      </c>
      <c r="AC20" s="1">
        <v>95534.264999999999</v>
      </c>
    </row>
    <row r="21" spans="1:29" s="24" customFormat="1">
      <c r="A21" s="1" t="s">
        <v>14</v>
      </c>
      <c r="B21" s="1">
        <v>9652</v>
      </c>
      <c r="C21" s="1">
        <v>11204</v>
      </c>
      <c r="D21" s="1">
        <v>12231</v>
      </c>
      <c r="E21" s="1">
        <v>19579.682000000001</v>
      </c>
      <c r="F21" s="42">
        <v>20434.478999999999</v>
      </c>
      <c r="G21" s="1">
        <v>22425.019</v>
      </c>
      <c r="H21" s="1">
        <v>25968.633000000002</v>
      </c>
      <c r="I21" s="1">
        <v>26782.27</v>
      </c>
      <c r="J21" s="1">
        <v>29720.608</v>
      </c>
      <c r="K21" s="1">
        <v>28983.296999999999</v>
      </c>
      <c r="L21" s="1">
        <v>31892.556</v>
      </c>
      <c r="M21" s="1">
        <v>36282.086000000003</v>
      </c>
      <c r="N21" s="1">
        <v>36485.947999999997</v>
      </c>
      <c r="O21" s="1">
        <v>39010.264999999999</v>
      </c>
      <c r="P21" s="1">
        <v>39984.663</v>
      </c>
      <c r="Q21" s="1">
        <v>42694.150999999998</v>
      </c>
      <c r="R21" s="1">
        <v>45341.796000000002</v>
      </c>
      <c r="S21" s="1">
        <v>48086.896999999997</v>
      </c>
      <c r="T21" s="1">
        <v>52573.241000000002</v>
      </c>
      <c r="U21" s="1">
        <v>56548.997000000003</v>
      </c>
      <c r="V21" s="1">
        <v>62275.993000000002</v>
      </c>
      <c r="W21" s="1">
        <v>65184.49</v>
      </c>
      <c r="X21" s="1">
        <v>63789.71</v>
      </c>
      <c r="Y21" s="1">
        <v>67853.464000000007</v>
      </c>
      <c r="Z21" s="1">
        <v>68710.399000000005</v>
      </c>
      <c r="AA21" s="1">
        <v>64296.684999999998</v>
      </c>
      <c r="AB21" s="1">
        <v>63892.964999999997</v>
      </c>
      <c r="AC21" s="1">
        <v>71994.039999999994</v>
      </c>
    </row>
    <row r="22" spans="1:29">
      <c r="A22" s="1" t="s">
        <v>15</v>
      </c>
      <c r="B22" s="1">
        <v>49244</v>
      </c>
      <c r="C22" s="1">
        <v>52778</v>
      </c>
      <c r="D22" s="1">
        <v>57052</v>
      </c>
      <c r="E22" s="1">
        <v>84881.623000000007</v>
      </c>
      <c r="F22" s="42">
        <v>95880.442999999999</v>
      </c>
      <c r="G22" s="1">
        <v>107480.243</v>
      </c>
      <c r="H22" s="1">
        <v>119889.65300000001</v>
      </c>
      <c r="I22" s="1">
        <v>123730.716</v>
      </c>
      <c r="J22" s="1">
        <v>140665.97399999999</v>
      </c>
      <c r="K22" s="1">
        <v>138269.155</v>
      </c>
      <c r="L22" s="1">
        <v>164754.82800000001</v>
      </c>
      <c r="M22" s="1">
        <v>184902.459</v>
      </c>
      <c r="N22" s="1">
        <v>207210.095</v>
      </c>
      <c r="O22" s="1">
        <v>215759.36799999999</v>
      </c>
      <c r="P22" s="1">
        <v>221228.33799999999</v>
      </c>
      <c r="Q22" s="1">
        <v>240463.87400000001</v>
      </c>
      <c r="R22" s="1">
        <v>253565.875</v>
      </c>
      <c r="S22" s="1">
        <v>267408.80800000002</v>
      </c>
      <c r="T22" s="1">
        <v>296366.08399999997</v>
      </c>
      <c r="U22" s="1">
        <v>336877.21899999998</v>
      </c>
      <c r="V22" s="1">
        <v>440293.20699999999</v>
      </c>
      <c r="W22" s="1">
        <v>453621.25599999999</v>
      </c>
      <c r="X22" s="1">
        <v>451367.51699999999</v>
      </c>
      <c r="Y22" s="1">
        <v>473749.40700000001</v>
      </c>
      <c r="Z22" s="1">
        <v>498851.95899999997</v>
      </c>
      <c r="AA22" s="1">
        <v>507249.01199999999</v>
      </c>
      <c r="AB22" s="1">
        <v>534899.85</v>
      </c>
      <c r="AC22" s="1">
        <v>555972.13699999999</v>
      </c>
    </row>
    <row r="23" spans="1:29">
      <c r="A23" s="1" t="s">
        <v>16</v>
      </c>
      <c r="B23" s="1">
        <v>14666</v>
      </c>
      <c r="C23" s="1">
        <v>17417</v>
      </c>
      <c r="D23" s="1">
        <v>18092</v>
      </c>
      <c r="E23" s="1">
        <v>23965.575000000001</v>
      </c>
      <c r="F23" s="42">
        <v>23830.32</v>
      </c>
      <c r="G23" s="1">
        <v>24835.916000000001</v>
      </c>
      <c r="H23" s="1">
        <v>25846.826000000001</v>
      </c>
      <c r="I23" s="1">
        <v>26712.705999999998</v>
      </c>
      <c r="J23" s="1">
        <v>27837.223000000002</v>
      </c>
      <c r="K23" s="1">
        <v>29430.567999999999</v>
      </c>
      <c r="L23" s="1">
        <v>37400.455999999998</v>
      </c>
      <c r="M23" s="1">
        <v>40695.353999999999</v>
      </c>
      <c r="N23" s="1">
        <v>38760.373</v>
      </c>
      <c r="O23" s="1">
        <v>39126.040999999997</v>
      </c>
      <c r="P23" s="1">
        <v>43768.125999999997</v>
      </c>
      <c r="Q23" s="1">
        <v>48147.466999999997</v>
      </c>
      <c r="R23" s="1">
        <v>49965.557000000001</v>
      </c>
      <c r="S23" s="1">
        <v>56186.648000000001</v>
      </c>
      <c r="T23" s="1">
        <v>69334.471000000005</v>
      </c>
      <c r="U23" s="1">
        <v>73160.635999999999</v>
      </c>
      <c r="V23" s="1">
        <v>78632.013000000006</v>
      </c>
      <c r="W23" s="1">
        <v>87142.269</v>
      </c>
      <c r="X23" s="1">
        <v>96342.354000000007</v>
      </c>
      <c r="Y23" s="1">
        <v>106001.264</v>
      </c>
      <c r="Z23" s="1">
        <v>113937.26300000001</v>
      </c>
      <c r="AA23" s="1">
        <v>120952.239</v>
      </c>
      <c r="AB23" s="1">
        <v>125624.4</v>
      </c>
      <c r="AC23" s="1">
        <v>125717.16899999999</v>
      </c>
    </row>
    <row r="24" spans="1:29">
      <c r="A24" s="24" t="s">
        <v>17</v>
      </c>
      <c r="B24" s="24">
        <v>1556</v>
      </c>
      <c r="C24" s="24">
        <v>1758</v>
      </c>
      <c r="D24" s="24">
        <v>1712</v>
      </c>
      <c r="E24" s="24">
        <v>2144.6170000000002</v>
      </c>
      <c r="F24" s="45">
        <v>2478.6950000000002</v>
      </c>
      <c r="G24" s="24">
        <v>2400</v>
      </c>
      <c r="H24" s="24">
        <v>2759.9369999999999</v>
      </c>
      <c r="I24" s="24">
        <v>3143.9050000000002</v>
      </c>
      <c r="J24" s="24">
        <v>3312.3910000000001</v>
      </c>
      <c r="K24" s="24">
        <v>3459.8492800000013</v>
      </c>
      <c r="L24" s="24">
        <v>3687.4279999999999</v>
      </c>
      <c r="M24" s="24">
        <v>4185.3599999999997</v>
      </c>
      <c r="N24" s="24">
        <v>3729.72</v>
      </c>
      <c r="O24" s="24">
        <v>4374.0469999999996</v>
      </c>
      <c r="P24" s="24">
        <v>2875.922</v>
      </c>
      <c r="Q24" s="24">
        <v>5018.6279999999997</v>
      </c>
      <c r="R24" s="24">
        <v>5597.848</v>
      </c>
      <c r="S24" s="24">
        <v>7507.2960000000003</v>
      </c>
      <c r="T24" s="24">
        <v>7626.3760000000002</v>
      </c>
      <c r="U24" s="24">
        <v>8013.7259999999997</v>
      </c>
      <c r="V24" s="24">
        <v>11780.448</v>
      </c>
      <c r="W24" s="24">
        <v>14381.397999999999</v>
      </c>
      <c r="X24" s="24">
        <v>13917.665000000001</v>
      </c>
      <c r="Y24" s="24">
        <v>14000.906999999999</v>
      </c>
      <c r="Z24" s="24">
        <v>13348.813</v>
      </c>
      <c r="AA24" s="24">
        <v>13583.501</v>
      </c>
      <c r="AB24" s="24">
        <v>12560.281000000001</v>
      </c>
      <c r="AC24" s="24">
        <v>12664.344999999999</v>
      </c>
    </row>
    <row r="25" spans="1:29">
      <c r="A25" s="7" t="s">
        <v>120</v>
      </c>
      <c r="B25" s="48">
        <f>SUM(B27:B39)</f>
        <v>0</v>
      </c>
      <c r="C25" s="48">
        <f t="shared" ref="C25:AC25" si="10">SUM(C27:C39)</f>
        <v>0</v>
      </c>
      <c r="D25" s="48">
        <f t="shared" si="10"/>
        <v>0</v>
      </c>
      <c r="E25" s="48">
        <f t="shared" si="10"/>
        <v>0</v>
      </c>
      <c r="F25" s="48">
        <f t="shared" si="10"/>
        <v>557227.31599999999</v>
      </c>
      <c r="G25" s="48">
        <f t="shared" si="10"/>
        <v>0</v>
      </c>
      <c r="H25" s="48">
        <f t="shared" si="10"/>
        <v>0</v>
      </c>
      <c r="I25" s="48">
        <f t="shared" si="10"/>
        <v>658658.31999999983</v>
      </c>
      <c r="J25" s="48">
        <f t="shared" si="10"/>
        <v>0</v>
      </c>
      <c r="K25" s="48">
        <f t="shared" si="10"/>
        <v>807633.8634400001</v>
      </c>
      <c r="L25" s="48">
        <f t="shared" si="10"/>
        <v>829105.39899999998</v>
      </c>
      <c r="M25" s="48">
        <f t="shared" si="10"/>
        <v>904328.28899999987</v>
      </c>
      <c r="N25" s="48">
        <f t="shared" si="10"/>
        <v>910685.65599999996</v>
      </c>
      <c r="O25" s="48">
        <f t="shared" si="10"/>
        <v>916813.84499999986</v>
      </c>
      <c r="P25" s="48">
        <f t="shared" si="10"/>
        <v>882585.34</v>
      </c>
      <c r="Q25" s="48">
        <f t="shared" si="10"/>
        <v>1173331.952</v>
      </c>
      <c r="R25" s="48">
        <f t="shared" si="10"/>
        <v>1227489.1740000001</v>
      </c>
      <c r="S25" s="48">
        <f t="shared" si="10"/>
        <v>1332732.9880000001</v>
      </c>
      <c r="T25" s="48">
        <f t="shared" si="10"/>
        <v>1465485.4709999999</v>
      </c>
      <c r="U25" s="48">
        <f t="shared" si="10"/>
        <v>1611805.9449999998</v>
      </c>
      <c r="V25" s="48">
        <f t="shared" si="10"/>
        <v>1765344.754</v>
      </c>
      <c r="W25" s="48">
        <f t="shared" si="10"/>
        <v>1806450.7800000003</v>
      </c>
      <c r="X25" s="48">
        <f t="shared" si="10"/>
        <v>1834357.0599999998</v>
      </c>
      <c r="Y25" s="48">
        <f t="shared" si="10"/>
        <v>1365128.7660000001</v>
      </c>
      <c r="Z25" s="48">
        <f t="shared" si="10"/>
        <v>1442425.841</v>
      </c>
      <c r="AA25" s="48">
        <f t="shared" si="10"/>
        <v>1546483.5819999997</v>
      </c>
      <c r="AB25" s="48">
        <f t="shared" si="10"/>
        <v>2302076.165</v>
      </c>
      <c r="AC25" s="48">
        <f t="shared" si="10"/>
        <v>2479813.923</v>
      </c>
    </row>
    <row r="26" spans="1:29">
      <c r="A26" s="7" t="s">
        <v>119</v>
      </c>
      <c r="X26" s="1">
        <v>0</v>
      </c>
      <c r="AB26" s="1">
        <v>0</v>
      </c>
      <c r="AC26" s="1">
        <v>0</v>
      </c>
    </row>
    <row r="27" spans="1:29">
      <c r="A27" s="1" t="s">
        <v>85</v>
      </c>
      <c r="F27" s="42">
        <v>272.399</v>
      </c>
      <c r="I27" s="1">
        <v>222.86699999999999</v>
      </c>
      <c r="K27" s="1">
        <v>141.15700000000001</v>
      </c>
      <c r="L27" s="1">
        <v>987.89300000000003</v>
      </c>
      <c r="M27" s="1">
        <v>170.608</v>
      </c>
      <c r="N27" s="1">
        <v>866.75400000000002</v>
      </c>
      <c r="O27" s="1">
        <v>813.75699999999995</v>
      </c>
      <c r="P27" s="1">
        <v>1129.758</v>
      </c>
      <c r="Q27" s="1">
        <v>275.24900000000002</v>
      </c>
      <c r="R27" s="1">
        <v>1432.2529999999999</v>
      </c>
      <c r="S27" s="1">
        <v>1317.6410000000001</v>
      </c>
      <c r="T27" s="1">
        <v>1681.346</v>
      </c>
      <c r="U27" s="1">
        <v>1654.7080000000001</v>
      </c>
      <c r="V27" s="1">
        <v>2182.837</v>
      </c>
      <c r="W27" s="1">
        <v>796.24599999999998</v>
      </c>
      <c r="X27" s="1">
        <v>2509.5459999999998</v>
      </c>
      <c r="Y27" s="1">
        <v>756.20399999999995</v>
      </c>
      <c r="AB27" s="1">
        <v>2530.0740000000001</v>
      </c>
      <c r="AC27" s="1">
        <v>2696.0369999999998</v>
      </c>
    </row>
    <row r="28" spans="1:29">
      <c r="A28" s="1" t="s">
        <v>86</v>
      </c>
      <c r="F28" s="42">
        <v>35619.599999999999</v>
      </c>
      <c r="I28" s="1">
        <v>38880.957000000002</v>
      </c>
      <c r="K28" s="1">
        <v>49096.5075</v>
      </c>
      <c r="L28" s="1">
        <v>51461.767</v>
      </c>
      <c r="M28" s="1">
        <v>55965.284</v>
      </c>
      <c r="N28" s="1">
        <v>58707.544999999998</v>
      </c>
      <c r="O28" s="1">
        <v>64541.858999999997</v>
      </c>
      <c r="P28" s="1">
        <v>70130.426999999996</v>
      </c>
      <c r="Q28" s="1">
        <v>73877.054000000004</v>
      </c>
      <c r="R28" s="1">
        <v>79931.498000000007</v>
      </c>
      <c r="S28" s="1">
        <v>85102.812999999995</v>
      </c>
      <c r="T28" s="1">
        <v>99259.188999999998</v>
      </c>
      <c r="U28" s="1">
        <v>110711.955</v>
      </c>
      <c r="V28" s="1">
        <v>136676.38500000001</v>
      </c>
      <c r="W28" s="1">
        <v>140555.50200000001</v>
      </c>
      <c r="X28" s="1">
        <v>142951.24299999999</v>
      </c>
      <c r="Y28" s="1">
        <v>34401.438000000002</v>
      </c>
      <c r="Z28" s="1">
        <v>36710.383000000002</v>
      </c>
      <c r="AA28" s="1">
        <v>36313.675999999999</v>
      </c>
      <c r="AB28" s="1">
        <v>164445.96599999999</v>
      </c>
      <c r="AC28" s="1">
        <v>155874.514</v>
      </c>
    </row>
    <row r="29" spans="1:29">
      <c r="A29" s="1" t="s">
        <v>87</v>
      </c>
      <c r="F29" s="42">
        <v>363657.45699999999</v>
      </c>
      <c r="I29" s="1">
        <v>420912.58199999999</v>
      </c>
      <c r="K29" s="1">
        <v>523500.16536000004</v>
      </c>
      <c r="L29" s="1">
        <v>498253.10600000003</v>
      </c>
      <c r="M29" s="1">
        <v>552532.21600000001</v>
      </c>
      <c r="N29" s="1">
        <v>531241.49199999997</v>
      </c>
      <c r="O29" s="1">
        <v>493651.065</v>
      </c>
      <c r="P29" s="1">
        <v>462637.21600000001</v>
      </c>
      <c r="Q29" s="1">
        <v>729969.745</v>
      </c>
      <c r="R29" s="1">
        <v>758494.99899999995</v>
      </c>
      <c r="S29" s="1">
        <v>849897.41399999999</v>
      </c>
      <c r="T29" s="1">
        <v>935330.30099999998</v>
      </c>
      <c r="U29" s="1">
        <v>976218.12899999996</v>
      </c>
      <c r="V29" s="1">
        <v>1054494.6470000001</v>
      </c>
      <c r="W29" s="1">
        <v>1078807.105</v>
      </c>
      <c r="X29" s="1">
        <v>1087867.497</v>
      </c>
      <c r="Y29" s="1">
        <v>815232.52399999998</v>
      </c>
      <c r="Z29" s="1">
        <v>853719.77399999998</v>
      </c>
      <c r="AA29" s="1">
        <v>956988.38899999997</v>
      </c>
      <c r="AB29" s="1">
        <v>1423829.66</v>
      </c>
      <c r="AC29" s="1">
        <v>1585449.095</v>
      </c>
    </row>
    <row r="30" spans="1:29">
      <c r="A30" s="1" t="s">
        <v>88</v>
      </c>
      <c r="F30" s="42">
        <v>19738.387999999999</v>
      </c>
      <c r="I30" s="1">
        <v>24893.316999999999</v>
      </c>
      <c r="K30" s="1">
        <v>27451.246999999999</v>
      </c>
      <c r="L30" s="1">
        <v>30741.062999999998</v>
      </c>
      <c r="M30" s="1">
        <v>31653.727999999999</v>
      </c>
      <c r="N30" s="1">
        <v>33845.012999999999</v>
      </c>
      <c r="O30" s="1">
        <v>38147.243999999999</v>
      </c>
      <c r="P30" s="1">
        <v>38317.792000000001</v>
      </c>
      <c r="Q30" s="1">
        <v>37913.273999999998</v>
      </c>
      <c r="R30" s="1">
        <v>39465.182000000001</v>
      </c>
      <c r="S30" s="1">
        <v>41539.233</v>
      </c>
      <c r="T30" s="1">
        <v>47992.074000000001</v>
      </c>
      <c r="U30" s="1">
        <v>55830.089</v>
      </c>
      <c r="V30" s="1">
        <v>62670.159</v>
      </c>
      <c r="W30" s="1">
        <v>68631.657000000007</v>
      </c>
      <c r="X30" s="1">
        <v>75355.652000000002</v>
      </c>
      <c r="Y30" s="1">
        <v>41137.599999999999</v>
      </c>
      <c r="Z30" s="1">
        <v>42451.014999999999</v>
      </c>
      <c r="AA30" s="1">
        <v>44114.762999999999</v>
      </c>
      <c r="AB30" s="1">
        <v>86354.671000000002</v>
      </c>
      <c r="AC30" s="1">
        <v>88897.866999999998</v>
      </c>
    </row>
    <row r="31" spans="1:29">
      <c r="A31" s="1" t="s">
        <v>91</v>
      </c>
      <c r="F31" s="42">
        <v>8370.2970000000005</v>
      </c>
      <c r="I31" s="1">
        <v>10252.683999999999</v>
      </c>
      <c r="K31" s="1">
        <v>10977.51</v>
      </c>
      <c r="L31" s="1">
        <v>13545.425999999999</v>
      </c>
      <c r="M31" s="1">
        <v>12710.081</v>
      </c>
      <c r="N31" s="1">
        <v>14151.971</v>
      </c>
      <c r="O31" s="1">
        <v>16173.055</v>
      </c>
      <c r="P31" s="1">
        <v>14015.656999999999</v>
      </c>
      <c r="Q31" s="1">
        <v>13954.169</v>
      </c>
      <c r="R31" s="1">
        <v>14683.672</v>
      </c>
      <c r="S31" s="1">
        <v>16805.133999999998</v>
      </c>
      <c r="T31" s="1">
        <v>18488.732</v>
      </c>
      <c r="U31" s="1">
        <v>26010.996999999999</v>
      </c>
      <c r="V31" s="1">
        <v>29190.792000000001</v>
      </c>
      <c r="W31" s="1">
        <v>27774.543000000001</v>
      </c>
      <c r="X31" s="1">
        <v>27486.937999999998</v>
      </c>
      <c r="Y31" s="1">
        <v>26480.692999999999</v>
      </c>
      <c r="Z31" s="1">
        <v>28542.623</v>
      </c>
      <c r="AA31" s="1">
        <v>24172.304</v>
      </c>
      <c r="AB31" s="1">
        <v>24459.65</v>
      </c>
      <c r="AC31" s="1">
        <v>26378.207999999999</v>
      </c>
    </row>
    <row r="32" spans="1:29">
      <c r="A32" s="1" t="s">
        <v>92</v>
      </c>
      <c r="F32" s="42">
        <v>3069.4349999999999</v>
      </c>
      <c r="I32" s="1">
        <v>3696.6210000000001</v>
      </c>
      <c r="K32" s="1">
        <v>5285.6760000000004</v>
      </c>
      <c r="L32" s="1">
        <v>5736.5290000000005</v>
      </c>
      <c r="M32" s="1">
        <v>6161.7969999999996</v>
      </c>
      <c r="N32" s="1">
        <v>6430.0940000000001</v>
      </c>
      <c r="O32" s="1">
        <v>5925.6729999999998</v>
      </c>
      <c r="P32" s="1">
        <v>6770.4210000000003</v>
      </c>
      <c r="Q32" s="1">
        <v>7462.5330000000004</v>
      </c>
      <c r="R32" s="1">
        <v>7388.8919999999998</v>
      </c>
      <c r="S32" s="1">
        <v>8460.4590000000007</v>
      </c>
      <c r="T32" s="1">
        <v>12032.255999999999</v>
      </c>
      <c r="U32" s="1">
        <v>12486.103999999999</v>
      </c>
      <c r="V32" s="1">
        <v>15750.967000000001</v>
      </c>
      <c r="W32" s="1">
        <v>13252.619000000001</v>
      </c>
      <c r="X32" s="1">
        <v>18088.714</v>
      </c>
      <c r="Y32" s="1">
        <v>16090.924999999999</v>
      </c>
      <c r="Z32" s="1">
        <v>18055.397000000001</v>
      </c>
      <c r="AA32" s="1">
        <v>21110.202000000001</v>
      </c>
      <c r="AB32" s="1">
        <v>19384.665000000001</v>
      </c>
      <c r="AC32" s="1">
        <v>21260.906999999999</v>
      </c>
    </row>
    <row r="33" spans="1:30">
      <c r="A33" s="1" t="s">
        <v>100</v>
      </c>
      <c r="F33" s="42">
        <v>3824.7040000000002</v>
      </c>
      <c r="I33" s="1">
        <v>4229.8270000000002</v>
      </c>
      <c r="K33" s="1">
        <v>4901.6092000000026</v>
      </c>
      <c r="L33" s="1">
        <v>5847.8069999999998</v>
      </c>
      <c r="M33" s="1">
        <v>6270.6289999999999</v>
      </c>
      <c r="N33" s="1">
        <v>7882.9229999999998</v>
      </c>
      <c r="O33" s="1">
        <v>6855.7889999999998</v>
      </c>
      <c r="P33" s="1">
        <v>6665.5140000000001</v>
      </c>
      <c r="Q33" s="1">
        <v>7555.2889999999998</v>
      </c>
      <c r="R33" s="1">
        <v>7348.0159999999996</v>
      </c>
      <c r="S33" s="1">
        <v>8102.8670000000002</v>
      </c>
      <c r="T33" s="1">
        <v>8520.4130000000005</v>
      </c>
      <c r="U33" s="1">
        <v>10547.793</v>
      </c>
      <c r="V33" s="1">
        <v>13135.673000000001</v>
      </c>
      <c r="W33" s="1">
        <v>13358.870999999999</v>
      </c>
      <c r="X33" s="1">
        <v>17527.580999999998</v>
      </c>
      <c r="Y33" s="1">
        <v>14395.804</v>
      </c>
      <c r="Z33" s="1">
        <v>15048.034</v>
      </c>
      <c r="AA33" s="1">
        <v>14652.344999999999</v>
      </c>
      <c r="AB33" s="1">
        <v>15004.888000000001</v>
      </c>
      <c r="AC33" s="1">
        <v>14858.236000000001</v>
      </c>
    </row>
    <row r="34" spans="1:30">
      <c r="A34" s="1" t="s">
        <v>102</v>
      </c>
      <c r="F34" s="42">
        <v>5446.7439999999997</v>
      </c>
      <c r="I34" s="1">
        <v>6674.6059999999998</v>
      </c>
      <c r="K34" s="1">
        <v>8832</v>
      </c>
      <c r="L34" s="1">
        <v>12585.904</v>
      </c>
      <c r="M34" s="1">
        <v>12877</v>
      </c>
      <c r="N34" s="1">
        <v>15006</v>
      </c>
      <c r="O34" s="1">
        <v>17147</v>
      </c>
      <c r="P34" s="1">
        <v>7207</v>
      </c>
      <c r="Q34" s="1">
        <v>8038</v>
      </c>
      <c r="R34" s="1">
        <v>9243.9</v>
      </c>
      <c r="S34" s="1">
        <v>6790</v>
      </c>
      <c r="T34" s="1">
        <v>7388</v>
      </c>
      <c r="U34" s="1">
        <v>30223.190999999999</v>
      </c>
      <c r="V34" s="1">
        <v>29970.942999999999</v>
      </c>
      <c r="W34" s="1">
        <v>31836.603999999999</v>
      </c>
      <c r="X34" s="1">
        <v>29831.29</v>
      </c>
      <c r="Y34" s="1">
        <v>30982.323</v>
      </c>
      <c r="Z34" s="1">
        <v>36461.794000000002</v>
      </c>
      <c r="AA34" s="1">
        <v>34621.949999999997</v>
      </c>
      <c r="AB34" s="1">
        <v>34276.347000000002</v>
      </c>
      <c r="AC34" s="1">
        <v>39545.635999999999</v>
      </c>
    </row>
    <row r="35" spans="1:30">
      <c r="A35" s="1" t="s">
        <v>105</v>
      </c>
      <c r="F35" s="42">
        <v>15813.121999999999</v>
      </c>
      <c r="I35" s="1">
        <v>21538.769</v>
      </c>
      <c r="K35" s="1">
        <v>27850.793189999997</v>
      </c>
      <c r="L35" s="1">
        <v>33651.506999999998</v>
      </c>
      <c r="M35" s="1">
        <v>30320.791000000001</v>
      </c>
      <c r="N35" s="1">
        <v>31529.346000000001</v>
      </c>
      <c r="O35" s="1">
        <v>33305.713000000003</v>
      </c>
      <c r="P35" s="1">
        <v>32814.464</v>
      </c>
      <c r="Q35" s="1">
        <v>34386.313999999998</v>
      </c>
      <c r="R35" s="1">
        <v>36555.894</v>
      </c>
      <c r="S35" s="1">
        <v>40345.245999999999</v>
      </c>
      <c r="T35" s="1">
        <v>41684.813999999998</v>
      </c>
      <c r="U35" s="1">
        <v>49248.186000000002</v>
      </c>
      <c r="V35" s="1">
        <v>54863.728999999999</v>
      </c>
      <c r="W35" s="1">
        <v>57218.309000000001</v>
      </c>
      <c r="X35" s="1">
        <v>61789.267999999996</v>
      </c>
      <c r="Y35" s="1">
        <v>37409.451000000001</v>
      </c>
      <c r="Z35" s="1">
        <v>41060.284</v>
      </c>
      <c r="AA35" s="1">
        <v>40358.311999999998</v>
      </c>
      <c r="AB35" s="1">
        <v>70307.062999999995</v>
      </c>
      <c r="AC35" s="1">
        <v>70217.175000000003</v>
      </c>
    </row>
    <row r="36" spans="1:30">
      <c r="A36" s="1" t="s">
        <v>109</v>
      </c>
      <c r="F36" s="42">
        <v>25206.048999999999</v>
      </c>
      <c r="I36" s="1">
        <v>36131.296000000002</v>
      </c>
      <c r="K36" s="1">
        <v>41055.811040000008</v>
      </c>
      <c r="L36" s="1">
        <v>50497.328000000001</v>
      </c>
      <c r="M36" s="1">
        <v>57298.169000000002</v>
      </c>
      <c r="N36" s="1">
        <v>66019.12</v>
      </c>
      <c r="O36" s="1">
        <v>85669.388999999996</v>
      </c>
      <c r="P36" s="1">
        <v>82739.663</v>
      </c>
      <c r="Q36" s="1">
        <v>91010.001000000004</v>
      </c>
      <c r="R36" s="1">
        <v>97934.476999999999</v>
      </c>
      <c r="S36" s="1">
        <v>103587.80100000001</v>
      </c>
      <c r="T36" s="1">
        <v>101806.67200000001</v>
      </c>
      <c r="U36" s="1">
        <v>111574.461</v>
      </c>
      <c r="V36" s="1">
        <v>104533.47</v>
      </c>
      <c r="W36" s="1">
        <v>102892.61500000001</v>
      </c>
      <c r="X36" s="1">
        <v>112252.95299999999</v>
      </c>
      <c r="Y36" s="1">
        <v>114031.658</v>
      </c>
      <c r="Z36" s="1">
        <v>111760.148</v>
      </c>
      <c r="AA36" s="1">
        <v>102277.44500000001</v>
      </c>
      <c r="AB36" s="1">
        <v>127893.178</v>
      </c>
      <c r="AC36" s="1">
        <v>123497.898</v>
      </c>
    </row>
    <row r="37" spans="1:30">
      <c r="A37" s="1" t="s">
        <v>113</v>
      </c>
      <c r="F37" s="42">
        <v>13875.374</v>
      </c>
      <c r="I37" s="1">
        <v>14357.521000000001</v>
      </c>
      <c r="K37" s="1">
        <v>16388.762999999999</v>
      </c>
      <c r="L37" s="1">
        <v>15433.373</v>
      </c>
      <c r="M37" s="1">
        <v>18316.184000000001</v>
      </c>
      <c r="N37" s="1">
        <v>17671.280999999999</v>
      </c>
      <c r="O37" s="1">
        <v>18968.391</v>
      </c>
      <c r="P37" s="1">
        <v>22331.036</v>
      </c>
      <c r="Q37" s="1">
        <v>24355.828000000001</v>
      </c>
      <c r="R37" s="1">
        <v>23075.472000000002</v>
      </c>
      <c r="S37" s="1">
        <v>27390.92</v>
      </c>
      <c r="T37" s="1">
        <v>27157.491000000002</v>
      </c>
      <c r="U37" s="1">
        <v>30293.212</v>
      </c>
      <c r="V37" s="1">
        <v>31953.811000000002</v>
      </c>
      <c r="W37" s="1">
        <v>33117.868000000002</v>
      </c>
      <c r="X37" s="1">
        <v>27904.101999999999</v>
      </c>
      <c r="Y37" s="1">
        <v>41317.273000000001</v>
      </c>
      <c r="Z37" s="1">
        <v>43094.02</v>
      </c>
      <c r="AA37" s="1">
        <v>44771.453999999998</v>
      </c>
      <c r="AB37" s="1">
        <v>32920.351999999999</v>
      </c>
      <c r="AC37" s="1">
        <v>33903.150999999998</v>
      </c>
    </row>
    <row r="38" spans="1:30">
      <c r="A38" s="1" t="s">
        <v>115</v>
      </c>
      <c r="F38" s="42">
        <v>53784.457999999999</v>
      </c>
      <c r="I38" s="1">
        <v>69211.657999999996</v>
      </c>
      <c r="K38" s="1">
        <v>84399.775150000001</v>
      </c>
      <c r="L38" s="1">
        <v>101419.399</v>
      </c>
      <c r="M38" s="1">
        <v>110386.374</v>
      </c>
      <c r="N38" s="1">
        <v>116021.836</v>
      </c>
      <c r="O38" s="1">
        <v>122536.383</v>
      </c>
      <c r="P38" s="1">
        <v>123421.30100000001</v>
      </c>
      <c r="Q38" s="1">
        <v>130548.201</v>
      </c>
      <c r="R38" s="1">
        <v>136507.79500000001</v>
      </c>
      <c r="S38" s="1">
        <v>126060.039</v>
      </c>
      <c r="T38" s="1">
        <v>143823.00899999999</v>
      </c>
      <c r="U38" s="1">
        <v>175841.62299999999</v>
      </c>
      <c r="V38" s="1">
        <v>205385.867</v>
      </c>
      <c r="W38" s="1">
        <v>214312.17199999999</v>
      </c>
      <c r="X38" s="1">
        <v>204086.32</v>
      </c>
      <c r="Y38" s="1">
        <v>165575.45800000001</v>
      </c>
      <c r="Z38" s="1">
        <v>186834.58199999999</v>
      </c>
      <c r="AA38" s="1">
        <v>195821.758</v>
      </c>
      <c r="AB38" s="1">
        <v>269761.359</v>
      </c>
      <c r="AC38" s="1">
        <v>288133.136</v>
      </c>
    </row>
    <row r="39" spans="1:30">
      <c r="A39" s="24" t="s">
        <v>117</v>
      </c>
      <c r="B39" s="24"/>
      <c r="C39" s="24"/>
      <c r="D39" s="24"/>
      <c r="E39" s="24"/>
      <c r="F39" s="45">
        <v>8549.2890000000007</v>
      </c>
      <c r="G39" s="24"/>
      <c r="H39" s="24"/>
      <c r="I39" s="24">
        <v>7655.6149999999998</v>
      </c>
      <c r="J39" s="24"/>
      <c r="K39" s="24">
        <v>7752.8490000000002</v>
      </c>
      <c r="L39" s="24">
        <v>8944.2970000000005</v>
      </c>
      <c r="M39" s="24">
        <v>9665.4279999999999</v>
      </c>
      <c r="N39" s="24">
        <v>11312.281000000001</v>
      </c>
      <c r="O39" s="24">
        <v>13078.527</v>
      </c>
      <c r="P39" s="24">
        <v>14405.091</v>
      </c>
      <c r="Q39" s="24">
        <v>13986.295</v>
      </c>
      <c r="R39" s="24">
        <v>15427.124</v>
      </c>
      <c r="S39" s="24">
        <v>17333.420999999998</v>
      </c>
      <c r="T39" s="24">
        <v>20321.173999999999</v>
      </c>
      <c r="U39" s="24">
        <v>21165.496999999999</v>
      </c>
      <c r="V39" s="24">
        <v>24535.473999999998</v>
      </c>
      <c r="W39" s="24">
        <v>23896.669000000002</v>
      </c>
      <c r="X39" s="24">
        <v>26705.955999999998</v>
      </c>
      <c r="Y39" s="24">
        <v>27317.415000000001</v>
      </c>
      <c r="Z39" s="24">
        <v>28687.787</v>
      </c>
      <c r="AA39" s="24">
        <v>31280.984</v>
      </c>
      <c r="AB39" s="24">
        <v>30908.292000000001</v>
      </c>
      <c r="AC39" s="24">
        <v>29102.062999999998</v>
      </c>
    </row>
    <row r="40" spans="1:30">
      <c r="A40" s="7" t="s">
        <v>121</v>
      </c>
      <c r="B40" s="48">
        <f>SUM(B42:B53)</f>
        <v>0</v>
      </c>
      <c r="C40" s="48">
        <f t="shared" ref="C40:AC40" si="11">SUM(C42:C53)</f>
        <v>0</v>
      </c>
      <c r="D40" s="48">
        <f t="shared" si="11"/>
        <v>0</v>
      </c>
      <c r="E40" s="48">
        <f t="shared" si="11"/>
        <v>0</v>
      </c>
      <c r="F40" s="48">
        <f t="shared" si="11"/>
        <v>391128.60399999993</v>
      </c>
      <c r="G40" s="48">
        <f t="shared" si="11"/>
        <v>0</v>
      </c>
      <c r="H40" s="48">
        <f t="shared" si="11"/>
        <v>0</v>
      </c>
      <c r="I40" s="48">
        <f t="shared" si="11"/>
        <v>443946.24199999997</v>
      </c>
      <c r="J40" s="48">
        <f t="shared" si="11"/>
        <v>0</v>
      </c>
      <c r="K40" s="48">
        <f t="shared" si="11"/>
        <v>520129.76316000003</v>
      </c>
      <c r="L40" s="48">
        <f t="shared" si="11"/>
        <v>619480.10099999991</v>
      </c>
      <c r="M40" s="48">
        <f t="shared" si="11"/>
        <v>640062.201</v>
      </c>
      <c r="N40" s="48">
        <f t="shared" si="11"/>
        <v>679195.21499999997</v>
      </c>
      <c r="O40" s="48">
        <f t="shared" si="11"/>
        <v>729723.19799999997</v>
      </c>
      <c r="P40" s="48">
        <f t="shared" si="11"/>
        <v>774823.20000000007</v>
      </c>
      <c r="Q40" s="48">
        <f t="shared" si="11"/>
        <v>783952.3069999998</v>
      </c>
      <c r="R40" s="48">
        <f t="shared" si="11"/>
        <v>830868.97599999991</v>
      </c>
      <c r="S40" s="48">
        <f t="shared" si="11"/>
        <v>865777.63899999997</v>
      </c>
      <c r="T40" s="48">
        <f t="shared" si="11"/>
        <v>880633.63100000005</v>
      </c>
      <c r="U40" s="48">
        <f t="shared" si="11"/>
        <v>997800.49500000011</v>
      </c>
      <c r="V40" s="48">
        <f t="shared" si="11"/>
        <v>1278185.4220000003</v>
      </c>
      <c r="W40" s="48">
        <f t="shared" si="11"/>
        <v>1309917.2870000002</v>
      </c>
      <c r="X40" s="48">
        <f t="shared" si="11"/>
        <v>1319296.54</v>
      </c>
      <c r="Y40" s="48">
        <f t="shared" si="11"/>
        <v>1027418.2660000001</v>
      </c>
      <c r="Z40" s="48">
        <f t="shared" si="11"/>
        <v>1060186.7589999998</v>
      </c>
      <c r="AA40" s="48">
        <f t="shared" si="11"/>
        <v>1079830.1300000001</v>
      </c>
      <c r="AB40" s="48">
        <f t="shared" si="11"/>
        <v>1403109.5790000001</v>
      </c>
      <c r="AC40" s="48">
        <f t="shared" si="11"/>
        <v>1437593.855</v>
      </c>
      <c r="AD40" s="48"/>
    </row>
    <row r="41" spans="1:30">
      <c r="A41" s="7" t="s">
        <v>119</v>
      </c>
      <c r="X41" s="1">
        <v>0</v>
      </c>
      <c r="AB41" s="1">
        <v>0</v>
      </c>
      <c r="AC41" s="1">
        <v>0</v>
      </c>
    </row>
    <row r="42" spans="1:30">
      <c r="A42" s="1" t="s">
        <v>93</v>
      </c>
      <c r="F42" s="42">
        <v>79551.494999999995</v>
      </c>
      <c r="I42" s="1">
        <v>101264.914</v>
      </c>
      <c r="K42" s="1">
        <v>107553.40647999999</v>
      </c>
      <c r="L42" s="1">
        <v>124071.601</v>
      </c>
      <c r="M42" s="1">
        <v>124513.24400000001</v>
      </c>
      <c r="N42" s="1">
        <v>132141.932</v>
      </c>
      <c r="O42" s="1">
        <v>142579.38</v>
      </c>
      <c r="P42" s="1">
        <v>162056.557</v>
      </c>
      <c r="Q42" s="1">
        <v>153461.655</v>
      </c>
      <c r="R42" s="1">
        <v>164210.951</v>
      </c>
      <c r="S42" s="1">
        <v>171110.87</v>
      </c>
      <c r="T42" s="1">
        <v>189767.92499999999</v>
      </c>
      <c r="U42" s="1">
        <v>214004.133</v>
      </c>
      <c r="V42" s="1">
        <v>275013.92200000002</v>
      </c>
      <c r="W42" s="1">
        <v>273207.679</v>
      </c>
      <c r="X42" s="1">
        <v>277610.04800000001</v>
      </c>
      <c r="Y42" s="1">
        <v>172635.10800000001</v>
      </c>
      <c r="Z42" s="1">
        <v>182901.02</v>
      </c>
      <c r="AA42" s="1">
        <v>190729.76</v>
      </c>
      <c r="AB42" s="1">
        <v>309543.99800000002</v>
      </c>
      <c r="AC42" s="1">
        <v>318556.03100000002</v>
      </c>
    </row>
    <row r="43" spans="1:30">
      <c r="A43" s="1" t="s">
        <v>58</v>
      </c>
      <c r="F43" s="42">
        <v>9321.8739999999998</v>
      </c>
      <c r="I43" s="1">
        <v>10290.313</v>
      </c>
      <c r="K43" s="1">
        <v>11981.236999999999</v>
      </c>
      <c r="L43" s="1">
        <v>14931.348</v>
      </c>
      <c r="M43" s="1">
        <v>15259.652</v>
      </c>
      <c r="N43" s="1">
        <v>16231.367</v>
      </c>
      <c r="O43" s="1">
        <v>16936.763999999999</v>
      </c>
      <c r="P43" s="1">
        <v>15060.592000000001</v>
      </c>
      <c r="Q43" s="1">
        <v>16692.557000000001</v>
      </c>
      <c r="R43" s="1">
        <v>17831.616000000002</v>
      </c>
      <c r="S43" s="1">
        <v>20534.816999999999</v>
      </c>
      <c r="T43" s="1">
        <v>21850.940999999999</v>
      </c>
      <c r="U43" s="1">
        <v>26589.766</v>
      </c>
      <c r="V43" s="1">
        <v>37454.097999999998</v>
      </c>
      <c r="W43" s="1">
        <v>41832.031000000003</v>
      </c>
      <c r="X43" s="1">
        <v>47149.159</v>
      </c>
      <c r="Y43" s="1">
        <v>62673.62</v>
      </c>
      <c r="Z43" s="1">
        <v>63597.186000000002</v>
      </c>
      <c r="AA43" s="1">
        <v>62334.531999999999</v>
      </c>
      <c r="AB43" s="1">
        <v>44116.845000000001</v>
      </c>
      <c r="AC43" s="1">
        <v>52650.000999999997</v>
      </c>
    </row>
    <row r="44" spans="1:30">
      <c r="A44" s="1" t="s">
        <v>94</v>
      </c>
      <c r="F44" s="42">
        <v>18089.184000000001</v>
      </c>
      <c r="I44" s="1">
        <v>21403.981</v>
      </c>
      <c r="K44" s="1">
        <v>23702.131000000001</v>
      </c>
      <c r="L44" s="1">
        <v>33328.720000000001</v>
      </c>
      <c r="M44" s="1">
        <v>34039.127999999997</v>
      </c>
      <c r="N44" s="1">
        <v>35385.008999999998</v>
      </c>
      <c r="O44" s="1">
        <v>34030.767</v>
      </c>
      <c r="P44" s="1">
        <v>35717.423999999999</v>
      </c>
      <c r="Q44" s="1">
        <v>37944.875999999997</v>
      </c>
      <c r="R44" s="1">
        <v>41807.160000000003</v>
      </c>
      <c r="S44" s="1">
        <v>43542.661999999997</v>
      </c>
      <c r="T44" s="1">
        <v>47533.118999999999</v>
      </c>
      <c r="U44" s="1">
        <v>50582.436000000002</v>
      </c>
      <c r="V44" s="1">
        <v>56459.535000000003</v>
      </c>
      <c r="W44" s="1">
        <v>60117.413999999997</v>
      </c>
      <c r="X44" s="1">
        <v>60516.692000000003</v>
      </c>
      <c r="Y44" s="1">
        <v>62346.841999999997</v>
      </c>
      <c r="Z44" s="1">
        <v>64987.218000000001</v>
      </c>
      <c r="AA44" s="1">
        <v>64347.972999999998</v>
      </c>
      <c r="AB44" s="1">
        <v>67528.945999999996</v>
      </c>
      <c r="AC44" s="1">
        <v>71015.175000000003</v>
      </c>
    </row>
    <row r="45" spans="1:30">
      <c r="A45" s="1" t="s">
        <v>95</v>
      </c>
      <c r="F45" s="42">
        <v>22567.973999999998</v>
      </c>
      <c r="I45" s="1">
        <v>24526.026999999998</v>
      </c>
      <c r="K45" s="1">
        <v>28516.978190000005</v>
      </c>
      <c r="L45" s="1">
        <v>36922.398999999998</v>
      </c>
      <c r="M45" s="1">
        <v>40701.417999999998</v>
      </c>
      <c r="N45" s="1">
        <v>43924.436000000002</v>
      </c>
      <c r="O45" s="1">
        <v>43168.201000000001</v>
      </c>
      <c r="P45" s="1">
        <v>42937.894</v>
      </c>
      <c r="Q45" s="1">
        <v>47333.942999999999</v>
      </c>
      <c r="R45" s="1">
        <v>51304.978000000003</v>
      </c>
      <c r="S45" s="1">
        <v>54890.813000000002</v>
      </c>
      <c r="T45" s="1">
        <v>58739.781999999999</v>
      </c>
      <c r="U45" s="1">
        <v>65849.796000000002</v>
      </c>
      <c r="V45" s="1">
        <v>76867.066000000006</v>
      </c>
      <c r="W45" s="1">
        <v>80382.861999999994</v>
      </c>
      <c r="X45" s="1">
        <v>80599.202000000005</v>
      </c>
      <c r="Y45" s="1">
        <v>69766.777000000002</v>
      </c>
      <c r="Z45" s="1">
        <v>70206.351999999999</v>
      </c>
      <c r="AA45" s="1">
        <v>74772.906000000003</v>
      </c>
      <c r="AB45" s="1">
        <v>92251.036999999997</v>
      </c>
      <c r="AC45" s="1">
        <v>92442.106</v>
      </c>
    </row>
    <row r="46" spans="1:30">
      <c r="A46" s="1" t="s">
        <v>98</v>
      </c>
      <c r="F46" s="42">
        <v>100045.36199999999</v>
      </c>
      <c r="I46" s="1">
        <v>100557.454</v>
      </c>
      <c r="K46" s="1">
        <v>107187.37669999999</v>
      </c>
      <c r="L46" s="1">
        <v>140465.04699999999</v>
      </c>
      <c r="M46" s="1">
        <v>135361.49900000001</v>
      </c>
      <c r="N46" s="1">
        <v>155581.704</v>
      </c>
      <c r="O46" s="1">
        <v>187480.95499999999</v>
      </c>
      <c r="P46" s="1">
        <v>201092.95800000001</v>
      </c>
      <c r="Q46" s="1">
        <v>195100.008</v>
      </c>
      <c r="R46" s="1">
        <v>207221.99799999999</v>
      </c>
      <c r="S46" s="1">
        <v>224817.72700000001</v>
      </c>
      <c r="T46" s="1">
        <v>188479.72399999999</v>
      </c>
      <c r="U46" s="1">
        <v>206801.55300000001</v>
      </c>
      <c r="V46" s="1">
        <v>308333.283</v>
      </c>
      <c r="W46" s="1">
        <v>288465.61499999999</v>
      </c>
      <c r="X46" s="1">
        <v>286700.12699999998</v>
      </c>
      <c r="Y46" s="1">
        <v>239923.73699999999</v>
      </c>
      <c r="Z46" s="1">
        <v>231172.951</v>
      </c>
      <c r="AA46" s="1">
        <v>240322.13200000001</v>
      </c>
      <c r="AB46" s="1">
        <v>247613.06700000001</v>
      </c>
      <c r="AC46" s="1">
        <v>241769.98499999999</v>
      </c>
    </row>
    <row r="47" spans="1:30">
      <c r="A47" s="1" t="s">
        <v>99</v>
      </c>
      <c r="F47" s="42">
        <v>39388.790999999997</v>
      </c>
      <c r="I47" s="1">
        <v>51365.764000000003</v>
      </c>
      <c r="K47" s="1">
        <v>72941.988039999997</v>
      </c>
      <c r="L47" s="1">
        <v>80430.887000000002</v>
      </c>
      <c r="M47" s="1">
        <v>88150.548999999999</v>
      </c>
      <c r="N47" s="1">
        <v>88903.259000000005</v>
      </c>
      <c r="O47" s="1">
        <v>83116.406000000003</v>
      </c>
      <c r="P47" s="1">
        <v>89802.205000000002</v>
      </c>
      <c r="Q47" s="1">
        <v>96961.335000000006</v>
      </c>
      <c r="R47" s="1">
        <v>101646.777</v>
      </c>
      <c r="S47" s="1">
        <v>108818.037</v>
      </c>
      <c r="T47" s="1">
        <v>116389.126</v>
      </c>
      <c r="U47" s="1">
        <v>119816.68399999999</v>
      </c>
      <c r="V47" s="1">
        <v>145603.63699999999</v>
      </c>
      <c r="W47" s="1">
        <v>150589</v>
      </c>
      <c r="X47" s="1">
        <v>148558.42000000001</v>
      </c>
      <c r="Y47" s="1">
        <v>116305.853</v>
      </c>
      <c r="Z47" s="1">
        <v>120674.946</v>
      </c>
      <c r="AA47" s="1">
        <v>117854.69500000001</v>
      </c>
      <c r="AB47" s="1">
        <v>158102.59299999999</v>
      </c>
      <c r="AC47" s="1">
        <v>161955.997</v>
      </c>
    </row>
    <row r="48" spans="1:30">
      <c r="A48" s="1" t="s">
        <v>59</v>
      </c>
      <c r="F48" s="42">
        <v>18670.748</v>
      </c>
      <c r="I48" s="1">
        <v>7602.6970000000001</v>
      </c>
      <c r="K48" s="1">
        <v>25611.71</v>
      </c>
      <c r="L48" s="1">
        <v>13860.915000000001</v>
      </c>
      <c r="M48" s="1">
        <v>17952.45</v>
      </c>
      <c r="N48" s="1">
        <v>14727.906999999999</v>
      </c>
      <c r="O48" s="1">
        <v>15411.726000000001</v>
      </c>
      <c r="P48" s="1">
        <v>17605.671999999999</v>
      </c>
      <c r="Q48" s="1">
        <v>18648.897000000001</v>
      </c>
      <c r="R48" s="1">
        <v>20510.939999999999</v>
      </c>
      <c r="S48" s="1">
        <v>21655.758000000002</v>
      </c>
      <c r="T48" s="1">
        <v>22958.901999999998</v>
      </c>
      <c r="U48" s="1">
        <v>25905.465</v>
      </c>
      <c r="V48" s="1">
        <v>29364.867999999999</v>
      </c>
      <c r="W48" s="1">
        <v>53583.934000000001</v>
      </c>
      <c r="X48" s="1">
        <v>53547.247000000003</v>
      </c>
      <c r="Y48" s="1">
        <v>52440.642</v>
      </c>
      <c r="Z48" s="1">
        <v>71732.081999999995</v>
      </c>
      <c r="AA48" s="1">
        <v>74979.131999999998</v>
      </c>
      <c r="AB48" s="1">
        <v>79836.035999999993</v>
      </c>
      <c r="AC48" s="1">
        <v>83527.428</v>
      </c>
    </row>
    <row r="49" spans="1:29">
      <c r="A49" s="1" t="s">
        <v>101</v>
      </c>
      <c r="F49" s="42">
        <v>6694.46</v>
      </c>
      <c r="I49" s="1">
        <v>7397.5010000000002</v>
      </c>
      <c r="K49" s="1">
        <v>10213.269</v>
      </c>
      <c r="L49" s="1">
        <v>12357.27</v>
      </c>
      <c r="M49" s="1">
        <v>13464.804</v>
      </c>
      <c r="N49" s="1">
        <v>14026.743</v>
      </c>
      <c r="O49" s="1">
        <v>14714.513999999999</v>
      </c>
      <c r="P49" s="1">
        <v>15933.822</v>
      </c>
      <c r="Q49" s="1">
        <v>15455.315000000001</v>
      </c>
      <c r="R49" s="1">
        <v>15946.212</v>
      </c>
      <c r="S49" s="1">
        <v>17481.875</v>
      </c>
      <c r="T49" s="1">
        <v>18540.753000000001</v>
      </c>
      <c r="U49" s="1">
        <v>20106.596000000001</v>
      </c>
      <c r="V49" s="1">
        <v>24741.973000000002</v>
      </c>
      <c r="W49" s="1">
        <v>24116.495999999999</v>
      </c>
      <c r="X49" s="1">
        <v>27611.135999999999</v>
      </c>
      <c r="Y49" s="1">
        <v>22710.768</v>
      </c>
      <c r="Z49" s="1">
        <v>24669.588</v>
      </c>
      <c r="AA49" s="1">
        <v>26201.31</v>
      </c>
      <c r="AB49" s="1">
        <v>36362.741000000002</v>
      </c>
      <c r="AC49" s="1">
        <v>37930.555</v>
      </c>
    </row>
    <row r="50" spans="1:29">
      <c r="A50" s="1" t="s">
        <v>107</v>
      </c>
      <c r="F50" s="42">
        <v>3172.2240000000002</v>
      </c>
      <c r="I50" s="1">
        <v>3035.2240000000002</v>
      </c>
      <c r="K50" s="1">
        <v>2896.3167600000015</v>
      </c>
      <c r="L50" s="1">
        <v>4545.6959999999999</v>
      </c>
      <c r="M50" s="1">
        <v>3639.826</v>
      </c>
      <c r="N50" s="1">
        <v>4123.4570000000003</v>
      </c>
      <c r="O50" s="1">
        <v>4562.6289999999999</v>
      </c>
      <c r="P50" s="1">
        <v>4488.1239999999998</v>
      </c>
      <c r="Q50" s="1">
        <v>4445.2569999999996</v>
      </c>
      <c r="R50" s="1">
        <v>4779.8360000000002</v>
      </c>
      <c r="S50" s="1">
        <v>5072.4530000000004</v>
      </c>
      <c r="T50" s="1">
        <v>4358.8490000000002</v>
      </c>
      <c r="U50" s="1">
        <v>6975.259</v>
      </c>
      <c r="V50" s="1">
        <v>7968.4489999999996</v>
      </c>
      <c r="W50" s="1">
        <v>8546.7469999999994</v>
      </c>
      <c r="X50" s="1">
        <v>9105.8880000000008</v>
      </c>
      <c r="Y50" s="1">
        <v>9786.125</v>
      </c>
      <c r="Z50" s="1">
        <v>13611.46</v>
      </c>
      <c r="AA50" s="1">
        <v>14349.262000000001</v>
      </c>
      <c r="AB50" s="1">
        <v>14937.89</v>
      </c>
      <c r="AC50" s="1">
        <v>17646.357</v>
      </c>
    </row>
    <row r="51" spans="1:29">
      <c r="A51" s="1" t="s">
        <v>108</v>
      </c>
      <c r="F51" s="42">
        <v>48371.284</v>
      </c>
      <c r="I51" s="1">
        <v>58762.45</v>
      </c>
      <c r="K51" s="1">
        <v>64667.135000000002</v>
      </c>
      <c r="L51" s="1">
        <v>81688.099000000002</v>
      </c>
      <c r="M51" s="1">
        <v>87431.191999999995</v>
      </c>
      <c r="N51" s="1">
        <v>85830.216</v>
      </c>
      <c r="O51" s="1">
        <v>88942.482999999993</v>
      </c>
      <c r="P51" s="1">
        <v>92171.413</v>
      </c>
      <c r="Q51" s="1">
        <v>95553.862999999998</v>
      </c>
      <c r="R51" s="1">
        <v>99573.781000000003</v>
      </c>
      <c r="S51" s="1">
        <v>97781.54</v>
      </c>
      <c r="T51" s="1">
        <v>103840.389</v>
      </c>
      <c r="U51" s="1">
        <v>140347.21599999999</v>
      </c>
      <c r="V51" s="1">
        <v>166958.63800000001</v>
      </c>
      <c r="W51" s="1">
        <v>166376.63500000001</v>
      </c>
      <c r="X51" s="1">
        <v>171722.897</v>
      </c>
      <c r="Y51" s="1">
        <v>169924.09899999999</v>
      </c>
      <c r="Z51" s="1">
        <v>165815.82699999999</v>
      </c>
      <c r="AA51" s="1">
        <v>164822.64600000001</v>
      </c>
      <c r="AB51" s="1">
        <v>175491.28200000001</v>
      </c>
      <c r="AC51" s="1">
        <v>182371.927</v>
      </c>
    </row>
    <row r="52" spans="1:29">
      <c r="A52" s="1" t="s">
        <v>112</v>
      </c>
      <c r="F52" s="42">
        <v>25.692</v>
      </c>
      <c r="I52" s="1">
        <v>79.364999999999995</v>
      </c>
      <c r="K52" s="1">
        <v>1947.3879899999984</v>
      </c>
      <c r="L52" s="1">
        <v>2451.7640000000001</v>
      </c>
      <c r="M52" s="1">
        <v>2028.769</v>
      </c>
      <c r="N52" s="1">
        <v>3720.4209999999998</v>
      </c>
      <c r="O52" s="1">
        <v>3822.3850000000002</v>
      </c>
      <c r="P52" s="1">
        <v>1697.6790000000001</v>
      </c>
      <c r="Q52" s="1">
        <v>1618.6289999999999</v>
      </c>
      <c r="R52" s="1">
        <v>1999.9280000000001</v>
      </c>
      <c r="S52" s="1">
        <v>5345.6959999999999</v>
      </c>
      <c r="T52" s="1">
        <v>5254.3280000000004</v>
      </c>
      <c r="U52" s="1">
        <v>6548.9480000000003</v>
      </c>
      <c r="V52" s="1">
        <v>6677.6909999999998</v>
      </c>
      <c r="W52" s="1">
        <v>6347.8339999999998</v>
      </c>
      <c r="X52" s="1">
        <v>6617.4350000000004</v>
      </c>
      <c r="Y52" s="1">
        <v>8154.8320000000003</v>
      </c>
      <c r="Z52" s="1">
        <v>8851.65</v>
      </c>
      <c r="AA52" s="1">
        <v>8357.2720000000008</v>
      </c>
      <c r="AB52" s="1">
        <v>8925.2489999999998</v>
      </c>
      <c r="AC52" s="1">
        <v>8956.1180000000004</v>
      </c>
    </row>
    <row r="53" spans="1:29">
      <c r="A53" s="24" t="s">
        <v>116</v>
      </c>
      <c r="B53" s="24"/>
      <c r="C53" s="24"/>
      <c r="D53" s="24"/>
      <c r="E53" s="24"/>
      <c r="F53" s="45">
        <v>45229.516000000003</v>
      </c>
      <c r="G53" s="24"/>
      <c r="H53" s="24"/>
      <c r="I53" s="24">
        <v>57660.552000000003</v>
      </c>
      <c r="J53" s="24"/>
      <c r="K53" s="24">
        <v>62910.826999999997</v>
      </c>
      <c r="L53" s="24">
        <v>74426.354999999996</v>
      </c>
      <c r="M53" s="24">
        <v>77519.67</v>
      </c>
      <c r="N53" s="24">
        <v>84598.763999999996</v>
      </c>
      <c r="O53" s="24">
        <v>94956.987999999998</v>
      </c>
      <c r="P53" s="24">
        <v>96258.86</v>
      </c>
      <c r="Q53" s="24">
        <v>100735.97199999999</v>
      </c>
      <c r="R53" s="24">
        <v>104034.799</v>
      </c>
      <c r="S53" s="24">
        <v>94725.391000000003</v>
      </c>
      <c r="T53" s="24">
        <v>102919.79300000001</v>
      </c>
      <c r="U53" s="24">
        <v>114272.643</v>
      </c>
      <c r="V53" s="24">
        <v>142742.26199999999</v>
      </c>
      <c r="W53" s="24">
        <v>156351.04000000001</v>
      </c>
      <c r="X53" s="24">
        <v>149558.28899999999</v>
      </c>
      <c r="Y53" s="24">
        <v>40749.862999999998</v>
      </c>
      <c r="Z53" s="24">
        <v>41966.478999999999</v>
      </c>
      <c r="AA53" s="24">
        <v>40758.51</v>
      </c>
      <c r="AB53" s="24">
        <v>168399.89499999999</v>
      </c>
      <c r="AC53" s="24">
        <v>168772.17499999999</v>
      </c>
    </row>
    <row r="54" spans="1:29">
      <c r="A54" s="7" t="s">
        <v>122</v>
      </c>
      <c r="B54" s="48">
        <f t="shared" ref="B54:J54" si="12">SUM(B57:B65)</f>
        <v>0</v>
      </c>
      <c r="C54" s="48">
        <f t="shared" si="12"/>
        <v>0</v>
      </c>
      <c r="D54" s="48">
        <f t="shared" si="12"/>
        <v>0</v>
      </c>
      <c r="E54" s="48">
        <f t="shared" si="12"/>
        <v>0</v>
      </c>
      <c r="F54" s="48">
        <f>SUM(F56:F64)</f>
        <v>209790.41799999998</v>
      </c>
      <c r="G54" s="48">
        <f t="shared" si="12"/>
        <v>0</v>
      </c>
      <c r="H54" s="48">
        <f t="shared" si="12"/>
        <v>0</v>
      </c>
      <c r="I54" s="48">
        <f>SUM(I56:I64)</f>
        <v>269385.27400000003</v>
      </c>
      <c r="J54" s="48">
        <f t="shared" si="12"/>
        <v>0</v>
      </c>
      <c r="K54" s="48">
        <f t="shared" ref="K54:AC54" si="13">SUM(K56:K64)</f>
        <v>308957.10901000007</v>
      </c>
      <c r="L54" s="48">
        <f t="shared" si="13"/>
        <v>334729.02999999997</v>
      </c>
      <c r="M54" s="48">
        <f t="shared" si="13"/>
        <v>373230.58600000001</v>
      </c>
      <c r="N54" s="48">
        <f t="shared" si="13"/>
        <v>402052.50400000002</v>
      </c>
      <c r="O54" s="48">
        <f t="shared" si="13"/>
        <v>426824.78099999996</v>
      </c>
      <c r="P54" s="48">
        <f t="shared" si="13"/>
        <v>463241.57900000003</v>
      </c>
      <c r="Q54" s="48">
        <f t="shared" si="13"/>
        <v>493704.348</v>
      </c>
      <c r="R54" s="48">
        <f t="shared" si="13"/>
        <v>510351.951</v>
      </c>
      <c r="S54" s="48">
        <f t="shared" si="13"/>
        <v>538962.43999999994</v>
      </c>
      <c r="T54" s="48">
        <f t="shared" si="13"/>
        <v>586702.946</v>
      </c>
      <c r="U54" s="48">
        <f t="shared" si="13"/>
        <v>628641.36199999996</v>
      </c>
      <c r="V54" s="48">
        <f t="shared" si="13"/>
        <v>732367.88400000008</v>
      </c>
      <c r="W54" s="48">
        <f t="shared" si="13"/>
        <v>750462.55199999991</v>
      </c>
      <c r="X54" s="48">
        <f t="shared" si="13"/>
        <v>779089.58699999994</v>
      </c>
      <c r="Y54" s="48">
        <f t="shared" si="13"/>
        <v>800678.69000000006</v>
      </c>
      <c r="Z54" s="48">
        <f t="shared" si="13"/>
        <v>823587.02299999993</v>
      </c>
      <c r="AA54" s="48">
        <f t="shared" si="13"/>
        <v>857993.23199999984</v>
      </c>
      <c r="AB54" s="48">
        <f t="shared" si="13"/>
        <v>857398.84600000002</v>
      </c>
      <c r="AC54" s="48">
        <f t="shared" si="13"/>
        <v>877105.69099999999</v>
      </c>
    </row>
    <row r="55" spans="1:29">
      <c r="A55" s="7" t="s">
        <v>119</v>
      </c>
      <c r="U55" s="1">
        <v>0</v>
      </c>
      <c r="X55" s="1">
        <v>0</v>
      </c>
      <c r="AB55" s="1">
        <v>0</v>
      </c>
      <c r="AC55" s="1">
        <v>0</v>
      </c>
    </row>
    <row r="56" spans="1:29">
      <c r="A56" s="1" t="s">
        <v>89</v>
      </c>
      <c r="F56" s="42">
        <v>21662.799999999999</v>
      </c>
      <c r="I56" s="1">
        <v>20232.473999999998</v>
      </c>
      <c r="K56" s="1">
        <v>27649.671679999999</v>
      </c>
      <c r="L56" s="1">
        <v>32739.062999999998</v>
      </c>
      <c r="M56" s="1">
        <v>33267.436000000002</v>
      </c>
      <c r="N56" s="1">
        <v>36070.074999999997</v>
      </c>
      <c r="O56" s="1">
        <v>35378.845000000001</v>
      </c>
      <c r="P56" s="1">
        <v>42275</v>
      </c>
      <c r="Q56" s="1">
        <v>46089.894999999997</v>
      </c>
      <c r="R56" s="1">
        <v>48025.773000000001</v>
      </c>
      <c r="S56" s="1">
        <v>49790.896999999997</v>
      </c>
      <c r="T56" s="1">
        <v>53581.512999999999</v>
      </c>
      <c r="U56" s="1">
        <v>47745.781999999999</v>
      </c>
      <c r="V56" s="1">
        <v>52395.101000000002</v>
      </c>
      <c r="W56" s="1">
        <v>48456.209000000003</v>
      </c>
      <c r="X56" s="1">
        <v>46567.544999999998</v>
      </c>
      <c r="Y56" s="1">
        <v>48655.065999999999</v>
      </c>
      <c r="Z56" s="1">
        <v>50587.332000000002</v>
      </c>
      <c r="AA56" s="1">
        <v>53598.042000000001</v>
      </c>
      <c r="AB56" s="1">
        <v>46231.88</v>
      </c>
      <c r="AC56" s="1">
        <v>47168.832000000002</v>
      </c>
    </row>
    <row r="57" spans="1:29">
      <c r="A57" s="1" t="s">
        <v>96</v>
      </c>
      <c r="F57" s="42">
        <v>2861.1419999999998</v>
      </c>
      <c r="I57" s="1">
        <v>3841.433</v>
      </c>
      <c r="K57" s="1">
        <v>4403.5060000000003</v>
      </c>
      <c r="L57" s="1">
        <v>6061.0540000000001</v>
      </c>
      <c r="M57" s="1">
        <v>6566.9849999999997</v>
      </c>
      <c r="N57" s="1">
        <v>7347.3959999999997</v>
      </c>
      <c r="O57" s="1">
        <v>7906.5749999999998</v>
      </c>
      <c r="P57" s="1">
        <v>8228.8430000000008</v>
      </c>
      <c r="Q57" s="1">
        <v>8567.7639999999992</v>
      </c>
      <c r="R57" s="1">
        <v>9478.9959999999992</v>
      </c>
      <c r="S57" s="1">
        <v>9801.6020000000008</v>
      </c>
      <c r="T57" s="1">
        <v>10727.094999999999</v>
      </c>
      <c r="U57" s="1">
        <v>13539.382</v>
      </c>
      <c r="V57" s="1">
        <v>13640.875</v>
      </c>
      <c r="W57" s="1">
        <v>13896.187</v>
      </c>
      <c r="X57" s="1">
        <v>14655.362999999999</v>
      </c>
      <c r="Y57" s="1">
        <v>15872.736999999999</v>
      </c>
      <c r="Z57" s="1">
        <v>15785.491</v>
      </c>
      <c r="AA57" s="1">
        <v>16909.057000000001</v>
      </c>
      <c r="AB57" s="1">
        <v>16426.235000000001</v>
      </c>
      <c r="AC57" s="1">
        <v>17864.745999999999</v>
      </c>
    </row>
    <row r="58" spans="1:29" s="24" customFormat="1">
      <c r="A58" s="1" t="s">
        <v>97</v>
      </c>
      <c r="B58" s="1"/>
      <c r="C58" s="1"/>
      <c r="D58" s="1"/>
      <c r="E58" s="1"/>
      <c r="F58" s="42">
        <v>22315.573</v>
      </c>
      <c r="G58" s="1"/>
      <c r="H58" s="1"/>
      <c r="I58" s="1">
        <v>33338.159</v>
      </c>
      <c r="J58" s="1"/>
      <c r="K58" s="1">
        <v>47996.898000000001</v>
      </c>
      <c r="L58" s="1">
        <v>60047.303999999996</v>
      </c>
      <c r="M58" s="1">
        <v>66730.379000000001</v>
      </c>
      <c r="N58" s="1">
        <v>70029.365000000005</v>
      </c>
      <c r="O58" s="1">
        <v>70352.509999999995</v>
      </c>
      <c r="P58" s="1">
        <v>72614.532999999996</v>
      </c>
      <c r="Q58" s="1">
        <v>77528.058999999994</v>
      </c>
      <c r="R58" s="1">
        <v>83221.342999999993</v>
      </c>
      <c r="S58" s="1">
        <v>88489.134000000005</v>
      </c>
      <c r="T58" s="1">
        <v>95508.077999999994</v>
      </c>
      <c r="U58" s="1">
        <v>92539.774999999994</v>
      </c>
      <c r="V58" s="1">
        <v>106083.22900000001</v>
      </c>
      <c r="W58" s="1">
        <v>114029.545</v>
      </c>
      <c r="X58" s="1">
        <v>120817.698</v>
      </c>
      <c r="Y58" s="1">
        <v>127273.336</v>
      </c>
      <c r="Z58" s="1">
        <v>129417.067</v>
      </c>
      <c r="AA58" s="1">
        <v>139169.353</v>
      </c>
      <c r="AB58" s="1">
        <v>136708.69399999999</v>
      </c>
      <c r="AC58" s="1">
        <v>141604.348</v>
      </c>
    </row>
    <row r="59" spans="1:29">
      <c r="A59" s="1" t="s">
        <v>103</v>
      </c>
      <c r="F59" s="42">
        <v>2515.1179999999999</v>
      </c>
      <c r="I59" s="1">
        <v>2339.2310000000002</v>
      </c>
      <c r="K59" s="1">
        <v>2357.7835</v>
      </c>
      <c r="L59" s="1">
        <v>2846.3980000000001</v>
      </c>
      <c r="M59" s="1">
        <v>2115.4229999999998</v>
      </c>
      <c r="N59" s="1">
        <v>2039.183</v>
      </c>
      <c r="O59" s="1">
        <v>2599.6970000000001</v>
      </c>
      <c r="P59" s="1">
        <v>3398.125</v>
      </c>
      <c r="Q59" s="1">
        <v>3769.569</v>
      </c>
      <c r="R59" s="1">
        <v>3165.5549999999998</v>
      </c>
      <c r="S59" s="1">
        <v>5071.6530000000002</v>
      </c>
      <c r="T59" s="1">
        <v>4312.4949999999999</v>
      </c>
      <c r="U59" s="1">
        <v>4739.8159999999998</v>
      </c>
      <c r="V59" s="1">
        <v>4765.0709999999999</v>
      </c>
      <c r="W59" s="1">
        <v>5307.0640000000003</v>
      </c>
      <c r="X59" s="1">
        <v>6868.7160000000003</v>
      </c>
      <c r="Y59" s="1">
        <v>5576.0129999999999</v>
      </c>
      <c r="Z59" s="1">
        <v>5539.1289999999999</v>
      </c>
      <c r="AA59" s="1">
        <v>8273.2029999999995</v>
      </c>
      <c r="AB59" s="1">
        <v>6720.5630000000001</v>
      </c>
      <c r="AC59" s="1">
        <v>8605.0619999999999</v>
      </c>
    </row>
    <row r="60" spans="1:29">
      <c r="A60" s="1" t="s">
        <v>104</v>
      </c>
      <c r="F60" s="42">
        <v>41327.982000000004</v>
      </c>
      <c r="I60" s="1">
        <v>49400.953999999998</v>
      </c>
      <c r="K60" s="1">
        <v>54114.798999999999</v>
      </c>
      <c r="L60" s="1">
        <v>57298.54</v>
      </c>
      <c r="M60" s="1">
        <v>60474.618000000002</v>
      </c>
      <c r="N60" s="1">
        <v>66297.361999999994</v>
      </c>
      <c r="O60" s="1">
        <v>72520.547999999995</v>
      </c>
      <c r="P60" s="1">
        <v>76992.418000000005</v>
      </c>
      <c r="Q60" s="1">
        <v>82037.410999999993</v>
      </c>
      <c r="R60" s="1">
        <v>82521.989000000001</v>
      </c>
      <c r="S60" s="1">
        <v>83687.653000000006</v>
      </c>
      <c r="T60" s="1">
        <v>90908.432000000001</v>
      </c>
      <c r="U60" s="1">
        <v>97818.649000000005</v>
      </c>
      <c r="V60" s="1">
        <v>120248.618</v>
      </c>
      <c r="W60" s="1">
        <v>125387.15399999999</v>
      </c>
      <c r="X60" s="1">
        <v>129254.037</v>
      </c>
      <c r="Y60" s="1">
        <v>131145.204</v>
      </c>
      <c r="Z60" s="1">
        <v>133150.59599999999</v>
      </c>
      <c r="AA60" s="1">
        <v>130362.535</v>
      </c>
      <c r="AB60" s="1">
        <v>124437.829</v>
      </c>
      <c r="AC60" s="1">
        <v>132556.361</v>
      </c>
    </row>
    <row r="61" spans="1:29">
      <c r="A61" s="1" t="s">
        <v>106</v>
      </c>
      <c r="F61" s="42">
        <v>79374.805999999997</v>
      </c>
      <c r="I61" s="1">
        <v>111534.24400000001</v>
      </c>
      <c r="K61" s="1">
        <v>119540.156</v>
      </c>
      <c r="L61" s="1">
        <v>119335.302</v>
      </c>
      <c r="M61" s="1">
        <v>143048.17499999999</v>
      </c>
      <c r="N61" s="1">
        <v>153100.62899999999</v>
      </c>
      <c r="O61" s="1">
        <v>166934.28200000001</v>
      </c>
      <c r="P61" s="1">
        <v>184240.94200000001</v>
      </c>
      <c r="Q61" s="1">
        <v>195300.23800000001</v>
      </c>
      <c r="R61" s="1">
        <v>198264.022</v>
      </c>
      <c r="S61" s="1">
        <v>213292.59899999999</v>
      </c>
      <c r="T61" s="1">
        <v>229806.74299999999</v>
      </c>
      <c r="U61" s="1">
        <v>258118.36600000001</v>
      </c>
      <c r="V61" s="1">
        <v>308848.16700000002</v>
      </c>
      <c r="W61" s="1">
        <v>309613.87</v>
      </c>
      <c r="X61" s="1">
        <v>322778.91600000003</v>
      </c>
      <c r="Y61" s="1">
        <v>331666.51400000002</v>
      </c>
      <c r="Z61" s="1">
        <v>343371.18599999999</v>
      </c>
      <c r="AA61" s="1">
        <v>362174.70899999997</v>
      </c>
      <c r="AB61" s="1">
        <v>379398.46100000001</v>
      </c>
      <c r="AC61" s="1">
        <v>381948.99699999997</v>
      </c>
    </row>
    <row r="62" spans="1:29">
      <c r="A62" s="1" t="s">
        <v>110</v>
      </c>
      <c r="F62" s="42">
        <v>34645.392</v>
      </c>
      <c r="I62" s="1">
        <v>43915.74</v>
      </c>
      <c r="K62" s="1">
        <v>47668.126830000016</v>
      </c>
      <c r="L62" s="1">
        <v>50337.504999999997</v>
      </c>
      <c r="M62" s="1">
        <v>54298.749000000003</v>
      </c>
      <c r="N62" s="1">
        <v>59946.923000000003</v>
      </c>
      <c r="O62" s="1">
        <v>63162.25</v>
      </c>
      <c r="P62" s="1">
        <v>67450.039000000004</v>
      </c>
      <c r="Q62" s="1">
        <v>71831.887000000002</v>
      </c>
      <c r="R62" s="1">
        <v>76037.95</v>
      </c>
      <c r="S62" s="1">
        <v>78910.418999999994</v>
      </c>
      <c r="T62" s="1">
        <v>91058.513000000006</v>
      </c>
      <c r="U62" s="1">
        <v>101165.443</v>
      </c>
      <c r="V62" s="1">
        <v>115022.09299999999</v>
      </c>
      <c r="W62" s="1">
        <v>120865.73299999999</v>
      </c>
      <c r="X62" s="1">
        <v>124754.704</v>
      </c>
      <c r="Y62" s="1">
        <v>125375.36500000001</v>
      </c>
      <c r="Z62" s="1">
        <v>130225.36900000001</v>
      </c>
      <c r="AA62" s="1">
        <v>131503.842</v>
      </c>
      <c r="AB62" s="1">
        <v>131810.114</v>
      </c>
      <c r="AC62" s="1">
        <v>131100.37700000001</v>
      </c>
    </row>
    <row r="63" spans="1:29">
      <c r="A63" s="1" t="s">
        <v>111</v>
      </c>
      <c r="F63" s="42">
        <v>3751.0929999999998</v>
      </c>
      <c r="I63" s="1">
        <v>4367.1390000000001</v>
      </c>
      <c r="K63" s="1">
        <v>4811.433</v>
      </c>
      <c r="L63" s="1">
        <v>5516.1540000000005</v>
      </c>
      <c r="M63" s="1">
        <v>6132.5439999999999</v>
      </c>
      <c r="N63" s="1">
        <v>6390.201</v>
      </c>
      <c r="O63" s="1">
        <v>7021.3440000000001</v>
      </c>
      <c r="P63" s="1">
        <v>7074.1139999999996</v>
      </c>
      <c r="Q63" s="1">
        <v>7629.52</v>
      </c>
      <c r="R63" s="1">
        <v>8603.9339999999993</v>
      </c>
      <c r="S63" s="1">
        <v>8949.17</v>
      </c>
      <c r="T63" s="1">
        <v>9644.6299999999992</v>
      </c>
      <c r="U63" s="1">
        <v>10950.763999999999</v>
      </c>
      <c r="V63" s="1">
        <v>10283.501</v>
      </c>
      <c r="W63" s="1">
        <v>11717.254000000001</v>
      </c>
      <c r="X63" s="1">
        <v>12209.19</v>
      </c>
      <c r="Y63" s="1">
        <v>12559.239</v>
      </c>
      <c r="Z63" s="1">
        <v>13205.902</v>
      </c>
      <c r="AA63" s="1">
        <v>13326.852000000001</v>
      </c>
      <c r="AB63" s="1">
        <v>14302.73</v>
      </c>
      <c r="AC63" s="1">
        <v>14379.499</v>
      </c>
    </row>
    <row r="64" spans="1:29">
      <c r="A64" s="24" t="s">
        <v>114</v>
      </c>
      <c r="B64" s="24"/>
      <c r="C64" s="24"/>
      <c r="D64" s="24"/>
      <c r="E64" s="24"/>
      <c r="F64" s="45">
        <v>1336.5119999999999</v>
      </c>
      <c r="G64" s="24"/>
      <c r="H64" s="24"/>
      <c r="I64" s="24">
        <v>415.9</v>
      </c>
      <c r="J64" s="24"/>
      <c r="K64" s="24">
        <v>414.73500000000001</v>
      </c>
      <c r="L64" s="24">
        <v>547.71</v>
      </c>
      <c r="M64" s="24">
        <v>596.27700000000004</v>
      </c>
      <c r="N64" s="24">
        <v>831.37</v>
      </c>
      <c r="O64" s="24">
        <v>948.73</v>
      </c>
      <c r="P64" s="24">
        <v>967.56500000000005</v>
      </c>
      <c r="Q64" s="24">
        <v>950.005</v>
      </c>
      <c r="R64" s="24">
        <v>1032.3889999999999</v>
      </c>
      <c r="S64" s="24">
        <v>969.31299999999999</v>
      </c>
      <c r="T64" s="24">
        <v>1155.4469999999999</v>
      </c>
      <c r="U64" s="24">
        <v>2023.385</v>
      </c>
      <c r="V64" s="24">
        <v>1081.229</v>
      </c>
      <c r="W64" s="24">
        <v>1189.5360000000001</v>
      </c>
      <c r="X64" s="24">
        <v>1183.4179999999999</v>
      </c>
      <c r="Y64" s="24">
        <v>2555.2159999999999</v>
      </c>
      <c r="Z64" s="24">
        <v>2304.951</v>
      </c>
      <c r="AA64" s="24">
        <v>2675.6390000000001</v>
      </c>
      <c r="AB64" s="24">
        <v>1362.34</v>
      </c>
      <c r="AC64" s="24">
        <v>1877.4690000000001</v>
      </c>
    </row>
    <row r="65" spans="1:29">
      <c r="A65" s="46" t="s">
        <v>90</v>
      </c>
      <c r="B65" s="46"/>
      <c r="C65" s="46"/>
      <c r="D65" s="46"/>
      <c r="E65" s="46"/>
      <c r="F65" s="47">
        <v>0</v>
      </c>
      <c r="G65" s="46"/>
      <c r="H65" s="46"/>
      <c r="I65" s="46">
        <v>0</v>
      </c>
      <c r="J65" s="46"/>
      <c r="K65" s="46">
        <v>0</v>
      </c>
      <c r="L65" s="46">
        <v>0</v>
      </c>
      <c r="M65" s="46">
        <v>0</v>
      </c>
      <c r="N65" s="46">
        <v>0</v>
      </c>
      <c r="O65" s="46">
        <v>0</v>
      </c>
      <c r="P65" s="46">
        <v>0</v>
      </c>
      <c r="Q65" s="46">
        <v>0</v>
      </c>
      <c r="R65" s="46">
        <v>0</v>
      </c>
      <c r="S65" s="46">
        <v>0</v>
      </c>
      <c r="T65" s="46">
        <v>0</v>
      </c>
      <c r="U65" s="46"/>
      <c r="V65" s="46">
        <v>0</v>
      </c>
      <c r="W65" s="46">
        <v>0</v>
      </c>
      <c r="X65" s="24"/>
      <c r="Y65" s="24"/>
      <c r="Z65" s="24"/>
      <c r="AA65" s="24"/>
      <c r="AB65" s="24"/>
      <c r="AC65" s="24"/>
    </row>
    <row r="67" spans="1:29">
      <c r="I67" s="20" t="s">
        <v>78</v>
      </c>
      <c r="J67" s="20" t="s">
        <v>76</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abColor theme="4" tint="0.39997558519241921"/>
  </sheetPr>
  <dimension ref="A1:AC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AA54" sqref="AA54:AC54"/>
    </sheetView>
  </sheetViews>
  <sheetFormatPr defaultColWidth="9.7109375" defaultRowHeight="12.75"/>
  <cols>
    <col min="1" max="1" width="23.42578125" style="44" customWidth="1"/>
    <col min="2" max="23" width="12.42578125" style="1" customWidth="1"/>
    <col min="24" max="43" width="10.7109375" style="1" customWidth="1"/>
    <col min="44" max="16384" width="9.7109375" style="1"/>
  </cols>
  <sheetData>
    <row r="1" spans="1:29">
      <c r="A1" s="7" t="s">
        <v>39</v>
      </c>
      <c r="B1"/>
      <c r="C1"/>
      <c r="D1"/>
      <c r="E1"/>
      <c r="F1"/>
      <c r="G1"/>
      <c r="H1"/>
      <c r="I1"/>
      <c r="J1"/>
      <c r="K1"/>
      <c r="L1"/>
      <c r="M1"/>
      <c r="N1"/>
      <c r="O1"/>
      <c r="P1"/>
      <c r="Q1"/>
      <c r="R1"/>
      <c r="S1"/>
    </row>
    <row r="2" spans="1:29">
      <c r="A2" s="9"/>
      <c r="B2"/>
      <c r="C2"/>
      <c r="D2"/>
      <c r="E2"/>
      <c r="F2"/>
      <c r="G2"/>
      <c r="H2"/>
      <c r="I2"/>
      <c r="J2"/>
      <c r="K2"/>
      <c r="L2"/>
      <c r="M2"/>
      <c r="N2"/>
      <c r="O2"/>
      <c r="P2"/>
      <c r="Q2"/>
      <c r="R2"/>
      <c r="S2"/>
      <c r="Z2" s="1">
        <v>1000</v>
      </c>
    </row>
    <row r="3" spans="1:29">
      <c r="A3" s="1" t="s">
        <v>23</v>
      </c>
      <c r="B3"/>
      <c r="C3"/>
      <c r="D3"/>
      <c r="E3"/>
      <c r="F3"/>
      <c r="G3"/>
      <c r="H3"/>
      <c r="I3"/>
      <c r="J3"/>
      <c r="K3"/>
      <c r="L3"/>
      <c r="M3"/>
      <c r="N3"/>
      <c r="O3"/>
      <c r="P3"/>
      <c r="Q3"/>
      <c r="R3"/>
      <c r="S3"/>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c r="W4" s="40">
        <v>2011</v>
      </c>
      <c r="X4" s="33" t="s">
        <v>140</v>
      </c>
      <c r="Y4" s="33" t="s">
        <v>142</v>
      </c>
      <c r="Z4" s="33" t="s">
        <v>143</v>
      </c>
      <c r="AA4" s="33" t="s">
        <v>144</v>
      </c>
      <c r="AB4" s="96" t="s">
        <v>149</v>
      </c>
      <c r="AC4" s="96" t="s">
        <v>150</v>
      </c>
    </row>
    <row r="5" spans="1:29" s="8" customFormat="1">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c r="W5" s="8" t="s">
        <v>1</v>
      </c>
      <c r="X5" s="8" t="s">
        <v>1</v>
      </c>
      <c r="Y5" s="8" t="s">
        <v>1</v>
      </c>
      <c r="Z5" s="8" t="s">
        <v>1</v>
      </c>
      <c r="AA5" s="8" t="s">
        <v>1</v>
      </c>
      <c r="AB5" s="8" t="s">
        <v>1</v>
      </c>
      <c r="AC5" s="8" t="s">
        <v>1</v>
      </c>
    </row>
    <row r="6" spans="1:29">
      <c r="A6" s="24" t="s">
        <v>118</v>
      </c>
      <c r="B6" s="1">
        <f>1055226+2335917</f>
        <v>3391143</v>
      </c>
      <c r="C6" s="1">
        <f>1187413+2601142</f>
        <v>3788555</v>
      </c>
      <c r="D6" s="1">
        <f>1326109+2800086</f>
        <v>4126195</v>
      </c>
      <c r="E6" s="1">
        <v>5504007.966</v>
      </c>
      <c r="F6" s="49">
        <f>+F7+F25+F40+F54+F65</f>
        <v>5368806.6920000007</v>
      </c>
      <c r="G6" s="1">
        <v>6273329.3030000003</v>
      </c>
      <c r="H6" s="1">
        <v>6368953.2889999999</v>
      </c>
      <c r="I6" s="49">
        <f>+I7+I25+I40+I54+I65</f>
        <v>6277513.0700000003</v>
      </c>
      <c r="J6" s="1">
        <v>7381535.9850000003</v>
      </c>
      <c r="K6" s="49">
        <f t="shared" ref="K6:U6" si="0">+K7+K25+K40+K54+K65</f>
        <v>7690411.7177300015</v>
      </c>
      <c r="L6" s="49">
        <f t="shared" si="0"/>
        <v>8558993.716</v>
      </c>
      <c r="M6" s="49">
        <f t="shared" si="0"/>
        <v>9189970.3809999991</v>
      </c>
      <c r="N6" s="49">
        <f t="shared" si="0"/>
        <v>9384476.7650000006</v>
      </c>
      <c r="O6" s="49">
        <f t="shared" si="0"/>
        <v>9669276.0330000017</v>
      </c>
      <c r="P6" s="49">
        <f t="shared" si="0"/>
        <v>10074840.783</v>
      </c>
      <c r="Q6" s="49">
        <f t="shared" si="0"/>
        <v>10774727.204</v>
      </c>
      <c r="R6" s="49">
        <f t="shared" si="0"/>
        <v>11032494.245999999</v>
      </c>
      <c r="S6" s="49">
        <f t="shared" si="0"/>
        <v>11995112.602</v>
      </c>
      <c r="T6" s="49">
        <f t="shared" si="0"/>
        <v>13763290.6395</v>
      </c>
      <c r="U6" s="49">
        <f t="shared" si="0"/>
        <v>12954947.931</v>
      </c>
      <c r="V6" s="49">
        <f t="shared" ref="V6:W6" si="1">+V7+V25+V40+V54+V65</f>
        <v>15684467.185000002</v>
      </c>
      <c r="W6" s="49">
        <f t="shared" si="1"/>
        <v>16531298.530000001</v>
      </c>
      <c r="X6" s="49">
        <f t="shared" ref="X6:Y6" si="2">+X7+X25+X40+X54+X65</f>
        <v>16828207.550000001</v>
      </c>
      <c r="Y6" s="49">
        <f t="shared" si="2"/>
        <v>16989343.049999997</v>
      </c>
      <c r="Z6" s="49">
        <f t="shared" ref="Z6:AA6" si="3">+Z7+Z25+Z40+Z54+Z65</f>
        <v>18135608.756999996</v>
      </c>
      <c r="AA6" s="49">
        <f t="shared" si="3"/>
        <v>18733975.444000002</v>
      </c>
      <c r="AB6" s="49">
        <f t="shared" ref="AB6:AC6" si="4">+AB7+AB25+AB40+AB54+AB65</f>
        <v>20313863.673000004</v>
      </c>
      <c r="AC6" s="49">
        <f t="shared" si="4"/>
        <v>20881647.837000001</v>
      </c>
    </row>
    <row r="7" spans="1:29">
      <c r="A7" s="1" t="s">
        <v>56</v>
      </c>
      <c r="B7" s="48">
        <f>SUM(B8:B24)</f>
        <v>1078160</v>
      </c>
      <c r="C7" s="48">
        <f t="shared" ref="C7:U7" si="5">SUM(C8:C24)</f>
        <v>1192716</v>
      </c>
      <c r="D7" s="48">
        <f t="shared" si="5"/>
        <v>1270697</v>
      </c>
      <c r="E7" s="48">
        <f t="shared" si="5"/>
        <v>1850694.6500000004</v>
      </c>
      <c r="F7" s="48">
        <f t="shared" si="5"/>
        <v>1778057.0549999997</v>
      </c>
      <c r="G7" s="48">
        <f t="shared" si="5"/>
        <v>1914952.7700000003</v>
      </c>
      <c r="H7" s="48">
        <f t="shared" si="5"/>
        <v>2072957.2949999999</v>
      </c>
      <c r="I7" s="48">
        <f t="shared" si="5"/>
        <v>2156035.3470000005</v>
      </c>
      <c r="J7" s="48">
        <f t="shared" si="5"/>
        <v>2423281.6910000006</v>
      </c>
      <c r="K7" s="48">
        <f t="shared" si="5"/>
        <v>2587288.0262000002</v>
      </c>
      <c r="L7" s="48">
        <f t="shared" si="5"/>
        <v>3074100.0960000004</v>
      </c>
      <c r="M7" s="48">
        <f t="shared" si="5"/>
        <v>3338736.054</v>
      </c>
      <c r="N7" s="48">
        <f t="shared" si="5"/>
        <v>3521504.7110000006</v>
      </c>
      <c r="O7" s="48">
        <f t="shared" si="5"/>
        <v>3856962.2990000001</v>
      </c>
      <c r="P7" s="48">
        <f t="shared" si="5"/>
        <v>3999130.0830000006</v>
      </c>
      <c r="Q7" s="48">
        <f t="shared" si="5"/>
        <v>4243248.085</v>
      </c>
      <c r="R7" s="48">
        <f t="shared" si="5"/>
        <v>4378229.0859999992</v>
      </c>
      <c r="S7" s="48">
        <f t="shared" si="5"/>
        <v>4657800.483</v>
      </c>
      <c r="T7" s="48">
        <f t="shared" si="5"/>
        <v>5179077.0039999997</v>
      </c>
      <c r="U7" s="48">
        <f t="shared" si="5"/>
        <v>4671628.2290000003</v>
      </c>
      <c r="V7" s="48">
        <f t="shared" ref="V7:W7" si="6">SUM(V8:V24)</f>
        <v>6077733.1580000008</v>
      </c>
      <c r="W7" s="48">
        <f t="shared" si="6"/>
        <v>6492697.9410000006</v>
      </c>
      <c r="X7" s="48">
        <f t="shared" ref="X7:Y7" si="7">SUM(X8:X24)</f>
        <v>6306887.6149999993</v>
      </c>
      <c r="Y7" s="48">
        <f t="shared" si="7"/>
        <v>6202515.7220000001</v>
      </c>
      <c r="Z7" s="48">
        <f t="shared" ref="Z7:AA7" si="8">SUM(Z8:Z24)</f>
        <v>6616237.4460000005</v>
      </c>
      <c r="AA7" s="48">
        <f t="shared" si="8"/>
        <v>6990617.4409999996</v>
      </c>
      <c r="AB7" s="48">
        <f t="shared" ref="AB7:AC7" si="9">SUM(AB8:AB24)</f>
        <v>7542646.2840000009</v>
      </c>
      <c r="AC7" s="48">
        <f t="shared" si="9"/>
        <v>7972647.051</v>
      </c>
    </row>
    <row r="8" spans="1:29">
      <c r="A8" s="7" t="s">
        <v>119</v>
      </c>
    </row>
    <row r="9" spans="1:29">
      <c r="A9" s="1" t="s">
        <v>3</v>
      </c>
      <c r="B9" s="1">
        <f>16177+42175</f>
        <v>58352</v>
      </c>
      <c r="C9" s="1">
        <f>17141+47472</f>
        <v>64613</v>
      </c>
      <c r="D9" s="1">
        <f>18818+50530</f>
        <v>69348</v>
      </c>
      <c r="E9" s="1">
        <v>105839.224</v>
      </c>
      <c r="F9" s="42">
        <v>106416.753</v>
      </c>
      <c r="G9" s="1">
        <v>112638.735</v>
      </c>
      <c r="H9" s="1">
        <v>131048.189</v>
      </c>
      <c r="I9" s="1">
        <v>135989.50099999999</v>
      </c>
      <c r="J9" s="1">
        <v>151861.04199999999</v>
      </c>
      <c r="K9" s="1">
        <v>148042.80900000001</v>
      </c>
      <c r="L9" s="1">
        <v>184269.64799999999</v>
      </c>
      <c r="M9" s="1">
        <v>175727.90100000001</v>
      </c>
      <c r="N9" s="1">
        <v>194326.17800000001</v>
      </c>
      <c r="O9" s="1">
        <v>214676.72099999999</v>
      </c>
      <c r="P9" s="1">
        <v>242370.723</v>
      </c>
      <c r="Q9" s="1">
        <v>271576.42200000002</v>
      </c>
      <c r="R9" s="1">
        <v>300787.29399999999</v>
      </c>
      <c r="S9" s="1">
        <v>366885.859</v>
      </c>
      <c r="T9" s="1">
        <v>394020.61</v>
      </c>
      <c r="U9" s="1">
        <v>421801.88900000002</v>
      </c>
      <c r="V9" s="1">
        <v>467028.51699999999</v>
      </c>
      <c r="W9" s="1">
        <v>470404.29499999998</v>
      </c>
      <c r="X9" s="1">
        <v>470645.94</v>
      </c>
      <c r="Y9" s="1">
        <v>510165.03</v>
      </c>
      <c r="Z9" s="1">
        <v>539730.43799999997</v>
      </c>
      <c r="AA9" s="1">
        <v>568248.97499999998</v>
      </c>
      <c r="AB9" s="1">
        <v>544610.51500000001</v>
      </c>
      <c r="AC9" s="1">
        <v>596226.86499999999</v>
      </c>
    </row>
    <row r="10" spans="1:29">
      <c r="A10" s="1" t="s">
        <v>4</v>
      </c>
      <c r="B10" s="1">
        <f>12127+26967</f>
        <v>39094</v>
      </c>
      <c r="C10" s="1">
        <f>7578+29356</f>
        <v>36934</v>
      </c>
      <c r="D10" s="1">
        <f>8252+32807</f>
        <v>41059</v>
      </c>
      <c r="E10" s="1">
        <v>61166.894</v>
      </c>
      <c r="F10" s="42">
        <v>63170.288</v>
      </c>
      <c r="G10" s="1">
        <v>65708.453999999998</v>
      </c>
      <c r="H10" s="1">
        <v>72250.673999999999</v>
      </c>
      <c r="I10" s="1">
        <v>70663.222999999998</v>
      </c>
      <c r="J10" s="1">
        <v>75238.937999999995</v>
      </c>
      <c r="K10" s="1">
        <v>86081.116999999998</v>
      </c>
      <c r="L10" s="1">
        <v>94994.539000000004</v>
      </c>
      <c r="M10" s="1">
        <v>112395.101</v>
      </c>
      <c r="N10" s="1">
        <v>119207.63499999999</v>
      </c>
      <c r="O10" s="1">
        <v>126371.40399999999</v>
      </c>
      <c r="P10" s="1">
        <v>131553.49100000001</v>
      </c>
      <c r="Q10" s="1">
        <v>136513.084</v>
      </c>
      <c r="R10" s="1">
        <v>149120.36600000001</v>
      </c>
      <c r="S10" s="1">
        <v>154908.30799999999</v>
      </c>
      <c r="T10" s="1">
        <v>206761.321</v>
      </c>
      <c r="U10" s="1">
        <v>112509.361</v>
      </c>
      <c r="V10" s="1">
        <v>264908.41600000003</v>
      </c>
      <c r="W10" s="1">
        <v>278399.16100000002</v>
      </c>
      <c r="X10" s="1">
        <v>284210.01500000001</v>
      </c>
      <c r="Y10" s="1">
        <v>271327.00900000002</v>
      </c>
      <c r="Z10" s="1">
        <v>284951.57900000003</v>
      </c>
      <c r="AA10" s="1">
        <v>313399.48</v>
      </c>
      <c r="AB10" s="1">
        <v>310806.55800000002</v>
      </c>
      <c r="AC10" s="1">
        <v>328782.61800000002</v>
      </c>
    </row>
    <row r="11" spans="1:29">
      <c r="A11" s="1" t="s">
        <v>52</v>
      </c>
      <c r="D11" s="1">
        <f>14326+3685</f>
        <v>18011</v>
      </c>
      <c r="E11" s="1">
        <v>32558.920999999998</v>
      </c>
      <c r="F11" s="42">
        <v>32014.235000000001</v>
      </c>
      <c r="I11" s="1">
        <v>34135.535000000003</v>
      </c>
      <c r="J11" s="1">
        <v>36498.769</v>
      </c>
      <c r="K11" s="1">
        <v>38400.917999999998</v>
      </c>
      <c r="L11" s="1">
        <v>47011.919000000002</v>
      </c>
      <c r="M11" s="1">
        <v>49827.101999999999</v>
      </c>
      <c r="N11" s="1">
        <v>49903.553999999996</v>
      </c>
      <c r="O11" s="1">
        <v>54856.847000000002</v>
      </c>
      <c r="P11" s="1">
        <v>56567.218999999997</v>
      </c>
      <c r="Q11" s="1">
        <f>7926.239+57926.733</f>
        <v>65852.971999999994</v>
      </c>
      <c r="R11" s="1">
        <v>61754.654000000002</v>
      </c>
      <c r="S11" s="1">
        <v>68576.622000000003</v>
      </c>
      <c r="T11" s="1">
        <v>72824.740000000005</v>
      </c>
      <c r="U11" s="1">
        <v>76180.357000000004</v>
      </c>
      <c r="V11" s="1">
        <v>83083.320000000007</v>
      </c>
      <c r="W11" s="1">
        <v>89050.48</v>
      </c>
      <c r="X11" s="1">
        <v>102350.705</v>
      </c>
      <c r="Y11" s="1">
        <v>20690.146000000001</v>
      </c>
      <c r="Z11" s="1">
        <v>111840.781</v>
      </c>
      <c r="AA11" s="1">
        <v>116646.439</v>
      </c>
      <c r="AB11" s="1">
        <v>127277.069</v>
      </c>
      <c r="AC11" s="1">
        <v>18621.577000000001</v>
      </c>
    </row>
    <row r="12" spans="1:29">
      <c r="A12" s="1" t="s">
        <v>5</v>
      </c>
      <c r="B12" s="1">
        <f>55491+57742</f>
        <v>113233</v>
      </c>
      <c r="C12" s="1">
        <f>65042+62889</f>
        <v>127931</v>
      </c>
      <c r="D12" s="1">
        <f>71460+64495</f>
        <v>135955</v>
      </c>
      <c r="E12" s="1">
        <v>169524.47099999999</v>
      </c>
      <c r="F12" s="42">
        <v>166484.59099999999</v>
      </c>
      <c r="G12" s="1">
        <v>176003.67300000001</v>
      </c>
      <c r="H12" s="1">
        <v>190286.11600000001</v>
      </c>
      <c r="I12" s="1">
        <v>189995.38500000001</v>
      </c>
      <c r="J12" s="1">
        <v>214721.46100000001</v>
      </c>
      <c r="K12" s="1">
        <v>225066.43900000001</v>
      </c>
      <c r="L12" s="1">
        <v>305956.234</v>
      </c>
      <c r="M12" s="1">
        <v>324437.39500000002</v>
      </c>
      <c r="N12" s="1">
        <v>301109.53399999999</v>
      </c>
      <c r="O12" s="1">
        <v>419777.31900000002</v>
      </c>
      <c r="P12" s="1">
        <v>454216.36700000003</v>
      </c>
      <c r="Q12" s="1">
        <v>524529.91899999999</v>
      </c>
      <c r="R12" s="1">
        <v>533657.63199999998</v>
      </c>
      <c r="S12" s="1">
        <v>534206.64800000004</v>
      </c>
      <c r="T12" s="1">
        <v>555260.22199999995</v>
      </c>
      <c r="U12" s="1">
        <v>532883.31499999994</v>
      </c>
      <c r="V12" s="1">
        <v>577836.01500000001</v>
      </c>
      <c r="W12" s="1">
        <v>625502.58299999998</v>
      </c>
      <c r="X12" s="1">
        <v>581845.45499999996</v>
      </c>
      <c r="Y12" s="1">
        <v>618801.78500000003</v>
      </c>
      <c r="Z12" s="1">
        <v>704879.8</v>
      </c>
      <c r="AA12" s="1">
        <v>736070.56</v>
      </c>
      <c r="AB12" s="1">
        <v>746487.52399999998</v>
      </c>
      <c r="AC12" s="1">
        <v>783399.08600000001</v>
      </c>
    </row>
    <row r="13" spans="1:29">
      <c r="A13" s="1" t="s">
        <v>6</v>
      </c>
      <c r="B13" s="1">
        <f>13449+104815</f>
        <v>118264</v>
      </c>
      <c r="C13" s="1">
        <f>16685+112297</f>
        <v>128982</v>
      </c>
      <c r="D13" s="1">
        <f>20736+68014</f>
        <v>88750</v>
      </c>
      <c r="E13" s="1">
        <v>139259.875</v>
      </c>
      <c r="F13" s="42">
        <v>139206.14000000001</v>
      </c>
      <c r="G13" s="1">
        <v>154078.08600000001</v>
      </c>
      <c r="H13" s="1">
        <v>169550.39300000001</v>
      </c>
      <c r="I13" s="1">
        <v>191639.37299999999</v>
      </c>
      <c r="J13" s="1">
        <v>210887.818</v>
      </c>
      <c r="K13" s="1">
        <v>227789.29500000001</v>
      </c>
      <c r="L13" s="1">
        <v>278820.87800000003</v>
      </c>
      <c r="M13" s="1">
        <v>272592.59299999999</v>
      </c>
      <c r="N13" s="1">
        <v>292429.00900000002</v>
      </c>
      <c r="O13" s="1">
        <v>334764.125</v>
      </c>
      <c r="P13" s="1">
        <v>309177.04300000001</v>
      </c>
      <c r="Q13" s="1">
        <v>295834.53200000001</v>
      </c>
      <c r="R13" s="1">
        <v>346737.19099999999</v>
      </c>
      <c r="S13" s="1">
        <v>372569.31900000002</v>
      </c>
      <c r="T13" s="1">
        <v>388569.41100000002</v>
      </c>
      <c r="U13" s="1">
        <v>344332.08500000002</v>
      </c>
      <c r="V13" s="1">
        <v>432485.62300000002</v>
      </c>
      <c r="W13" s="1">
        <v>457877.07</v>
      </c>
      <c r="X13" s="1">
        <v>492101.81</v>
      </c>
      <c r="Y13" s="1">
        <v>528076.49300000002</v>
      </c>
      <c r="Z13" s="1">
        <v>554070.06700000004</v>
      </c>
      <c r="AA13" s="1">
        <v>585781.28099999996</v>
      </c>
      <c r="AB13" s="1">
        <v>607250.00800000003</v>
      </c>
      <c r="AC13" s="1">
        <v>682147.96600000001</v>
      </c>
    </row>
    <row r="14" spans="1:29">
      <c r="A14" s="1" t="s">
        <v>7</v>
      </c>
      <c r="B14" s="1">
        <f>23033+30035</f>
        <v>53068</v>
      </c>
      <c r="C14" s="1">
        <f>27302+30944</f>
        <v>58246</v>
      </c>
      <c r="D14" s="1">
        <f>30396+32803</f>
        <v>63199</v>
      </c>
      <c r="E14" s="1">
        <v>90972.850999999995</v>
      </c>
      <c r="F14" s="42">
        <v>90404.212</v>
      </c>
      <c r="G14" s="1">
        <v>88181.467999999993</v>
      </c>
      <c r="H14" s="1">
        <v>90759.994999999995</v>
      </c>
      <c r="I14" s="1">
        <v>98549.364000000001</v>
      </c>
      <c r="J14" s="1">
        <v>103582.552</v>
      </c>
      <c r="K14" s="1">
        <v>110951.44500000001</v>
      </c>
      <c r="L14" s="1">
        <v>139663.693</v>
      </c>
      <c r="M14" s="1">
        <v>149491.37899999999</v>
      </c>
      <c r="N14" s="1">
        <v>155462.16800000001</v>
      </c>
      <c r="O14" s="1">
        <v>164985.52600000001</v>
      </c>
      <c r="P14" s="1">
        <v>167709.31099999999</v>
      </c>
      <c r="Q14" s="1">
        <v>177780.391</v>
      </c>
      <c r="R14" s="1">
        <v>183207.43900000001</v>
      </c>
      <c r="S14" s="1">
        <v>198921.88200000001</v>
      </c>
      <c r="T14" s="1">
        <v>221477.28099999999</v>
      </c>
      <c r="U14" s="1">
        <v>241127.96299999999</v>
      </c>
      <c r="V14" s="1">
        <v>307146.62599999999</v>
      </c>
      <c r="W14" s="1">
        <v>283633.38799999998</v>
      </c>
      <c r="X14" s="1">
        <v>306257.45199999999</v>
      </c>
      <c r="Y14" s="1">
        <v>292868.85100000002</v>
      </c>
      <c r="Z14" s="1">
        <v>295572.45699999999</v>
      </c>
      <c r="AA14" s="1">
        <v>329279.34999999998</v>
      </c>
      <c r="AB14" s="1">
        <v>350688.30300000001</v>
      </c>
      <c r="AC14" s="1">
        <v>408750.45899999997</v>
      </c>
    </row>
    <row r="15" spans="1:29">
      <c r="A15" s="1" t="s">
        <v>8</v>
      </c>
      <c r="B15" s="1">
        <f>15396+49302</f>
        <v>64698</v>
      </c>
      <c r="C15" s="1">
        <f>16006+52175</f>
        <v>68181</v>
      </c>
      <c r="D15" s="1">
        <f>19002+52097</f>
        <v>71099</v>
      </c>
      <c r="E15" s="1">
        <v>116043.485</v>
      </c>
      <c r="F15" s="42">
        <v>106952.692</v>
      </c>
      <c r="G15" s="1">
        <v>112955.781</v>
      </c>
      <c r="H15" s="1">
        <v>124676.355</v>
      </c>
      <c r="I15" s="1">
        <v>133040.41699999999</v>
      </c>
      <c r="J15" s="1">
        <v>152435.13699999999</v>
      </c>
      <c r="K15" s="1">
        <v>155785.476</v>
      </c>
      <c r="L15" s="1">
        <v>166123.86199999999</v>
      </c>
      <c r="M15" s="1">
        <v>165922.51999999999</v>
      </c>
      <c r="N15" s="1">
        <v>184021.1</v>
      </c>
      <c r="O15" s="1">
        <v>199333.519</v>
      </c>
      <c r="P15" s="1">
        <v>221918.32699999999</v>
      </c>
      <c r="Q15" s="1">
        <v>228400.516</v>
      </c>
      <c r="R15" s="1">
        <v>231276.323</v>
      </c>
      <c r="S15" s="1">
        <v>235672.946</v>
      </c>
      <c r="T15" s="1">
        <v>294750.57900000003</v>
      </c>
      <c r="U15" s="1">
        <v>258175.505</v>
      </c>
      <c r="V15" s="1">
        <v>286863.88</v>
      </c>
      <c r="W15" s="1">
        <v>293473.85800000001</v>
      </c>
      <c r="X15" s="1">
        <v>298305.12099999998</v>
      </c>
      <c r="Y15" s="1">
        <v>291353.62099999998</v>
      </c>
      <c r="Z15" s="1">
        <v>301766.49800000002</v>
      </c>
      <c r="AA15" s="1">
        <v>306115.05200000003</v>
      </c>
      <c r="AB15" s="1">
        <v>286439.28700000001</v>
      </c>
      <c r="AC15" s="1">
        <v>332956.804</v>
      </c>
    </row>
    <row r="16" spans="1:29">
      <c r="A16" s="1" t="s">
        <v>9</v>
      </c>
      <c r="B16" s="1">
        <v>67345</v>
      </c>
      <c r="C16" s="1">
        <f>0+76020</f>
        <v>76020</v>
      </c>
      <c r="D16" s="1">
        <f>0+73993</f>
        <v>73993</v>
      </c>
      <c r="E16" s="1">
        <v>113962.914</v>
      </c>
      <c r="F16" s="42">
        <v>108831.735</v>
      </c>
      <c r="G16" s="1">
        <v>122001.535</v>
      </c>
      <c r="H16" s="1">
        <v>125317.353</v>
      </c>
      <c r="I16" s="1">
        <v>130326.145</v>
      </c>
      <c r="J16" s="1">
        <v>148056.69</v>
      </c>
      <c r="K16" s="1">
        <v>165759.21877000001</v>
      </c>
      <c r="L16" s="1">
        <v>197291.29800000001</v>
      </c>
      <c r="M16" s="1">
        <v>244953.93599999999</v>
      </c>
      <c r="N16" s="1">
        <v>272141.24800000002</v>
      </c>
      <c r="O16" s="1">
        <v>277132.94400000002</v>
      </c>
      <c r="P16" s="1">
        <v>296717.7</v>
      </c>
      <c r="Q16" s="1">
        <v>313417.96500000003</v>
      </c>
      <c r="R16" s="1">
        <v>325098.69099999999</v>
      </c>
      <c r="S16" s="1">
        <v>339911.152</v>
      </c>
      <c r="T16" s="1">
        <v>363086.09100000001</v>
      </c>
      <c r="U16" s="1">
        <v>314101.22200000001</v>
      </c>
      <c r="V16" s="1">
        <v>410017.24699999997</v>
      </c>
      <c r="W16" s="1">
        <v>421699.32500000001</v>
      </c>
      <c r="X16" s="1">
        <v>427935.12199999997</v>
      </c>
      <c r="Y16" s="1">
        <v>453320.49099999998</v>
      </c>
      <c r="Z16" s="1">
        <v>486853.83899999998</v>
      </c>
      <c r="AA16" s="1">
        <v>520192.06099999999</v>
      </c>
      <c r="AB16" s="1">
        <v>547270.50800000003</v>
      </c>
      <c r="AC16" s="1">
        <v>584018.821</v>
      </c>
    </row>
    <row r="17" spans="1:29">
      <c r="A17" s="1" t="s">
        <v>10</v>
      </c>
      <c r="B17" s="1">
        <f>5234+22107</f>
        <v>27341</v>
      </c>
      <c r="C17" s="1">
        <f>5460+25000</f>
        <v>30460</v>
      </c>
      <c r="D17" s="1">
        <f>5740+27233</f>
        <v>32973</v>
      </c>
      <c r="E17" s="1">
        <v>55987.637000000002</v>
      </c>
      <c r="F17" s="42">
        <v>56769.635000000002</v>
      </c>
      <c r="G17" s="1">
        <v>64886.044999999998</v>
      </c>
      <c r="H17" s="1">
        <v>71773.472999999998</v>
      </c>
      <c r="I17" s="1">
        <v>79401.415999999997</v>
      </c>
      <c r="J17" s="1">
        <v>92004.460999999996</v>
      </c>
      <c r="K17" s="1">
        <v>98269.452000000005</v>
      </c>
      <c r="L17" s="1">
        <v>126323.15300000001</v>
      </c>
      <c r="M17" s="1">
        <v>104034.88099999999</v>
      </c>
      <c r="N17" s="1">
        <v>126750.30100000001</v>
      </c>
      <c r="O17" s="1">
        <v>143342.20499999999</v>
      </c>
      <c r="P17" s="1">
        <v>160754.57800000001</v>
      </c>
      <c r="Q17" s="1">
        <v>175378.59099999999</v>
      </c>
      <c r="R17" s="1">
        <v>195293.266</v>
      </c>
      <c r="S17" s="1">
        <v>207304.41200000001</v>
      </c>
      <c r="T17" s="1">
        <v>205174.33600000001</v>
      </c>
      <c r="U17" s="1">
        <v>145095.16399999999</v>
      </c>
      <c r="V17" s="1">
        <v>232831.14600000001</v>
      </c>
      <c r="W17" s="1">
        <v>241446.72399999999</v>
      </c>
      <c r="X17" s="1">
        <v>281729.86099999998</v>
      </c>
      <c r="Y17" s="1">
        <v>274540.73</v>
      </c>
      <c r="Z17" s="1">
        <v>306166.908</v>
      </c>
      <c r="AA17" s="1">
        <v>312415.46100000001</v>
      </c>
      <c r="AB17" s="1">
        <v>334738.29200000002</v>
      </c>
      <c r="AC17" s="1">
        <v>313503.29499999998</v>
      </c>
    </row>
    <row r="18" spans="1:29">
      <c r="A18" s="1" t="s">
        <v>11</v>
      </c>
      <c r="B18" s="1">
        <f>15053+50711</f>
        <v>65764</v>
      </c>
      <c r="C18" s="1">
        <f>17441+60188</f>
        <v>77629</v>
      </c>
      <c r="D18" s="1">
        <f>20184+68047</f>
        <v>88231</v>
      </c>
      <c r="E18" s="1">
        <v>128482.97100000001</v>
      </c>
      <c r="F18" s="42">
        <v>138945.30300000001</v>
      </c>
      <c r="G18" s="1">
        <v>163099.08300000001</v>
      </c>
      <c r="H18" s="1">
        <v>178193.43100000001</v>
      </c>
      <c r="I18" s="1">
        <v>175851.84599999999</v>
      </c>
      <c r="J18" s="1">
        <v>201870.65100000001</v>
      </c>
      <c r="K18" s="1">
        <v>219610.041</v>
      </c>
      <c r="L18" s="1">
        <v>227568.61900000001</v>
      </c>
      <c r="M18" s="1">
        <v>248679.802</v>
      </c>
      <c r="N18" s="1">
        <v>248038.91399999999</v>
      </c>
      <c r="O18" s="1">
        <v>275284.57</v>
      </c>
      <c r="P18" s="1">
        <v>300345.58600000001</v>
      </c>
      <c r="Q18" s="1">
        <v>321648.30300000001</v>
      </c>
      <c r="R18" s="1">
        <v>338693.71500000003</v>
      </c>
      <c r="S18" s="1">
        <v>377353.147</v>
      </c>
      <c r="T18" s="1">
        <v>409036.43199999997</v>
      </c>
      <c r="U18" s="1">
        <v>409423.37599999999</v>
      </c>
      <c r="V18" s="1">
        <v>466044.56099999999</v>
      </c>
      <c r="W18" s="1">
        <v>503878.44900000002</v>
      </c>
      <c r="X18" s="1">
        <v>497130.21299999999</v>
      </c>
      <c r="Y18" s="1">
        <v>537077.39300000004</v>
      </c>
      <c r="Z18" s="1">
        <v>548500.83400000003</v>
      </c>
      <c r="AA18" s="1">
        <v>576961.48199999996</v>
      </c>
      <c r="AB18" s="1">
        <v>607348.17500000005</v>
      </c>
      <c r="AC18" s="1">
        <v>711019.22199999995</v>
      </c>
    </row>
    <row r="19" spans="1:29">
      <c r="A19" s="1" t="s">
        <v>12</v>
      </c>
      <c r="B19" s="1">
        <v>26553</v>
      </c>
      <c r="C19" s="1">
        <f>0+27445</f>
        <v>27445</v>
      </c>
      <c r="D19" s="1">
        <f>0+35249</f>
        <v>35249</v>
      </c>
      <c r="E19" s="1">
        <v>53655.665000000001</v>
      </c>
      <c r="F19" s="42">
        <v>61821.163</v>
      </c>
      <c r="G19" s="1">
        <v>60734.328000000001</v>
      </c>
      <c r="H19" s="1">
        <v>52824.32</v>
      </c>
      <c r="I19" s="1">
        <v>52111.146999999997</v>
      </c>
      <c r="J19" s="1">
        <v>52513.252</v>
      </c>
      <c r="K19" s="1">
        <v>54748.401420000002</v>
      </c>
      <c r="L19" s="1">
        <v>86198.748999999996</v>
      </c>
      <c r="M19" s="1">
        <v>91358.822</v>
      </c>
      <c r="N19" s="1">
        <v>95557.841</v>
      </c>
      <c r="O19" s="1">
        <v>94719.010999999999</v>
      </c>
      <c r="P19" s="1">
        <v>100958.848</v>
      </c>
      <c r="Q19" s="1">
        <v>96635.341</v>
      </c>
      <c r="R19" s="1">
        <v>105943.34600000001</v>
      </c>
      <c r="S19" s="1">
        <v>119682.59</v>
      </c>
      <c r="T19" s="1">
        <v>176066.94500000001</v>
      </c>
      <c r="U19" s="1">
        <v>135462.88099999999</v>
      </c>
      <c r="V19" s="1">
        <v>206141.03</v>
      </c>
      <c r="W19" s="1">
        <v>183282.739</v>
      </c>
      <c r="X19" s="1">
        <v>191257.397</v>
      </c>
      <c r="Y19" s="1">
        <v>187925.57</v>
      </c>
      <c r="Z19" s="1">
        <v>201345.28700000001</v>
      </c>
      <c r="AA19" s="1">
        <v>198149.03200000001</v>
      </c>
      <c r="AB19" s="1">
        <v>191369.49299999999</v>
      </c>
      <c r="AC19" s="1">
        <v>194343.70199999999</v>
      </c>
    </row>
    <row r="20" spans="1:29">
      <c r="A20" s="1" t="s">
        <v>13</v>
      </c>
      <c r="B20" s="1">
        <f>22677+27968</f>
        <v>50645</v>
      </c>
      <c r="C20" s="1">
        <f>27197+31428</f>
        <v>58625</v>
      </c>
      <c r="D20" s="1">
        <f>30471+35297</f>
        <v>65768</v>
      </c>
      <c r="E20" s="1">
        <v>80272.808000000005</v>
      </c>
      <c r="F20" s="42">
        <v>75967.885999999999</v>
      </c>
      <c r="G20" s="1">
        <v>82416.588000000003</v>
      </c>
      <c r="H20" s="1">
        <v>89895.292000000001</v>
      </c>
      <c r="I20" s="1">
        <v>89379.650999999998</v>
      </c>
      <c r="J20" s="1">
        <v>101714.61</v>
      </c>
      <c r="K20" s="1">
        <v>96085.812999999995</v>
      </c>
      <c r="L20" s="1">
        <v>111780.204</v>
      </c>
      <c r="M20" s="1">
        <v>115191.90399999999</v>
      </c>
      <c r="N20" s="1">
        <v>114769.08500000001</v>
      </c>
      <c r="O20" s="1">
        <v>120626.341</v>
      </c>
      <c r="P20" s="1">
        <v>122884.804</v>
      </c>
      <c r="Q20" s="1">
        <v>141767.73300000001</v>
      </c>
      <c r="R20" s="1">
        <v>157955.394</v>
      </c>
      <c r="S20" s="1">
        <v>166655.03099999999</v>
      </c>
      <c r="T20" s="1">
        <v>194221.399</v>
      </c>
      <c r="U20" s="1">
        <v>148226.791</v>
      </c>
      <c r="V20" s="1">
        <v>211807.641</v>
      </c>
      <c r="W20" s="1">
        <v>228823.94699999999</v>
      </c>
      <c r="X20" s="1">
        <v>256361.111</v>
      </c>
      <c r="Y20" s="1">
        <v>267794.84899999999</v>
      </c>
      <c r="Z20" s="1">
        <v>270628.70299999998</v>
      </c>
      <c r="AA20" s="1">
        <v>300205.01</v>
      </c>
      <c r="AB20" s="1">
        <v>318027.62</v>
      </c>
      <c r="AC20" s="1">
        <v>346880.22700000001</v>
      </c>
    </row>
    <row r="21" spans="1:29" s="11" customFormat="1">
      <c r="A21" s="1" t="s">
        <v>14</v>
      </c>
      <c r="B21" s="1">
        <f>8134+33670</f>
        <v>41804</v>
      </c>
      <c r="C21" s="1">
        <f>10084+37996</f>
        <v>48080</v>
      </c>
      <c r="D21" s="1">
        <f>14182+42869</f>
        <v>57051</v>
      </c>
      <c r="E21" s="1">
        <v>89051.832999999999</v>
      </c>
      <c r="F21" s="42">
        <v>68443.402000000002</v>
      </c>
      <c r="G21" s="1">
        <v>88367.207999999999</v>
      </c>
      <c r="H21" s="1">
        <v>100297.58</v>
      </c>
      <c r="I21" s="1">
        <v>88271.164000000004</v>
      </c>
      <c r="J21" s="1">
        <v>120464.531</v>
      </c>
      <c r="K21" s="1">
        <v>121487.71034000001</v>
      </c>
      <c r="L21" s="1">
        <v>104216.181</v>
      </c>
      <c r="M21" s="1">
        <v>130686.77800000001</v>
      </c>
      <c r="N21" s="1">
        <v>135146.50700000001</v>
      </c>
      <c r="O21" s="1">
        <v>152000.29199999999</v>
      </c>
      <c r="P21" s="1">
        <v>149812.07800000001</v>
      </c>
      <c r="Q21" s="1">
        <v>157953.10200000001</v>
      </c>
      <c r="R21" s="1">
        <v>166522.215</v>
      </c>
      <c r="S21" s="1">
        <v>180386.42800000001</v>
      </c>
      <c r="T21" s="1">
        <v>203474.8</v>
      </c>
      <c r="U21" s="1">
        <v>207036.304</v>
      </c>
      <c r="V21" s="1">
        <v>233510.35699999999</v>
      </c>
      <c r="W21" s="1">
        <v>241554.07399999999</v>
      </c>
      <c r="X21" s="1">
        <v>279101.27</v>
      </c>
      <c r="Y21" s="1">
        <v>275792.272</v>
      </c>
      <c r="Z21" s="1">
        <v>295653.04700000002</v>
      </c>
      <c r="AA21" s="1">
        <v>282530.46100000001</v>
      </c>
      <c r="AB21" s="1">
        <v>272377.43099999998</v>
      </c>
      <c r="AC21" s="1">
        <v>297433.43900000001</v>
      </c>
    </row>
    <row r="22" spans="1:29">
      <c r="A22" s="1" t="s">
        <v>15</v>
      </c>
      <c r="B22" s="1">
        <f>75027+169449</f>
        <v>244476</v>
      </c>
      <c r="C22" s="1">
        <f>80316+177333</f>
        <v>257649</v>
      </c>
      <c r="D22" s="1">
        <f>97621+194460</f>
        <v>292081</v>
      </c>
      <c r="E22" s="1">
        <v>424172.65100000001</v>
      </c>
      <c r="F22" s="42">
        <v>375165.94099999999</v>
      </c>
      <c r="G22" s="1">
        <v>428691.201</v>
      </c>
      <c r="H22" s="1">
        <v>456602.20400000003</v>
      </c>
      <c r="I22" s="1">
        <v>462746.29700000002</v>
      </c>
      <c r="J22" s="1">
        <v>529101.10100000002</v>
      </c>
      <c r="K22" s="1">
        <v>582833.74600000004</v>
      </c>
      <c r="L22" s="1">
        <v>687913.23400000005</v>
      </c>
      <c r="M22" s="1">
        <v>824341.42299999995</v>
      </c>
      <c r="N22" s="1">
        <v>890965.27899999998</v>
      </c>
      <c r="O22" s="1">
        <v>943141.09299999999</v>
      </c>
      <c r="P22" s="1">
        <v>942469.14899999998</v>
      </c>
      <c r="Q22" s="1">
        <v>957269.31900000002</v>
      </c>
      <c r="R22" s="1">
        <v>856648.53599999996</v>
      </c>
      <c r="S22" s="1">
        <v>875765.9</v>
      </c>
      <c r="T22" s="1">
        <v>987176.76399999997</v>
      </c>
      <c r="U22" s="1">
        <v>792058.56299999997</v>
      </c>
      <c r="V22" s="1">
        <v>1283700.9580000001</v>
      </c>
      <c r="W22" s="1">
        <v>1545585.352</v>
      </c>
      <c r="X22" s="1">
        <v>1194286.6259999999</v>
      </c>
      <c r="Y22" s="1">
        <v>1026512.874</v>
      </c>
      <c r="Z22" s="1">
        <v>1041994.348</v>
      </c>
      <c r="AA22" s="1">
        <v>1102301.6839999999</v>
      </c>
      <c r="AB22" s="1">
        <v>1522223.65</v>
      </c>
      <c r="AC22" s="1">
        <v>1558713.007</v>
      </c>
    </row>
    <row r="23" spans="1:29">
      <c r="A23" s="1" t="s">
        <v>16</v>
      </c>
      <c r="B23" s="1">
        <f>25492+55966</f>
        <v>81458</v>
      </c>
      <c r="C23" s="1">
        <f>33867+69277</f>
        <v>103144</v>
      </c>
      <c r="D23" s="1">
        <f>34671+71639</f>
        <v>106310</v>
      </c>
      <c r="E23" s="1">
        <v>141770.12</v>
      </c>
      <c r="F23" s="42">
        <v>144325.4</v>
      </c>
      <c r="G23" s="1">
        <v>147108.34</v>
      </c>
      <c r="H23" s="1">
        <v>163831.98699999999</v>
      </c>
      <c r="I23" s="1">
        <v>171832.96400000001</v>
      </c>
      <c r="J23" s="1">
        <v>172275.524</v>
      </c>
      <c r="K23" s="1">
        <v>193235.39300000001</v>
      </c>
      <c r="L23" s="1">
        <v>236812.38699999999</v>
      </c>
      <c r="M23" s="1">
        <v>246122.97399999999</v>
      </c>
      <c r="N23" s="1">
        <v>250081.565</v>
      </c>
      <c r="O23" s="1">
        <v>233409.788</v>
      </c>
      <c r="P23" s="1">
        <v>243785.25</v>
      </c>
      <c r="Q23" s="1">
        <v>276407.91800000001</v>
      </c>
      <c r="R23" s="1">
        <v>305131.27399999998</v>
      </c>
      <c r="S23" s="1">
        <v>335300.04700000002</v>
      </c>
      <c r="T23" s="1">
        <v>372439.68900000001</v>
      </c>
      <c r="U23" s="1">
        <v>389152.03700000001</v>
      </c>
      <c r="V23" s="1">
        <v>443267.16</v>
      </c>
      <c r="W23" s="1">
        <v>439385.79700000002</v>
      </c>
      <c r="X23" s="1">
        <v>443832.88400000002</v>
      </c>
      <c r="Y23" s="1">
        <v>458683.283</v>
      </c>
      <c r="Z23" s="1">
        <v>485257.40500000003</v>
      </c>
      <c r="AA23" s="1">
        <v>529412.50100000005</v>
      </c>
      <c r="AB23" s="1">
        <v>576455.29200000002</v>
      </c>
      <c r="AC23" s="1">
        <v>606731.68799999997</v>
      </c>
    </row>
    <row r="24" spans="1:29">
      <c r="A24" s="24" t="s">
        <v>17</v>
      </c>
      <c r="B24" s="24">
        <f>14301+11764</f>
        <v>26065</v>
      </c>
      <c r="C24" s="24">
        <f>14891+13886</f>
        <v>28777</v>
      </c>
      <c r="D24" s="24">
        <f>16522+15098</f>
        <v>31620</v>
      </c>
      <c r="E24" s="24">
        <v>47972.33</v>
      </c>
      <c r="F24" s="45">
        <v>43137.678999999996</v>
      </c>
      <c r="G24" s="24">
        <v>48082.245000000003</v>
      </c>
      <c r="H24" s="24">
        <v>55649.932999999997</v>
      </c>
      <c r="I24" s="24">
        <v>52101.919000000002</v>
      </c>
      <c r="J24" s="24">
        <v>60055.154000000002</v>
      </c>
      <c r="K24" s="24">
        <v>63140.751670000005</v>
      </c>
      <c r="L24" s="24">
        <v>79155.498000000007</v>
      </c>
      <c r="M24" s="24">
        <v>82971.543000000005</v>
      </c>
      <c r="N24" s="24">
        <v>91594.793000000005</v>
      </c>
      <c r="O24" s="24">
        <v>102540.594</v>
      </c>
      <c r="P24" s="24">
        <v>97889.608999999997</v>
      </c>
      <c r="Q24" s="24">
        <v>102281.977</v>
      </c>
      <c r="R24" s="24">
        <v>120401.75</v>
      </c>
      <c r="S24" s="24">
        <v>123700.192</v>
      </c>
      <c r="T24" s="24">
        <v>134736.38399999999</v>
      </c>
      <c r="U24" s="24">
        <v>144061.416</v>
      </c>
      <c r="V24" s="24">
        <v>171060.66099999999</v>
      </c>
      <c r="W24" s="24">
        <v>188700.69899999999</v>
      </c>
      <c r="X24" s="24">
        <v>199536.633</v>
      </c>
      <c r="Y24" s="24">
        <v>187585.32500000001</v>
      </c>
      <c r="Z24" s="24">
        <v>187025.45499999999</v>
      </c>
      <c r="AA24" s="24">
        <v>212908.61199999999</v>
      </c>
      <c r="AB24" s="24">
        <v>199276.55900000001</v>
      </c>
      <c r="AC24" s="24">
        <v>209118.27499999999</v>
      </c>
    </row>
    <row r="25" spans="1:29">
      <c r="A25" s="7" t="s">
        <v>120</v>
      </c>
      <c r="B25" s="48">
        <f>SUM(B27:B39)</f>
        <v>0</v>
      </c>
      <c r="C25" s="48">
        <f t="shared" ref="C25:AC25" si="10">SUM(C27:C39)</f>
        <v>0</v>
      </c>
      <c r="D25" s="48">
        <f t="shared" si="10"/>
        <v>0</v>
      </c>
      <c r="E25" s="48">
        <f t="shared" si="10"/>
        <v>0</v>
      </c>
      <c r="F25" s="48">
        <f t="shared" si="10"/>
        <v>1177103.8929999999</v>
      </c>
      <c r="G25" s="48">
        <f t="shared" si="10"/>
        <v>0</v>
      </c>
      <c r="H25" s="48">
        <f t="shared" si="10"/>
        <v>0</v>
      </c>
      <c r="I25" s="48">
        <f t="shared" si="10"/>
        <v>1382224.1259999999</v>
      </c>
      <c r="J25" s="48">
        <f t="shared" si="10"/>
        <v>0</v>
      </c>
      <c r="K25" s="48">
        <f t="shared" si="10"/>
        <v>1800117.4312600004</v>
      </c>
      <c r="L25" s="48">
        <f t="shared" si="10"/>
        <v>1836469.7189999998</v>
      </c>
      <c r="M25" s="48">
        <f t="shared" si="10"/>
        <v>2006372.0859999997</v>
      </c>
      <c r="N25" s="48">
        <f t="shared" si="10"/>
        <v>2058778.3099999998</v>
      </c>
      <c r="O25" s="48">
        <f t="shared" si="10"/>
        <v>2074614.8379999998</v>
      </c>
      <c r="P25" s="48">
        <f t="shared" si="10"/>
        <v>2105225.622</v>
      </c>
      <c r="Q25" s="48">
        <f t="shared" si="10"/>
        <v>2164316.87</v>
      </c>
      <c r="R25" s="48">
        <f t="shared" si="10"/>
        <v>2318052.7599999998</v>
      </c>
      <c r="S25" s="48">
        <f t="shared" si="10"/>
        <v>2568989.6239999998</v>
      </c>
      <c r="T25" s="48">
        <f t="shared" si="10"/>
        <v>3033957.2140000006</v>
      </c>
      <c r="U25" s="48">
        <f t="shared" si="10"/>
        <v>2781640.6179999998</v>
      </c>
      <c r="V25" s="48">
        <f t="shared" si="10"/>
        <v>3229009.969</v>
      </c>
      <c r="W25" s="48">
        <f t="shared" si="10"/>
        <v>3379568.3000000003</v>
      </c>
      <c r="X25" s="48">
        <f t="shared" si="10"/>
        <v>3679573.6310000001</v>
      </c>
      <c r="Y25" s="48">
        <f t="shared" si="10"/>
        <v>3906490.4109999994</v>
      </c>
      <c r="Z25" s="48">
        <f t="shared" si="10"/>
        <v>4247028.9909999985</v>
      </c>
      <c r="AA25" s="48">
        <f t="shared" si="10"/>
        <v>4552914.7260000007</v>
      </c>
      <c r="AB25" s="48">
        <f t="shared" si="10"/>
        <v>5134106.2079999996</v>
      </c>
      <c r="AC25" s="48">
        <f t="shared" si="10"/>
        <v>5191138.1349999998</v>
      </c>
    </row>
    <row r="26" spans="1:29">
      <c r="A26" s="7" t="s">
        <v>119</v>
      </c>
      <c r="X26" s="1">
        <v>0</v>
      </c>
      <c r="Y26" s="1" t="e">
        <f>#REF!/1000</f>
        <v>#REF!</v>
      </c>
      <c r="AB26" s="1">
        <v>0</v>
      </c>
      <c r="AC26" s="1">
        <v>0</v>
      </c>
    </row>
    <row r="27" spans="1:29">
      <c r="A27" s="1" t="s">
        <v>85</v>
      </c>
      <c r="F27" s="42">
        <v>21184.012999999999</v>
      </c>
      <c r="I27" s="1">
        <v>24999.924999999999</v>
      </c>
      <c r="K27" s="1">
        <v>46367.457000000002</v>
      </c>
      <c r="L27" s="1">
        <v>26420.436000000002</v>
      </c>
      <c r="M27" s="1">
        <v>28116.322</v>
      </c>
      <c r="N27" s="1">
        <v>28917.031999999999</v>
      </c>
      <c r="O27" s="1">
        <v>29825.54</v>
      </c>
      <c r="P27" s="1">
        <v>31948.316999999999</v>
      </c>
      <c r="Q27" s="1">
        <v>34735.072</v>
      </c>
      <c r="R27" s="1">
        <v>37984.385000000002</v>
      </c>
      <c r="S27" s="1">
        <v>43637.982000000004</v>
      </c>
      <c r="T27" s="1">
        <v>46683.527000000002</v>
      </c>
      <c r="U27" s="1">
        <v>63905.370999999999</v>
      </c>
      <c r="V27" s="1">
        <v>62377.675999999999</v>
      </c>
      <c r="W27" s="1">
        <v>61267.63</v>
      </c>
      <c r="X27" s="1">
        <v>67064.434999999998</v>
      </c>
      <c r="Y27" s="1">
        <v>70832.012000000002</v>
      </c>
      <c r="Z27" s="1">
        <v>74079.691000000006</v>
      </c>
      <c r="AA27" s="1">
        <v>76078.44</v>
      </c>
      <c r="AB27" s="1">
        <v>82745.043999999994</v>
      </c>
      <c r="AC27" s="1">
        <v>79279.817999999999</v>
      </c>
    </row>
    <row r="28" spans="1:29">
      <c r="A28" s="1" t="s">
        <v>86</v>
      </c>
      <c r="F28" s="42">
        <v>89243.255000000005</v>
      </c>
      <c r="I28" s="1">
        <v>107028.689</v>
      </c>
      <c r="K28" s="1">
        <v>119143.05</v>
      </c>
      <c r="L28" s="1">
        <v>136656.92000000001</v>
      </c>
      <c r="M28" s="1">
        <v>140264.86499999999</v>
      </c>
      <c r="N28" s="1">
        <v>151338.32</v>
      </c>
      <c r="O28" s="1">
        <v>151516.30499999999</v>
      </c>
      <c r="P28" s="1">
        <v>161034.42300000001</v>
      </c>
      <c r="Q28" s="1">
        <v>181100.682</v>
      </c>
      <c r="R28" s="1">
        <v>210406.239</v>
      </c>
      <c r="S28" s="1">
        <v>223749.76000000001</v>
      </c>
      <c r="T28" s="1">
        <v>251436.79999999999</v>
      </c>
      <c r="U28" s="1">
        <v>247973.01699999999</v>
      </c>
      <c r="V28" s="1">
        <v>281105.22499999998</v>
      </c>
      <c r="W28" s="1">
        <v>296038.93199999997</v>
      </c>
      <c r="X28" s="1">
        <v>305383.24900000001</v>
      </c>
      <c r="Y28" s="1">
        <v>309325.462</v>
      </c>
      <c r="Z28" s="1">
        <v>347508.33600000001</v>
      </c>
      <c r="AA28" s="1">
        <v>389112.038</v>
      </c>
      <c r="AB28" s="1">
        <v>367913.32299999997</v>
      </c>
      <c r="AC28" s="1">
        <v>391066.21600000001</v>
      </c>
    </row>
    <row r="29" spans="1:29">
      <c r="A29" s="1" t="s">
        <v>87</v>
      </c>
      <c r="F29" s="42">
        <v>619485.11699999997</v>
      </c>
      <c r="I29" s="1">
        <v>737394.41299999994</v>
      </c>
      <c r="K29" s="1">
        <v>969125.00800000003</v>
      </c>
      <c r="L29" s="1">
        <v>972659.63199999998</v>
      </c>
      <c r="M29" s="1">
        <v>1087833.1499999999</v>
      </c>
      <c r="N29" s="1">
        <v>1056051.6229999999</v>
      </c>
      <c r="O29" s="1">
        <v>1112657.0009999999</v>
      </c>
      <c r="P29" s="1">
        <v>1113166.7220000001</v>
      </c>
      <c r="Q29" s="1">
        <v>1014513.4790000001</v>
      </c>
      <c r="R29" s="1">
        <v>1108538.727</v>
      </c>
      <c r="S29" s="1">
        <v>1214508.8929999999</v>
      </c>
      <c r="T29" s="1">
        <v>1457506.9750000001</v>
      </c>
      <c r="U29" s="1">
        <v>1377310.5360000001</v>
      </c>
      <c r="V29" s="1">
        <v>1491846.6850000001</v>
      </c>
      <c r="W29" s="1">
        <v>1592308.192</v>
      </c>
      <c r="X29" s="1">
        <v>1806338.1769999999</v>
      </c>
      <c r="Y29" s="1">
        <v>1861687.004</v>
      </c>
      <c r="Z29" s="1">
        <v>2056957.4029999999</v>
      </c>
      <c r="AA29" s="1">
        <v>2160610.199</v>
      </c>
      <c r="AB29" s="1">
        <v>2471755.1529999999</v>
      </c>
      <c r="AC29" s="1">
        <v>2461829.8309999998</v>
      </c>
    </row>
    <row r="30" spans="1:29">
      <c r="A30" s="1" t="s">
        <v>88</v>
      </c>
      <c r="F30" s="42">
        <v>97766.271999999997</v>
      </c>
      <c r="I30" s="1">
        <v>113842.72199999999</v>
      </c>
      <c r="K30" s="1">
        <v>127402.30018000001</v>
      </c>
      <c r="L30" s="1">
        <v>115902.33199999999</v>
      </c>
      <c r="M30" s="1">
        <v>126189.30499999999</v>
      </c>
      <c r="N30" s="1">
        <v>119815.499</v>
      </c>
      <c r="O30" s="1">
        <v>111970.21400000001</v>
      </c>
      <c r="P30" s="1">
        <v>84669.774000000005</v>
      </c>
      <c r="Q30" s="1">
        <v>164069.027</v>
      </c>
      <c r="R30" s="1">
        <v>131769.21900000001</v>
      </c>
      <c r="S30" s="1">
        <v>142710.86199999999</v>
      </c>
      <c r="T30" s="1">
        <v>162772.16099999999</v>
      </c>
      <c r="U30" s="1">
        <v>168016.83100000001</v>
      </c>
      <c r="V30" s="1">
        <v>192445.1</v>
      </c>
      <c r="W30" s="1">
        <v>192090.34400000001</v>
      </c>
      <c r="X30" s="1">
        <v>220260.533</v>
      </c>
      <c r="Y30" s="1">
        <v>234637.894</v>
      </c>
      <c r="Z30" s="1">
        <v>275453.64399999997</v>
      </c>
      <c r="AA30" s="1">
        <v>315572.84100000001</v>
      </c>
      <c r="AB30" s="1">
        <v>371857.27399999998</v>
      </c>
      <c r="AC30" s="1">
        <v>413099.05200000003</v>
      </c>
    </row>
    <row r="31" spans="1:29">
      <c r="A31" s="1" t="s">
        <v>91</v>
      </c>
      <c r="F31" s="42">
        <v>10036.58</v>
      </c>
      <c r="I31" s="1">
        <v>9884.34</v>
      </c>
      <c r="K31" s="1">
        <v>46378.853999999999</v>
      </c>
      <c r="L31" s="1">
        <v>11236.846</v>
      </c>
      <c r="M31" s="1">
        <v>14520.579</v>
      </c>
      <c r="N31" s="1">
        <v>13583.927</v>
      </c>
      <c r="O31" s="1">
        <v>12858.205</v>
      </c>
      <c r="P31" s="1">
        <v>16844.882000000001</v>
      </c>
      <c r="Q31" s="1">
        <v>19182.044999999998</v>
      </c>
      <c r="R31" s="1">
        <v>19661.452000000001</v>
      </c>
      <c r="S31" s="1">
        <v>22357.263999999999</v>
      </c>
      <c r="T31" s="1">
        <v>28439.9</v>
      </c>
      <c r="U31" s="1">
        <v>27897.812000000002</v>
      </c>
      <c r="V31" s="1">
        <v>24617.558000000001</v>
      </c>
      <c r="W31" s="1">
        <v>30102.136999999999</v>
      </c>
      <c r="X31" s="1">
        <v>33413.974999999999</v>
      </c>
      <c r="Y31" s="1">
        <v>54299.695</v>
      </c>
      <c r="Z31" s="1">
        <v>40691.792000000001</v>
      </c>
      <c r="AA31" s="1">
        <v>40018.118999999999</v>
      </c>
      <c r="AB31" s="1">
        <v>47814.43</v>
      </c>
      <c r="AC31" s="1">
        <v>44731.764999999999</v>
      </c>
    </row>
    <row r="32" spans="1:29">
      <c r="A32" s="1" t="s">
        <v>92</v>
      </c>
      <c r="F32" s="42">
        <v>28653.394</v>
      </c>
      <c r="I32" s="1">
        <v>29604.134999999998</v>
      </c>
      <c r="K32" s="1">
        <v>31786.98</v>
      </c>
      <c r="L32" s="1">
        <v>41767.275999999998</v>
      </c>
      <c r="M32" s="1">
        <v>47443.445</v>
      </c>
      <c r="N32" s="1">
        <v>58309.182000000001</v>
      </c>
      <c r="O32" s="1">
        <v>60072.002</v>
      </c>
      <c r="P32" s="1">
        <v>48601.595999999998</v>
      </c>
      <c r="Q32" s="1">
        <v>54058.99</v>
      </c>
      <c r="R32" s="1">
        <v>51147.224000000002</v>
      </c>
      <c r="S32" s="1">
        <v>55406.588000000003</v>
      </c>
      <c r="T32" s="1">
        <v>70066.771999999997</v>
      </c>
      <c r="U32" s="1">
        <v>74279.422000000006</v>
      </c>
      <c r="V32" s="1">
        <v>78218.180999999997</v>
      </c>
      <c r="W32" s="1">
        <v>75434.592999999993</v>
      </c>
      <c r="X32" s="1">
        <v>77455.945999999996</v>
      </c>
      <c r="Y32" s="1">
        <v>80311.675000000003</v>
      </c>
      <c r="Z32" s="1">
        <v>88579.404999999999</v>
      </c>
      <c r="AA32" s="1">
        <v>96461.274000000005</v>
      </c>
      <c r="AB32" s="1">
        <v>102675.023</v>
      </c>
      <c r="AC32" s="1">
        <v>110018.943</v>
      </c>
    </row>
    <row r="33" spans="1:29">
      <c r="A33" s="1" t="s">
        <v>100</v>
      </c>
      <c r="F33" s="42">
        <v>16525.89</v>
      </c>
      <c r="I33" s="1">
        <v>18228.496999999999</v>
      </c>
      <c r="K33" s="1">
        <v>26667.207999999999</v>
      </c>
      <c r="L33" s="1">
        <v>26668.683000000001</v>
      </c>
      <c r="M33" s="1">
        <v>28493.735000000001</v>
      </c>
      <c r="N33" s="1">
        <v>23344.511999999999</v>
      </c>
      <c r="O33" s="1">
        <v>32280.9</v>
      </c>
      <c r="P33" s="1">
        <v>32322.718000000001</v>
      </c>
      <c r="Q33" s="1">
        <v>38352.165999999997</v>
      </c>
      <c r="R33" s="1">
        <v>40453.896999999997</v>
      </c>
      <c r="S33" s="1">
        <v>43827.591</v>
      </c>
      <c r="T33" s="1">
        <v>47433.27</v>
      </c>
      <c r="U33" s="1">
        <v>52085.656000000003</v>
      </c>
      <c r="V33" s="1">
        <v>57804.561999999998</v>
      </c>
      <c r="W33" s="1">
        <v>58563.292999999998</v>
      </c>
      <c r="X33" s="1">
        <v>59911.792999999998</v>
      </c>
      <c r="Y33" s="1">
        <v>60085.139000000003</v>
      </c>
      <c r="Z33" s="1">
        <v>62681.196000000004</v>
      </c>
      <c r="AA33" s="1">
        <v>64750.724999999999</v>
      </c>
      <c r="AB33" s="1">
        <v>62272.623</v>
      </c>
      <c r="AC33" s="1">
        <v>68138.491999999998</v>
      </c>
    </row>
    <row r="34" spans="1:29">
      <c r="A34" s="1" t="s">
        <v>102</v>
      </c>
      <c r="F34" s="42">
        <v>25968.707999999999</v>
      </c>
      <c r="I34" s="1">
        <v>30009.348000000002</v>
      </c>
      <c r="K34" s="1">
        <v>37393.512000000002</v>
      </c>
      <c r="L34" s="1">
        <v>43070.171999999999</v>
      </c>
      <c r="M34" s="1">
        <v>46199.095000000001</v>
      </c>
      <c r="N34" s="1">
        <v>47937.750999999997</v>
      </c>
      <c r="O34" s="1">
        <v>49668.913</v>
      </c>
      <c r="P34" s="1">
        <v>67673.001000000004</v>
      </c>
      <c r="Q34" s="1">
        <v>73011.498999999996</v>
      </c>
      <c r="R34" s="1">
        <v>80678.748000000007</v>
      </c>
      <c r="S34" s="1">
        <v>86514.591</v>
      </c>
      <c r="T34" s="1">
        <v>92330.505999999994</v>
      </c>
      <c r="U34" s="1">
        <v>64970.506000000001</v>
      </c>
      <c r="V34" s="1">
        <v>79325.072</v>
      </c>
      <c r="W34" s="1">
        <v>75991.076000000001</v>
      </c>
      <c r="X34" s="1">
        <v>77862.997000000003</v>
      </c>
      <c r="Y34" s="1">
        <v>79211.879000000001</v>
      </c>
      <c r="Z34" s="1">
        <v>78156.558999999994</v>
      </c>
      <c r="AA34" s="1">
        <v>94717.224000000002</v>
      </c>
      <c r="AB34" s="1">
        <v>100935.879</v>
      </c>
      <c r="AC34" s="1">
        <v>109241.89200000001</v>
      </c>
    </row>
    <row r="35" spans="1:29">
      <c r="A35" s="1" t="s">
        <v>105</v>
      </c>
      <c r="F35" s="42">
        <v>34581.24</v>
      </c>
      <c r="I35" s="1">
        <v>45678.733999999997</v>
      </c>
      <c r="K35" s="1">
        <v>50645.013079999997</v>
      </c>
      <c r="L35" s="1">
        <v>49375.057000000001</v>
      </c>
      <c r="M35" s="1">
        <v>57663.692000000003</v>
      </c>
      <c r="N35" s="1">
        <v>60616.807000000001</v>
      </c>
      <c r="O35" s="1">
        <v>65850.767999999996</v>
      </c>
      <c r="P35" s="1">
        <v>64350.726000000002</v>
      </c>
      <c r="Q35" s="1">
        <v>81838.308000000005</v>
      </c>
      <c r="R35" s="1">
        <v>86764.994999999995</v>
      </c>
      <c r="S35" s="1">
        <v>92892.346000000005</v>
      </c>
      <c r="T35" s="1">
        <v>102555.32799999999</v>
      </c>
      <c r="U35" s="1">
        <v>104478.79</v>
      </c>
      <c r="V35" s="1">
        <v>108053.738</v>
      </c>
      <c r="W35" s="1">
        <v>109958.694</v>
      </c>
      <c r="X35" s="1">
        <v>112664.90399999999</v>
      </c>
      <c r="Y35" s="1">
        <v>110612.495</v>
      </c>
      <c r="Z35" s="1">
        <v>116549.447</v>
      </c>
      <c r="AA35" s="1">
        <v>128543.504</v>
      </c>
      <c r="AB35" s="1">
        <v>135173.136</v>
      </c>
      <c r="AC35" s="1">
        <v>132414.66699999999</v>
      </c>
    </row>
    <row r="36" spans="1:29">
      <c r="A36" s="1" t="s">
        <v>109</v>
      </c>
      <c r="F36" s="42">
        <v>60869.080999999998</v>
      </c>
      <c r="I36" s="1">
        <v>65758.278999999995</v>
      </c>
      <c r="K36" s="1">
        <v>110040.745</v>
      </c>
      <c r="L36" s="1">
        <v>114549.197</v>
      </c>
      <c r="M36" s="1">
        <v>115936.292</v>
      </c>
      <c r="N36" s="1">
        <v>140017.51699999999</v>
      </c>
      <c r="O36" s="1">
        <v>136483.83799999999</v>
      </c>
      <c r="P36" s="1">
        <v>143057.323</v>
      </c>
      <c r="Q36" s="1">
        <v>151502.19500000001</v>
      </c>
      <c r="R36" s="1">
        <v>169608.73499999999</v>
      </c>
      <c r="S36" s="1">
        <v>197754.552</v>
      </c>
      <c r="T36" s="1">
        <v>273403.783</v>
      </c>
      <c r="U36" s="1">
        <v>149405.47899999999</v>
      </c>
      <c r="V36" s="1">
        <v>285122.13099999999</v>
      </c>
      <c r="W36" s="1">
        <v>305189.00699999998</v>
      </c>
      <c r="X36" s="1">
        <v>324652.495</v>
      </c>
      <c r="Y36" s="1">
        <v>341305.98800000001</v>
      </c>
      <c r="Z36" s="1">
        <v>388478.26299999998</v>
      </c>
      <c r="AA36" s="1">
        <v>406980.04200000002</v>
      </c>
      <c r="AB36" s="1">
        <v>526121.42200000002</v>
      </c>
      <c r="AC36" s="1">
        <v>526432.72</v>
      </c>
    </row>
    <row r="37" spans="1:29">
      <c r="A37" s="1" t="s">
        <v>113</v>
      </c>
      <c r="F37" s="42">
        <v>48882.218999999997</v>
      </c>
      <c r="I37" s="1">
        <v>60943.17</v>
      </c>
      <c r="K37" s="1">
        <v>84180.159</v>
      </c>
      <c r="L37" s="1">
        <v>124054.63800000001</v>
      </c>
      <c r="M37" s="1">
        <v>113985.27800000001</v>
      </c>
      <c r="N37" s="1">
        <v>115330.95600000001</v>
      </c>
      <c r="O37" s="1">
        <v>111058.08</v>
      </c>
      <c r="P37" s="1">
        <v>129977.999</v>
      </c>
      <c r="Q37" s="1">
        <v>125985.239</v>
      </c>
      <c r="R37" s="1">
        <v>151017.761</v>
      </c>
      <c r="S37" s="1">
        <v>159607.834</v>
      </c>
      <c r="T37" s="1">
        <v>166849.111</v>
      </c>
      <c r="U37" s="1">
        <v>164169.59</v>
      </c>
      <c r="V37" s="1">
        <v>221918.14199999999</v>
      </c>
      <c r="W37" s="1">
        <v>238728.88500000001</v>
      </c>
      <c r="X37" s="1">
        <v>232475.37700000001</v>
      </c>
      <c r="Y37" s="1">
        <v>265404.022</v>
      </c>
      <c r="Z37" s="1">
        <v>234522.209</v>
      </c>
      <c r="AA37" s="1">
        <v>278814</v>
      </c>
      <c r="AB37" s="1">
        <v>312258.60200000001</v>
      </c>
      <c r="AC37" s="1">
        <v>326765.674</v>
      </c>
    </row>
    <row r="38" spans="1:29">
      <c r="A38" s="1" t="s">
        <v>115</v>
      </c>
      <c r="F38" s="42">
        <v>111209.514</v>
      </c>
      <c r="I38" s="1">
        <v>123574.162</v>
      </c>
      <c r="K38" s="1">
        <v>137538.47200000001</v>
      </c>
      <c r="L38" s="1">
        <v>156358.285</v>
      </c>
      <c r="M38" s="1">
        <v>178367.51800000001</v>
      </c>
      <c r="N38" s="1">
        <v>223192.04199999999</v>
      </c>
      <c r="O38" s="1">
        <v>177894.79</v>
      </c>
      <c r="P38" s="1">
        <v>187101.76699999999</v>
      </c>
      <c r="Q38" s="1">
        <v>198099.93400000001</v>
      </c>
      <c r="R38" s="1">
        <v>200663.663</v>
      </c>
      <c r="S38" s="1">
        <v>257769.315</v>
      </c>
      <c r="T38" s="1">
        <v>300609.36200000002</v>
      </c>
      <c r="U38" s="1">
        <v>257142.58499999999</v>
      </c>
      <c r="V38" s="1">
        <v>302716.30900000001</v>
      </c>
      <c r="W38" s="1">
        <v>302455.28000000003</v>
      </c>
      <c r="X38" s="1">
        <v>318626.84600000002</v>
      </c>
      <c r="Y38" s="1">
        <v>391701.76000000001</v>
      </c>
      <c r="Z38" s="1">
        <v>432278.80699999997</v>
      </c>
      <c r="AA38" s="1">
        <v>446684.62199999997</v>
      </c>
      <c r="AB38" s="1">
        <v>506280.50599999999</v>
      </c>
      <c r="AC38" s="1">
        <v>474124.75599999999</v>
      </c>
    </row>
    <row r="39" spans="1:29">
      <c r="A39" s="24" t="s">
        <v>117</v>
      </c>
      <c r="B39" s="24"/>
      <c r="C39" s="24"/>
      <c r="D39" s="24"/>
      <c r="E39" s="24"/>
      <c r="F39" s="45">
        <v>12698.61</v>
      </c>
      <c r="G39" s="24"/>
      <c r="H39" s="24"/>
      <c r="I39" s="24">
        <v>15277.712</v>
      </c>
      <c r="J39" s="24"/>
      <c r="K39" s="24">
        <v>13448.673000000001</v>
      </c>
      <c r="L39" s="24">
        <v>17750.244999999999</v>
      </c>
      <c r="M39" s="24">
        <v>21358.81</v>
      </c>
      <c r="N39" s="24">
        <v>20323.142</v>
      </c>
      <c r="O39" s="24">
        <v>22478.281999999999</v>
      </c>
      <c r="P39" s="24">
        <v>24476.374</v>
      </c>
      <c r="Q39" s="24">
        <v>27868.234</v>
      </c>
      <c r="R39" s="24">
        <v>29357.715</v>
      </c>
      <c r="S39" s="24">
        <v>28252.045999999998</v>
      </c>
      <c r="T39" s="24">
        <v>33869.718999999997</v>
      </c>
      <c r="U39" s="24">
        <v>30005.023000000001</v>
      </c>
      <c r="V39" s="24">
        <v>43459.59</v>
      </c>
      <c r="W39" s="24">
        <v>41440.237000000001</v>
      </c>
      <c r="X39" s="24">
        <v>43462.904000000002</v>
      </c>
      <c r="Y39" s="24">
        <v>47075.385999999999</v>
      </c>
      <c r="Z39" s="24">
        <v>51092.239000000001</v>
      </c>
      <c r="AA39" s="24">
        <v>54571.697999999997</v>
      </c>
      <c r="AB39" s="24">
        <v>46303.792999999998</v>
      </c>
      <c r="AC39" s="24">
        <v>53994.309000000001</v>
      </c>
    </row>
    <row r="40" spans="1:29">
      <c r="A40" s="7" t="s">
        <v>121</v>
      </c>
      <c r="B40" s="48">
        <f>SUM(B42:B53)</f>
        <v>0</v>
      </c>
      <c r="C40" s="48">
        <f t="shared" ref="C40:AC40" si="11">SUM(C42:C53)</f>
        <v>0</v>
      </c>
      <c r="D40" s="48">
        <f t="shared" si="11"/>
        <v>0</v>
      </c>
      <c r="E40" s="48">
        <f t="shared" si="11"/>
        <v>0</v>
      </c>
      <c r="F40" s="48">
        <f t="shared" si="11"/>
        <v>1293265.986</v>
      </c>
      <c r="G40" s="48">
        <f t="shared" si="11"/>
        <v>0</v>
      </c>
      <c r="H40" s="48">
        <f t="shared" si="11"/>
        <v>0</v>
      </c>
      <c r="I40" s="48">
        <f t="shared" si="11"/>
        <v>1433162.65</v>
      </c>
      <c r="J40" s="48">
        <f t="shared" si="11"/>
        <v>0</v>
      </c>
      <c r="K40" s="48">
        <f t="shared" si="11"/>
        <v>1706058.86622</v>
      </c>
      <c r="L40" s="48">
        <f t="shared" si="11"/>
        <v>1975026.352</v>
      </c>
      <c r="M40" s="48">
        <f t="shared" si="11"/>
        <v>2204165.0269999998</v>
      </c>
      <c r="N40" s="48">
        <f t="shared" si="11"/>
        <v>2187156.855</v>
      </c>
      <c r="O40" s="48">
        <f t="shared" si="11"/>
        <v>2226656.227</v>
      </c>
      <c r="P40" s="48">
        <f t="shared" si="11"/>
        <v>2370004.6680000001</v>
      </c>
      <c r="Q40" s="48">
        <f t="shared" si="11"/>
        <v>2347347.7309999997</v>
      </c>
      <c r="R40" s="48">
        <f t="shared" si="11"/>
        <v>2393164.6990000005</v>
      </c>
      <c r="S40" s="48">
        <f t="shared" si="11"/>
        <v>2613305.31</v>
      </c>
      <c r="T40" s="48">
        <f t="shared" si="11"/>
        <v>3010458.6680000005</v>
      </c>
      <c r="U40" s="48">
        <f t="shared" si="11"/>
        <v>3132593.5720000002</v>
      </c>
      <c r="V40" s="48">
        <f t="shared" si="11"/>
        <v>3385869.7470000004</v>
      </c>
      <c r="W40" s="48">
        <f t="shared" si="11"/>
        <v>3553641.0019999999</v>
      </c>
      <c r="X40" s="48">
        <f t="shared" si="11"/>
        <v>3629719.585</v>
      </c>
      <c r="Y40" s="48">
        <f t="shared" si="11"/>
        <v>3752676.8420000006</v>
      </c>
      <c r="Z40" s="48">
        <f t="shared" si="11"/>
        <v>3934581.2749999994</v>
      </c>
      <c r="AA40" s="48">
        <f t="shared" si="11"/>
        <v>3967875.463</v>
      </c>
      <c r="AB40" s="48">
        <f t="shared" si="11"/>
        <v>4080357.0070000002</v>
      </c>
      <c r="AC40" s="48">
        <f t="shared" si="11"/>
        <v>4228012.9559999993</v>
      </c>
    </row>
    <row r="41" spans="1:29">
      <c r="A41" s="7" t="s">
        <v>119</v>
      </c>
      <c r="X41" s="1">
        <v>0</v>
      </c>
      <c r="Y41" s="1" t="e">
        <f>#REF!/1000</f>
        <v>#REF!</v>
      </c>
      <c r="AB41" s="1">
        <v>0</v>
      </c>
      <c r="AC41" s="1">
        <v>0</v>
      </c>
    </row>
    <row r="42" spans="1:29">
      <c r="A42" s="1" t="s">
        <v>93</v>
      </c>
      <c r="F42" s="42">
        <v>168430.386</v>
      </c>
      <c r="I42" s="1">
        <v>195191.49400000001</v>
      </c>
      <c r="K42" s="1">
        <v>331093.973</v>
      </c>
      <c r="L42" s="1">
        <v>303114.36599999998</v>
      </c>
      <c r="M42" s="1">
        <v>313238.95699999999</v>
      </c>
      <c r="N42" s="1">
        <v>279475.67200000002</v>
      </c>
      <c r="O42" s="1">
        <v>268473.94500000001</v>
      </c>
      <c r="P42" s="1">
        <v>390929.84399999998</v>
      </c>
      <c r="Q42" s="1">
        <v>312781.19</v>
      </c>
      <c r="R42" s="1">
        <v>237766.18799999999</v>
      </c>
      <c r="S42" s="1">
        <v>266252.86099999998</v>
      </c>
      <c r="T42" s="1">
        <v>304098.48</v>
      </c>
      <c r="U42" s="1">
        <v>329381.58</v>
      </c>
      <c r="V42" s="1">
        <v>375926.80099999998</v>
      </c>
      <c r="W42" s="1">
        <v>364109.19300000003</v>
      </c>
      <c r="X42" s="1">
        <v>384242.36200000002</v>
      </c>
      <c r="Y42" s="1">
        <v>449877.10600000003</v>
      </c>
      <c r="Z42" s="1">
        <v>480676.41499999998</v>
      </c>
      <c r="AA42" s="1">
        <v>462463.478</v>
      </c>
      <c r="AB42" s="1">
        <v>454247.51500000001</v>
      </c>
      <c r="AC42" s="1">
        <v>483619.88</v>
      </c>
    </row>
    <row r="43" spans="1:29">
      <c r="A43" s="1" t="s">
        <v>58</v>
      </c>
      <c r="F43" s="42">
        <v>153920.41899999999</v>
      </c>
      <c r="I43" s="1">
        <v>155895.272</v>
      </c>
      <c r="K43" s="1">
        <v>188410.67600000001</v>
      </c>
      <c r="L43" s="1">
        <v>218040.51699999999</v>
      </c>
      <c r="M43" s="1">
        <v>233802.905</v>
      </c>
      <c r="N43" s="1">
        <v>346161.37800000003</v>
      </c>
      <c r="O43" s="1">
        <v>303845.36800000002</v>
      </c>
      <c r="P43" s="1">
        <v>307481.56099999999</v>
      </c>
      <c r="Q43" s="1">
        <v>334229.80599999998</v>
      </c>
      <c r="R43" s="1">
        <v>346246.60600000003</v>
      </c>
      <c r="S43" s="1">
        <v>410441.90100000001</v>
      </c>
      <c r="T43" s="1">
        <v>446986.08</v>
      </c>
      <c r="U43" s="1">
        <v>408484.50900000002</v>
      </c>
      <c r="V43" s="1">
        <v>427473.76899999997</v>
      </c>
      <c r="W43" s="1">
        <v>450521.30800000002</v>
      </c>
      <c r="X43" s="1">
        <v>500888.609</v>
      </c>
      <c r="Y43" s="1">
        <v>432908.57400000002</v>
      </c>
      <c r="Z43" s="1">
        <v>460129.81699999998</v>
      </c>
      <c r="AA43" s="1">
        <v>459393.04100000003</v>
      </c>
      <c r="AB43" s="1">
        <v>485367.79399999999</v>
      </c>
      <c r="AC43" s="1">
        <v>464346.95299999998</v>
      </c>
    </row>
    <row r="44" spans="1:29">
      <c r="A44" s="1" t="s">
        <v>94</v>
      </c>
      <c r="F44" s="42">
        <v>52173.438999999998</v>
      </c>
      <c r="I44" s="1">
        <v>72975.168999999994</v>
      </c>
      <c r="K44" s="1">
        <v>71055.09</v>
      </c>
      <c r="L44" s="1">
        <v>83444.138000000006</v>
      </c>
      <c r="M44" s="1">
        <v>108760.44100000001</v>
      </c>
      <c r="N44" s="1">
        <v>99831.213000000003</v>
      </c>
      <c r="O44" s="1">
        <v>123724.558</v>
      </c>
      <c r="P44" s="1">
        <v>110700.367</v>
      </c>
      <c r="Q44" s="1">
        <v>111410.522</v>
      </c>
      <c r="R44" s="1">
        <v>109681.17</v>
      </c>
      <c r="S44" s="1">
        <v>108574.399</v>
      </c>
      <c r="T44" s="1">
        <v>122585.781</v>
      </c>
      <c r="U44" s="1">
        <v>148341.04</v>
      </c>
      <c r="V44" s="1">
        <v>171326.07399999999</v>
      </c>
      <c r="W44" s="1">
        <v>167387.815</v>
      </c>
      <c r="X44" s="1">
        <v>151711.894</v>
      </c>
      <c r="Y44" s="1">
        <v>166025.13200000001</v>
      </c>
      <c r="Z44" s="1">
        <v>151874.26699999999</v>
      </c>
      <c r="AA44" s="1">
        <v>174417.88099999999</v>
      </c>
      <c r="AB44" s="1">
        <v>163000.80300000001</v>
      </c>
      <c r="AC44" s="1">
        <v>165808.51699999999</v>
      </c>
    </row>
    <row r="45" spans="1:29">
      <c r="A45" s="1" t="s">
        <v>95</v>
      </c>
      <c r="F45" s="42">
        <v>59369.548000000003</v>
      </c>
      <c r="I45" s="1">
        <v>71673.273000000001</v>
      </c>
      <c r="K45" s="1">
        <v>77351.970799999996</v>
      </c>
      <c r="L45" s="1">
        <v>101257.156</v>
      </c>
      <c r="M45" s="1">
        <v>86529.766000000003</v>
      </c>
      <c r="N45" s="1">
        <v>95146.123999999996</v>
      </c>
      <c r="O45" s="1">
        <v>91478.373000000007</v>
      </c>
      <c r="P45" s="1">
        <v>91179.267000000007</v>
      </c>
      <c r="Q45" s="1">
        <v>98906.123000000007</v>
      </c>
      <c r="R45" s="1">
        <v>103919.38499999999</v>
      </c>
      <c r="S45" s="1">
        <v>109479.72199999999</v>
      </c>
      <c r="T45" s="1">
        <v>120840.626</v>
      </c>
      <c r="U45" s="1">
        <v>121579.29300000001</v>
      </c>
      <c r="V45" s="1">
        <v>140498.85500000001</v>
      </c>
      <c r="W45" s="1">
        <v>152933.73800000001</v>
      </c>
      <c r="X45" s="1">
        <v>160596.36300000001</v>
      </c>
      <c r="Y45" s="1">
        <v>167059.73800000001</v>
      </c>
      <c r="Z45" s="1">
        <v>172676.18700000001</v>
      </c>
      <c r="AA45" s="1">
        <v>173894.39</v>
      </c>
      <c r="AB45" s="1">
        <v>166484.89300000001</v>
      </c>
      <c r="AC45" s="1">
        <v>177453.81</v>
      </c>
    </row>
    <row r="46" spans="1:29">
      <c r="A46" s="1" t="s">
        <v>98</v>
      </c>
      <c r="F46" s="42">
        <v>248103.96100000001</v>
      </c>
      <c r="I46" s="1">
        <v>270270.17300000001</v>
      </c>
      <c r="K46" s="1">
        <v>287084.88</v>
      </c>
      <c r="L46" s="1">
        <v>361673.88699999999</v>
      </c>
      <c r="M46" s="1">
        <v>396260.86800000002</v>
      </c>
      <c r="N46" s="1">
        <v>401830.288</v>
      </c>
      <c r="O46" s="1">
        <v>413500.44199999998</v>
      </c>
      <c r="P46" s="1">
        <v>394263.85600000003</v>
      </c>
      <c r="Q46" s="1">
        <v>409435.51799999998</v>
      </c>
      <c r="R46" s="1">
        <v>449112.61700000003</v>
      </c>
      <c r="S46" s="1">
        <v>470277.77899999998</v>
      </c>
      <c r="T46" s="1">
        <v>572869.35600000003</v>
      </c>
      <c r="U46" s="1">
        <v>625179.04500000004</v>
      </c>
      <c r="V46" s="1">
        <v>638129.49199999997</v>
      </c>
      <c r="W46" s="1">
        <v>638372.52599999995</v>
      </c>
      <c r="X46" s="1">
        <v>668046.74800000002</v>
      </c>
      <c r="Y46" s="1">
        <v>679842.84299999999</v>
      </c>
      <c r="Z46" s="1">
        <v>693514.07700000005</v>
      </c>
      <c r="AA46" s="1">
        <v>737740.64199999999</v>
      </c>
      <c r="AB46" s="1">
        <v>762664.978</v>
      </c>
      <c r="AC46" s="1">
        <v>785219.50399999996</v>
      </c>
    </row>
    <row r="47" spans="1:29">
      <c r="A47" s="1" t="s">
        <v>99</v>
      </c>
      <c r="F47" s="42">
        <v>116836.08900000001</v>
      </c>
      <c r="I47" s="1">
        <v>141086.65900000001</v>
      </c>
      <c r="K47" s="1">
        <v>127940.58100000001</v>
      </c>
      <c r="L47" s="1">
        <v>200218.29</v>
      </c>
      <c r="M47" s="1">
        <v>159623.17199999999</v>
      </c>
      <c r="N47" s="1">
        <v>162956.80100000001</v>
      </c>
      <c r="O47" s="1">
        <v>172666.2</v>
      </c>
      <c r="P47" s="1">
        <v>171314.693</v>
      </c>
      <c r="Q47" s="1">
        <v>168318.48699999999</v>
      </c>
      <c r="R47" s="1">
        <v>189957.03599999999</v>
      </c>
      <c r="S47" s="1">
        <v>217033.17300000001</v>
      </c>
      <c r="T47" s="1">
        <v>277033.15000000002</v>
      </c>
      <c r="U47" s="1">
        <v>351273.56199999998</v>
      </c>
      <c r="V47" s="1">
        <v>359815.78499999997</v>
      </c>
      <c r="W47" s="1">
        <v>318565.266</v>
      </c>
      <c r="X47" s="1">
        <v>312376.29499999998</v>
      </c>
      <c r="Y47" s="1">
        <v>325330.74</v>
      </c>
      <c r="Z47" s="1">
        <v>397940.00300000003</v>
      </c>
      <c r="AA47" s="1">
        <v>392987.02799999999</v>
      </c>
      <c r="AB47" s="1">
        <v>411708.39</v>
      </c>
      <c r="AC47" s="1">
        <v>415887.82699999999</v>
      </c>
    </row>
    <row r="48" spans="1:29">
      <c r="A48" s="1" t="s">
        <v>59</v>
      </c>
      <c r="F48" s="42">
        <v>67815.960999999996</v>
      </c>
      <c r="I48" s="1">
        <v>80321.210000000006</v>
      </c>
      <c r="K48" s="1">
        <v>100719.378</v>
      </c>
      <c r="L48" s="1">
        <v>109922.58</v>
      </c>
      <c r="M48" s="1">
        <v>246340.30600000001</v>
      </c>
      <c r="N48" s="1">
        <v>134133.37400000001</v>
      </c>
      <c r="O48" s="1">
        <v>131919.41500000001</v>
      </c>
      <c r="P48" s="1">
        <v>147805.902</v>
      </c>
      <c r="Q48" s="1">
        <v>160708.41200000001</v>
      </c>
      <c r="R48" s="1">
        <v>153004.98499999999</v>
      </c>
      <c r="S48" s="1">
        <v>150868.21599999999</v>
      </c>
      <c r="T48" s="1">
        <v>166427.29699999999</v>
      </c>
      <c r="U48" s="1">
        <v>167590.111</v>
      </c>
      <c r="V48" s="1">
        <v>167919.56099999999</v>
      </c>
      <c r="W48" s="1">
        <v>211099.32</v>
      </c>
      <c r="X48" s="1">
        <v>223669.87400000001</v>
      </c>
      <c r="Y48" s="1">
        <v>203411.353</v>
      </c>
      <c r="Z48" s="1">
        <v>211951.454</v>
      </c>
      <c r="AA48" s="1">
        <v>236897.58600000001</v>
      </c>
      <c r="AB48" s="1">
        <v>251315.57399999999</v>
      </c>
      <c r="AC48" s="1">
        <v>248341.47899999999</v>
      </c>
    </row>
    <row r="49" spans="1:29">
      <c r="A49" s="1" t="s">
        <v>101</v>
      </c>
      <c r="F49" s="42">
        <v>44734.182000000001</v>
      </c>
      <c r="I49" s="1">
        <v>48277.436000000002</v>
      </c>
      <c r="K49" s="1">
        <v>60602.178999999996</v>
      </c>
      <c r="L49" s="1">
        <v>60802.915999999997</v>
      </c>
      <c r="M49" s="1">
        <v>61463.337</v>
      </c>
      <c r="N49" s="1">
        <v>67362.501999999993</v>
      </c>
      <c r="O49" s="1">
        <v>73463.452000000005</v>
      </c>
      <c r="P49" s="1">
        <v>74873.501000000004</v>
      </c>
      <c r="Q49" s="1">
        <v>79510.543000000005</v>
      </c>
      <c r="R49" s="1">
        <v>80983.406000000003</v>
      </c>
      <c r="S49" s="1">
        <v>82150.767000000007</v>
      </c>
      <c r="T49" s="1">
        <v>88682.123000000007</v>
      </c>
      <c r="U49" s="1">
        <v>71089.731</v>
      </c>
      <c r="V49" s="1">
        <v>101263.81299999999</v>
      </c>
      <c r="W49" s="1">
        <v>107930.753</v>
      </c>
      <c r="X49" s="1">
        <v>114446.09699999999</v>
      </c>
      <c r="Y49" s="1">
        <v>119358.86900000001</v>
      </c>
      <c r="Z49" s="1">
        <v>127132.508</v>
      </c>
      <c r="AA49" s="1">
        <v>129092.891</v>
      </c>
      <c r="AB49" s="1">
        <v>134293.96400000001</v>
      </c>
      <c r="AC49" s="1">
        <v>134103.201</v>
      </c>
    </row>
    <row r="50" spans="1:29">
      <c r="A50" s="1" t="s">
        <v>107</v>
      </c>
      <c r="F50" s="42">
        <v>25390.288</v>
      </c>
      <c r="I50" s="1">
        <v>25405.058000000001</v>
      </c>
      <c r="K50" s="1">
        <v>25975.210999999999</v>
      </c>
      <c r="L50" s="1">
        <v>25068.651999999998</v>
      </c>
      <c r="M50" s="1">
        <v>28728.516</v>
      </c>
      <c r="N50" s="1">
        <v>31658.213</v>
      </c>
      <c r="O50" s="1">
        <v>34564.502</v>
      </c>
      <c r="P50" s="1">
        <v>37255.252</v>
      </c>
      <c r="Q50" s="1">
        <v>47471.021000000001</v>
      </c>
      <c r="R50" s="1">
        <v>46755.9</v>
      </c>
      <c r="S50" s="1">
        <v>49852.124000000003</v>
      </c>
      <c r="T50" s="1">
        <v>60283.953000000001</v>
      </c>
      <c r="U50" s="1">
        <v>60645.667999999998</v>
      </c>
      <c r="V50" s="1">
        <v>75938.118000000002</v>
      </c>
      <c r="W50" s="1">
        <v>74994.008000000002</v>
      </c>
      <c r="X50" s="1">
        <v>57673.495000000003</v>
      </c>
      <c r="Y50" s="1">
        <v>61532.714999999997</v>
      </c>
      <c r="Z50" s="1">
        <v>61665.292000000001</v>
      </c>
      <c r="AA50" s="1">
        <v>62535.406000000003</v>
      </c>
      <c r="AB50" s="1">
        <v>62666.803</v>
      </c>
      <c r="AC50" s="1">
        <v>61245.122000000003</v>
      </c>
    </row>
    <row r="51" spans="1:29">
      <c r="A51" s="1" t="s">
        <v>108</v>
      </c>
      <c r="F51" s="42">
        <v>236592.264</v>
      </c>
      <c r="I51" s="1">
        <v>252137.64199999999</v>
      </c>
      <c r="K51" s="1">
        <v>303071.70199999999</v>
      </c>
      <c r="L51" s="1">
        <v>374946.93099999998</v>
      </c>
      <c r="M51" s="1">
        <v>415992.42300000001</v>
      </c>
      <c r="N51" s="1">
        <v>419120.054</v>
      </c>
      <c r="O51" s="1">
        <v>448951.80699999997</v>
      </c>
      <c r="P51" s="1">
        <v>476744.07400000002</v>
      </c>
      <c r="Q51" s="1">
        <v>456599.83299999998</v>
      </c>
      <c r="R51" s="1">
        <v>498957.61099999998</v>
      </c>
      <c r="S51" s="1">
        <v>538315.76500000001</v>
      </c>
      <c r="T51" s="1">
        <v>638259.07900000003</v>
      </c>
      <c r="U51" s="1">
        <v>619636.73300000001</v>
      </c>
      <c r="V51" s="1">
        <v>676568.08</v>
      </c>
      <c r="W51" s="1">
        <v>806990.25399999996</v>
      </c>
      <c r="X51" s="1">
        <v>778227.76399999997</v>
      </c>
      <c r="Y51" s="1">
        <v>854781.25699999998</v>
      </c>
      <c r="Z51" s="1">
        <v>868716.36600000004</v>
      </c>
      <c r="AA51" s="1">
        <v>818194.62600000005</v>
      </c>
      <c r="AB51" s="1">
        <v>874241.23600000003</v>
      </c>
      <c r="AC51" s="1">
        <v>964743.51899999997</v>
      </c>
    </row>
    <row r="52" spans="1:29">
      <c r="A52" s="1" t="s">
        <v>112</v>
      </c>
      <c r="F52" s="42">
        <v>13615.624</v>
      </c>
      <c r="I52" s="1">
        <v>18859.725999999999</v>
      </c>
      <c r="K52" s="1">
        <v>20420.103420000003</v>
      </c>
      <c r="L52" s="1">
        <v>22727.690999999999</v>
      </c>
      <c r="M52" s="1">
        <v>25151.005000000001</v>
      </c>
      <c r="N52" s="1">
        <v>27437.257000000001</v>
      </c>
      <c r="O52" s="1">
        <v>30261.46</v>
      </c>
      <c r="P52" s="1">
        <v>27394.257000000001</v>
      </c>
      <c r="Q52" s="1">
        <v>33594.084000000003</v>
      </c>
      <c r="R52" s="1">
        <v>33272.699999999997</v>
      </c>
      <c r="S52" s="1">
        <v>42088.485999999997</v>
      </c>
      <c r="T52" s="1">
        <v>48641.894999999997</v>
      </c>
      <c r="U52" s="1">
        <v>46917.533000000003</v>
      </c>
      <c r="V52" s="1">
        <v>60322.428999999996</v>
      </c>
      <c r="W52" s="1">
        <v>60948.055999999997</v>
      </c>
      <c r="X52" s="1">
        <v>69985.638000000006</v>
      </c>
      <c r="Y52" s="1">
        <v>62697.758999999998</v>
      </c>
      <c r="Z52" s="1">
        <v>66475.955000000002</v>
      </c>
      <c r="AA52" s="1">
        <v>65306.485000000001</v>
      </c>
      <c r="AB52" s="1">
        <v>68255.710000000006</v>
      </c>
      <c r="AC52" s="1">
        <v>72169.64</v>
      </c>
    </row>
    <row r="53" spans="1:29">
      <c r="A53" s="24" t="s">
        <v>116</v>
      </c>
      <c r="B53" s="24"/>
      <c r="C53" s="24"/>
      <c r="D53" s="24"/>
      <c r="E53" s="24"/>
      <c r="F53" s="45">
        <v>106283.825</v>
      </c>
      <c r="G53" s="24"/>
      <c r="H53" s="24"/>
      <c r="I53" s="24">
        <v>101069.538</v>
      </c>
      <c r="J53" s="24"/>
      <c r="K53" s="24">
        <v>112333.122</v>
      </c>
      <c r="L53" s="24">
        <v>113809.228</v>
      </c>
      <c r="M53" s="24">
        <v>128273.33100000001</v>
      </c>
      <c r="N53" s="24">
        <v>122043.97900000001</v>
      </c>
      <c r="O53" s="24">
        <v>133806.70499999999</v>
      </c>
      <c r="P53" s="24">
        <v>140062.09400000001</v>
      </c>
      <c r="Q53" s="24">
        <v>134382.19200000001</v>
      </c>
      <c r="R53" s="24">
        <v>143507.095</v>
      </c>
      <c r="S53" s="24">
        <v>167970.117</v>
      </c>
      <c r="T53" s="24">
        <v>163750.848</v>
      </c>
      <c r="U53" s="24">
        <v>182474.76699999999</v>
      </c>
      <c r="V53" s="24">
        <v>190686.97</v>
      </c>
      <c r="W53" s="24">
        <v>199788.76500000001</v>
      </c>
      <c r="X53" s="24">
        <v>207854.446</v>
      </c>
      <c r="Y53" s="24">
        <v>229850.75599999999</v>
      </c>
      <c r="Z53" s="24">
        <v>241828.93400000001</v>
      </c>
      <c r="AA53" s="24">
        <v>254952.00899999999</v>
      </c>
      <c r="AB53" s="24">
        <v>246109.34700000001</v>
      </c>
      <c r="AC53" s="24">
        <v>255073.50399999999</v>
      </c>
    </row>
    <row r="54" spans="1:29">
      <c r="A54" s="7" t="s">
        <v>122</v>
      </c>
      <c r="B54" s="48">
        <f>SUM(B56:B64)</f>
        <v>0</v>
      </c>
      <c r="C54" s="48">
        <f t="shared" ref="C54:AC54" si="12">SUM(C56:C64)</f>
        <v>0</v>
      </c>
      <c r="D54" s="48">
        <f t="shared" si="12"/>
        <v>0</v>
      </c>
      <c r="E54" s="48">
        <f t="shared" si="12"/>
        <v>0</v>
      </c>
      <c r="F54" s="48">
        <f t="shared" si="12"/>
        <v>1102943.8960000004</v>
      </c>
      <c r="G54" s="48">
        <f t="shared" si="12"/>
        <v>0</v>
      </c>
      <c r="H54" s="48">
        <f t="shared" si="12"/>
        <v>0</v>
      </c>
      <c r="I54" s="48">
        <f t="shared" si="12"/>
        <v>1294849.8760000002</v>
      </c>
      <c r="J54" s="48">
        <f t="shared" si="12"/>
        <v>0</v>
      </c>
      <c r="K54" s="48">
        <f t="shared" si="12"/>
        <v>1583916.284</v>
      </c>
      <c r="L54" s="48">
        <f t="shared" si="12"/>
        <v>1657159.889</v>
      </c>
      <c r="M54" s="48">
        <f t="shared" si="12"/>
        <v>1624774.787</v>
      </c>
      <c r="N54" s="48">
        <f t="shared" si="12"/>
        <v>1597941.1629999999</v>
      </c>
      <c r="O54" s="48">
        <f t="shared" si="12"/>
        <v>1488406.574</v>
      </c>
      <c r="P54" s="48">
        <f t="shared" si="12"/>
        <v>1581756.3749999998</v>
      </c>
      <c r="Q54" s="48">
        <f t="shared" si="12"/>
        <v>2008678.44</v>
      </c>
      <c r="R54" s="48">
        <f t="shared" si="12"/>
        <v>1924494.3020000001</v>
      </c>
      <c r="S54" s="48">
        <f t="shared" si="12"/>
        <v>2132259.2280000001</v>
      </c>
      <c r="T54" s="48">
        <f t="shared" si="12"/>
        <v>2518596.0430000001</v>
      </c>
      <c r="U54" s="48">
        <f t="shared" si="12"/>
        <v>2349440.0480000004</v>
      </c>
      <c r="V54" s="48">
        <f t="shared" si="12"/>
        <v>2973020.3109999998</v>
      </c>
      <c r="W54" s="48">
        <f t="shared" si="12"/>
        <v>3085104.1689999998</v>
      </c>
      <c r="X54" s="48">
        <f t="shared" si="12"/>
        <v>3198161.7169999997</v>
      </c>
      <c r="Y54" s="48">
        <f t="shared" si="12"/>
        <v>3106214.219</v>
      </c>
      <c r="Z54" s="48">
        <f t="shared" si="12"/>
        <v>3316819.4279999998</v>
      </c>
      <c r="AA54" s="48">
        <f t="shared" si="12"/>
        <v>3202289.429</v>
      </c>
      <c r="AB54" s="48">
        <f t="shared" si="12"/>
        <v>3533186.5429999996</v>
      </c>
      <c r="AC54" s="48">
        <f t="shared" si="12"/>
        <v>3469647.6059999997</v>
      </c>
    </row>
    <row r="55" spans="1:29">
      <c r="A55" s="7" t="s">
        <v>119</v>
      </c>
      <c r="X55" s="1">
        <v>0</v>
      </c>
      <c r="Y55" s="1" t="e">
        <f>#REF!/1000</f>
        <v>#REF!</v>
      </c>
      <c r="AB55" s="1">
        <v>0</v>
      </c>
      <c r="AC55" s="1">
        <v>0</v>
      </c>
    </row>
    <row r="56" spans="1:29">
      <c r="A56" s="1" t="s">
        <v>89</v>
      </c>
      <c r="F56" s="42">
        <v>95436.576000000001</v>
      </c>
      <c r="I56" s="1">
        <v>93338.407999999996</v>
      </c>
      <c r="K56" s="1">
        <v>112516.25199999999</v>
      </c>
      <c r="L56" s="1">
        <v>125309.216</v>
      </c>
      <c r="M56" s="1">
        <v>133564.57999999999</v>
      </c>
      <c r="N56" s="1">
        <v>147266.73499999999</v>
      </c>
      <c r="O56" s="1">
        <v>154017.416</v>
      </c>
      <c r="P56" s="1">
        <v>157380.386</v>
      </c>
      <c r="Q56" s="1">
        <v>191650.08499999999</v>
      </c>
      <c r="R56" s="1">
        <v>188233.35699999999</v>
      </c>
      <c r="S56" s="1">
        <v>207198.03</v>
      </c>
      <c r="T56" s="1">
        <v>229936.45800000001</v>
      </c>
      <c r="U56" s="1">
        <v>268815.429</v>
      </c>
      <c r="V56" s="1">
        <v>290835.14199999999</v>
      </c>
      <c r="W56" s="1">
        <v>305866.96399999998</v>
      </c>
      <c r="X56" s="1">
        <v>293052.337</v>
      </c>
      <c r="Y56" s="1">
        <v>267163.80800000002</v>
      </c>
      <c r="Z56" s="1">
        <v>268498.826</v>
      </c>
      <c r="AA56" s="1">
        <v>320478.49200000003</v>
      </c>
      <c r="AB56" s="1">
        <v>323800.46399999998</v>
      </c>
      <c r="AC56" s="1">
        <v>255788.024</v>
      </c>
    </row>
    <row r="57" spans="1:29">
      <c r="A57" s="1" t="s">
        <v>96</v>
      </c>
      <c r="F57" s="42">
        <v>20040.894</v>
      </c>
      <c r="I57" s="1">
        <v>23871.131000000001</v>
      </c>
      <c r="K57" s="1">
        <v>32386.621999999999</v>
      </c>
      <c r="L57" s="1">
        <v>27277.319</v>
      </c>
      <c r="M57" s="1">
        <v>30427.578000000001</v>
      </c>
      <c r="N57" s="1">
        <v>33777.966</v>
      </c>
      <c r="O57" s="1">
        <v>35940.133000000002</v>
      </c>
      <c r="P57" s="1">
        <v>40334.303</v>
      </c>
      <c r="Q57" s="1">
        <v>39464.644999999997</v>
      </c>
      <c r="R57" s="1">
        <v>41977.061999999998</v>
      </c>
      <c r="S57" s="1">
        <v>44464.773999999998</v>
      </c>
      <c r="T57" s="1">
        <v>50926.792000000001</v>
      </c>
      <c r="U57" s="1">
        <v>51752.968999999997</v>
      </c>
      <c r="V57" s="1">
        <v>60563.589</v>
      </c>
      <c r="W57" s="1">
        <v>61936.24</v>
      </c>
      <c r="X57" s="1">
        <v>63418.811000000002</v>
      </c>
      <c r="Y57" s="1">
        <v>66691.921000000002</v>
      </c>
      <c r="Z57" s="1">
        <v>67193.065000000002</v>
      </c>
      <c r="AA57" s="1">
        <v>68440.789999999994</v>
      </c>
      <c r="AB57" s="1">
        <v>74574.634000000005</v>
      </c>
      <c r="AC57" s="1">
        <v>83526.933999999994</v>
      </c>
    </row>
    <row r="58" spans="1:29" s="11" customFormat="1">
      <c r="A58" s="1" t="s">
        <v>97</v>
      </c>
      <c r="B58" s="1"/>
      <c r="C58" s="1"/>
      <c r="D58" s="1"/>
      <c r="E58" s="1"/>
      <c r="F58" s="42">
        <v>78793.179999999993</v>
      </c>
      <c r="G58" s="1"/>
      <c r="H58" s="1"/>
      <c r="I58" s="1">
        <v>121372.607</v>
      </c>
      <c r="J58" s="1"/>
      <c r="K58" s="1">
        <v>150457.052</v>
      </c>
      <c r="L58" s="1">
        <v>169009.78599999999</v>
      </c>
      <c r="M58" s="1">
        <v>165994.31200000001</v>
      </c>
      <c r="N58" s="1">
        <v>163640.59700000001</v>
      </c>
      <c r="O58" s="1">
        <v>165342.804</v>
      </c>
      <c r="P58" s="1">
        <v>167995.894</v>
      </c>
      <c r="Q58" s="1">
        <v>202884.11499999999</v>
      </c>
      <c r="R58" s="1">
        <v>217362.85</v>
      </c>
      <c r="S58" s="1">
        <v>232428.807</v>
      </c>
      <c r="T58" s="1">
        <v>256732.255</v>
      </c>
      <c r="U58" s="1">
        <v>192347.995</v>
      </c>
      <c r="V58" s="1">
        <v>302330.93300000002</v>
      </c>
      <c r="W58" s="1">
        <v>326538.489</v>
      </c>
      <c r="X58" s="1">
        <v>346844.36499999999</v>
      </c>
      <c r="Y58" s="1">
        <v>355989.93699999998</v>
      </c>
      <c r="Z58" s="1">
        <v>389648.38099999999</v>
      </c>
      <c r="AA58" s="1">
        <v>410264.08399999997</v>
      </c>
      <c r="AB58" s="1">
        <v>426390.00199999998</v>
      </c>
      <c r="AC58" s="1">
        <v>432949.81699999998</v>
      </c>
    </row>
    <row r="59" spans="1:29">
      <c r="A59" s="1" t="s">
        <v>103</v>
      </c>
      <c r="F59" s="42">
        <v>21080.297999999999</v>
      </c>
      <c r="I59" s="1">
        <v>25006.331999999999</v>
      </c>
      <c r="K59" s="1">
        <v>29064.917000000001</v>
      </c>
      <c r="L59" s="1">
        <v>26506.496999999999</v>
      </c>
      <c r="M59" s="1">
        <v>25015.978999999999</v>
      </c>
      <c r="N59" s="1">
        <v>29918.312000000002</v>
      </c>
      <c r="O59" s="1">
        <v>29372.969000000001</v>
      </c>
      <c r="P59" s="1">
        <v>32289.416000000001</v>
      </c>
      <c r="Q59" s="1">
        <v>33477.834999999999</v>
      </c>
      <c r="R59" s="1">
        <v>33578.427000000003</v>
      </c>
      <c r="S59" s="1">
        <v>34790.446000000004</v>
      </c>
      <c r="T59" s="1">
        <v>48054.305999999997</v>
      </c>
      <c r="U59" s="1">
        <v>49785.396999999997</v>
      </c>
      <c r="V59" s="1">
        <v>53943.248</v>
      </c>
      <c r="W59" s="1">
        <v>50242.428</v>
      </c>
      <c r="X59" s="1">
        <v>51039.27</v>
      </c>
      <c r="Y59" s="1">
        <v>59622.082999999999</v>
      </c>
      <c r="Z59" s="1">
        <v>55499.078999999998</v>
      </c>
      <c r="AA59" s="1">
        <v>55019.351999999999</v>
      </c>
      <c r="AB59" s="1">
        <v>63641.37</v>
      </c>
      <c r="AC59" s="1">
        <v>65987.856</v>
      </c>
    </row>
    <row r="60" spans="1:29">
      <c r="A60" s="1" t="s">
        <v>104</v>
      </c>
      <c r="F60" s="42">
        <v>132093.00700000001</v>
      </c>
      <c r="I60" s="1">
        <v>159089.389</v>
      </c>
      <c r="K60" s="1">
        <v>259347.277</v>
      </c>
      <c r="L60" s="1">
        <v>237331.511</v>
      </c>
      <c r="M60" s="1">
        <v>235339.72399999999</v>
      </c>
      <c r="N60" s="1">
        <v>241852.44500000001</v>
      </c>
      <c r="O60" s="1">
        <v>238185.321</v>
      </c>
      <c r="P60" s="1">
        <v>261423.42300000001</v>
      </c>
      <c r="Q60" s="1">
        <v>403301.67499999999</v>
      </c>
      <c r="R60" s="1">
        <v>378215.26699999999</v>
      </c>
      <c r="S60" s="1">
        <v>425117.125</v>
      </c>
      <c r="T60" s="73">
        <v>609433.74800000002</v>
      </c>
      <c r="U60" s="1">
        <v>395495.17300000001</v>
      </c>
      <c r="V60" s="1">
        <v>552170.35800000001</v>
      </c>
      <c r="W60" s="1">
        <v>559173.07400000002</v>
      </c>
      <c r="X60" s="1">
        <v>606418.57499999995</v>
      </c>
      <c r="Y60" s="1">
        <v>516490.886</v>
      </c>
      <c r="Z60" s="1">
        <v>721516.07799999998</v>
      </c>
      <c r="AA60" s="1">
        <v>733329.81400000001</v>
      </c>
      <c r="AB60" s="1">
        <v>777647.81299999997</v>
      </c>
      <c r="AC60" s="1">
        <v>730031.03899999999</v>
      </c>
    </row>
    <row r="61" spans="1:29">
      <c r="A61" s="1" t="s">
        <v>106</v>
      </c>
      <c r="F61" s="42">
        <v>426701.70299999998</v>
      </c>
      <c r="I61" s="1">
        <v>485624.315</v>
      </c>
      <c r="K61" s="1">
        <v>569284.16700000002</v>
      </c>
      <c r="L61" s="1">
        <v>547676.97</v>
      </c>
      <c r="M61" s="1">
        <v>599628.66299999994</v>
      </c>
      <c r="N61" s="1">
        <v>655546.58299999998</v>
      </c>
      <c r="O61" s="1">
        <v>622158.054</v>
      </c>
      <c r="P61" s="1">
        <v>638200.20600000001</v>
      </c>
      <c r="Q61" s="1">
        <v>845214.21900000004</v>
      </c>
      <c r="R61" s="1">
        <v>757768.32200000004</v>
      </c>
      <c r="S61" s="1">
        <v>857824.70700000005</v>
      </c>
      <c r="T61" s="1">
        <v>943028.44299999997</v>
      </c>
      <c r="U61" s="1">
        <v>1027982.671</v>
      </c>
      <c r="V61" s="1">
        <v>1267287.1089999999</v>
      </c>
      <c r="W61" s="1">
        <v>1340245.8019999999</v>
      </c>
      <c r="X61" s="1">
        <v>1380904.193</v>
      </c>
      <c r="Y61" s="1">
        <v>1395044.7790000001</v>
      </c>
      <c r="Z61" s="1">
        <v>1353324.892</v>
      </c>
      <c r="AA61" s="1">
        <v>1184619.2320000001</v>
      </c>
      <c r="AB61" s="1">
        <v>1417381.5490000001</v>
      </c>
      <c r="AC61" s="1">
        <v>1456280.1880000001</v>
      </c>
    </row>
    <row r="62" spans="1:29">
      <c r="A62" s="1" t="s">
        <v>110</v>
      </c>
      <c r="F62" s="42">
        <v>276976.95400000003</v>
      </c>
      <c r="I62" s="1">
        <v>329431.53200000001</v>
      </c>
      <c r="K62" s="1">
        <v>361457.36</v>
      </c>
      <c r="L62" s="1">
        <v>433988.38199999998</v>
      </c>
      <c r="M62" s="1">
        <v>361863.58100000001</v>
      </c>
      <c r="N62" s="1">
        <v>246138.87400000001</v>
      </c>
      <c r="O62" s="1">
        <v>174944.921</v>
      </c>
      <c r="P62" s="1">
        <v>192377.859</v>
      </c>
      <c r="Q62" s="1">
        <v>189055.30499999999</v>
      </c>
      <c r="R62" s="1">
        <v>197423.05900000001</v>
      </c>
      <c r="S62" s="1">
        <v>210338.046</v>
      </c>
      <c r="T62" s="1">
        <v>230246.698</v>
      </c>
      <c r="U62" s="1">
        <v>231379.40900000001</v>
      </c>
      <c r="V62" s="1">
        <v>281412.83299999998</v>
      </c>
      <c r="W62" s="1">
        <v>282023.35499999998</v>
      </c>
      <c r="X62" s="1">
        <v>292277.41700000002</v>
      </c>
      <c r="Y62" s="1">
        <v>299428.93</v>
      </c>
      <c r="Z62" s="1">
        <v>307267.625</v>
      </c>
      <c r="AA62" s="1">
        <v>292160.315</v>
      </c>
      <c r="AB62" s="1">
        <v>302807.85200000001</v>
      </c>
      <c r="AC62" s="1">
        <v>300275.42</v>
      </c>
    </row>
    <row r="63" spans="1:29">
      <c r="A63" s="1" t="s">
        <v>111</v>
      </c>
      <c r="F63" s="42">
        <v>23206.673999999999</v>
      </c>
      <c r="I63" s="1">
        <v>24234.710999999999</v>
      </c>
      <c r="K63" s="1">
        <v>26659.173999999999</v>
      </c>
      <c r="L63" s="1">
        <v>34940.881000000001</v>
      </c>
      <c r="M63" s="1">
        <v>34652.036</v>
      </c>
      <c r="N63" s="1">
        <v>36907.972000000002</v>
      </c>
      <c r="O63" s="1">
        <v>36124.51</v>
      </c>
      <c r="P63" s="1">
        <v>42019.112999999998</v>
      </c>
      <c r="Q63" s="1">
        <v>48965.97</v>
      </c>
      <c r="R63" s="1">
        <v>49420.273000000001</v>
      </c>
      <c r="S63" s="1">
        <v>54302.646999999997</v>
      </c>
      <c r="T63" s="1">
        <v>63578.086000000003</v>
      </c>
      <c r="U63" s="1">
        <v>59506.964</v>
      </c>
      <c r="V63" s="1">
        <v>72016.429999999993</v>
      </c>
      <c r="W63" s="1">
        <v>68119.491999999998</v>
      </c>
      <c r="X63" s="1">
        <v>72810.123999999996</v>
      </c>
      <c r="Y63" s="1">
        <v>67065.440000000002</v>
      </c>
      <c r="Z63" s="1">
        <v>67534.09</v>
      </c>
      <c r="AA63" s="1">
        <v>61132.612000000001</v>
      </c>
      <c r="AB63" s="1">
        <v>74789.933999999994</v>
      </c>
      <c r="AC63" s="1">
        <v>70747.534</v>
      </c>
    </row>
    <row r="64" spans="1:29">
      <c r="A64" s="24" t="s">
        <v>114</v>
      </c>
      <c r="B64" s="24"/>
      <c r="C64" s="24"/>
      <c r="D64" s="24"/>
      <c r="E64" s="24"/>
      <c r="F64" s="45">
        <v>28614.61</v>
      </c>
      <c r="G64" s="24"/>
      <c r="H64" s="24"/>
      <c r="I64" s="24">
        <v>32881.451000000001</v>
      </c>
      <c r="J64" s="24"/>
      <c r="K64" s="24">
        <v>42743.463000000003</v>
      </c>
      <c r="L64" s="24">
        <v>55119.326999999997</v>
      </c>
      <c r="M64" s="24">
        <v>38288.334000000003</v>
      </c>
      <c r="N64" s="24">
        <v>42891.678999999996</v>
      </c>
      <c r="O64" s="24">
        <v>32320.446</v>
      </c>
      <c r="P64" s="24">
        <v>49735.775000000001</v>
      </c>
      <c r="Q64" s="24">
        <v>54664.591</v>
      </c>
      <c r="R64" s="24">
        <v>60515.684999999998</v>
      </c>
      <c r="S64" s="24">
        <v>65794.645999999993</v>
      </c>
      <c r="T64" s="24">
        <v>86659.256999999998</v>
      </c>
      <c r="U64" s="24">
        <v>72374.040999999997</v>
      </c>
      <c r="V64" s="24">
        <v>92460.668999999994</v>
      </c>
      <c r="W64" s="24">
        <v>90958.324999999997</v>
      </c>
      <c r="X64" s="24">
        <v>91396.625</v>
      </c>
      <c r="Y64" s="24">
        <v>78716.434999999998</v>
      </c>
      <c r="Z64" s="24">
        <v>86337.392000000007</v>
      </c>
      <c r="AA64" s="24">
        <v>76844.737999999998</v>
      </c>
      <c r="AB64" s="24">
        <v>72152.925000000003</v>
      </c>
      <c r="AC64" s="24">
        <v>74060.793999999994</v>
      </c>
    </row>
    <row r="65" spans="1:29">
      <c r="A65" s="46" t="s">
        <v>90</v>
      </c>
      <c r="B65" s="46"/>
      <c r="C65" s="46"/>
      <c r="D65" s="46"/>
      <c r="E65" s="46"/>
      <c r="F65" s="47">
        <v>17435.862000000001</v>
      </c>
      <c r="G65" s="46"/>
      <c r="H65" s="46"/>
      <c r="I65" s="46">
        <v>11241.071</v>
      </c>
      <c r="J65" s="46"/>
      <c r="K65" s="46">
        <v>13031.110050000001</v>
      </c>
      <c r="L65" s="46">
        <v>16237.66</v>
      </c>
      <c r="M65" s="46">
        <v>15922.427</v>
      </c>
      <c r="N65" s="46">
        <v>19095.725999999999</v>
      </c>
      <c r="O65" s="46">
        <v>22636.095000000001</v>
      </c>
      <c r="P65" s="46">
        <v>18724.035</v>
      </c>
      <c r="Q65" s="46">
        <v>11136.078</v>
      </c>
      <c r="R65" s="46">
        <v>18553.399000000001</v>
      </c>
      <c r="S65" s="46">
        <v>22757.956999999999</v>
      </c>
      <c r="T65" s="51">
        <f>((U65-S65)/2)+S65</f>
        <v>21201.710500000001</v>
      </c>
      <c r="U65" s="46">
        <v>19645.464</v>
      </c>
      <c r="V65" s="46">
        <v>18834</v>
      </c>
      <c r="W65" s="46">
        <v>20287.117999999999</v>
      </c>
      <c r="X65" s="24">
        <v>13865.002</v>
      </c>
      <c r="Y65" s="24">
        <v>21445.856</v>
      </c>
      <c r="Z65" s="24">
        <v>20941.616999999998</v>
      </c>
      <c r="AA65" s="24">
        <v>20278.384999999998</v>
      </c>
      <c r="AB65" s="24">
        <v>23567.631000000001</v>
      </c>
      <c r="AC65" s="24">
        <v>20202.089</v>
      </c>
    </row>
    <row r="66" spans="1:29">
      <c r="F66" s="15"/>
    </row>
    <row r="67" spans="1:29">
      <c r="I67" s="20" t="s">
        <v>78</v>
      </c>
      <c r="J67" s="20" t="s">
        <v>76</v>
      </c>
      <c r="K67" s="20"/>
      <c r="L67" s="20" t="s">
        <v>69</v>
      </c>
      <c r="M67" s="20"/>
      <c r="N67" s="20"/>
      <c r="O67" s="20" t="s">
        <v>78</v>
      </c>
      <c r="P67" s="20" t="s">
        <v>78</v>
      </c>
      <c r="Q67" s="20" t="s">
        <v>78</v>
      </c>
      <c r="R67" s="20" t="s">
        <v>78</v>
      </c>
      <c r="S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Sheet9">
    <tabColor theme="4" tint="0.39997558519241921"/>
  </sheetPr>
  <dimension ref="A1:AC70"/>
  <sheetViews>
    <sheetView showZeros="0" zoomScale="80" zoomScaleNormal="80" workbookViewId="0">
      <pane xSplit="1" ySplit="5" topLeftCell="S6" activePane="bottomRight" state="frozen"/>
      <selection activeCell="AC65" sqref="AC65"/>
      <selection pane="topRight" activeCell="AC65" sqref="AC65"/>
      <selection pane="bottomLeft" activeCell="AC65" sqref="AC65"/>
      <selection pane="bottomRight" activeCell="AA54" sqref="AA54:AC54"/>
    </sheetView>
  </sheetViews>
  <sheetFormatPr defaultColWidth="9.7109375" defaultRowHeight="12.75"/>
  <cols>
    <col min="1" max="1" width="23.42578125" style="44" customWidth="1"/>
    <col min="2" max="6" width="12.42578125" style="1" customWidth="1"/>
    <col min="7" max="7" width="10.42578125" style="1" customWidth="1"/>
    <col min="8" max="8" width="10.5703125" style="1" customWidth="1"/>
    <col min="9" max="23" width="12.42578125" style="1" customWidth="1"/>
    <col min="24" max="44" width="10.7109375" style="1" customWidth="1"/>
    <col min="45" max="16384" width="9.7109375" style="1"/>
  </cols>
  <sheetData>
    <row r="1" spans="1:29">
      <c r="A1" s="7" t="s">
        <v>39</v>
      </c>
      <c r="B1"/>
      <c r="C1"/>
      <c r="D1"/>
      <c r="E1"/>
      <c r="F1"/>
      <c r="G1"/>
      <c r="H1"/>
      <c r="I1"/>
      <c r="J1"/>
      <c r="K1"/>
      <c r="L1"/>
      <c r="M1"/>
      <c r="N1"/>
      <c r="O1"/>
      <c r="P1"/>
      <c r="Q1"/>
      <c r="R1"/>
      <c r="S1"/>
      <c r="T1"/>
      <c r="U1"/>
      <c r="V1"/>
      <c r="W1"/>
    </row>
    <row r="2" spans="1:29">
      <c r="A2" s="9"/>
      <c r="B2"/>
      <c r="C2"/>
      <c r="D2"/>
      <c r="E2"/>
      <c r="F2"/>
      <c r="G2"/>
      <c r="H2"/>
      <c r="I2"/>
      <c r="J2"/>
      <c r="K2"/>
      <c r="L2"/>
      <c r="M2"/>
      <c r="N2"/>
      <c r="O2"/>
      <c r="P2"/>
      <c r="Q2"/>
      <c r="R2"/>
      <c r="S2"/>
      <c r="T2"/>
      <c r="U2"/>
      <c r="V2"/>
      <c r="W2"/>
      <c r="Z2" s="1">
        <v>1000</v>
      </c>
    </row>
    <row r="3" spans="1:29">
      <c r="A3" s="1" t="s">
        <v>23</v>
      </c>
      <c r="B3"/>
      <c r="C3"/>
      <c r="D3"/>
      <c r="E3"/>
      <c r="F3"/>
      <c r="G3"/>
      <c r="H3"/>
      <c r="I3"/>
      <c r="J3"/>
      <c r="K3"/>
      <c r="L3"/>
      <c r="M3"/>
      <c r="N3"/>
      <c r="O3"/>
      <c r="P3"/>
      <c r="Q3"/>
      <c r="R3"/>
      <c r="S3"/>
      <c r="T3"/>
      <c r="U3"/>
      <c r="V3"/>
      <c r="W3"/>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c r="W4" s="40">
        <v>2011</v>
      </c>
      <c r="X4" s="33" t="s">
        <v>140</v>
      </c>
      <c r="Y4" s="33" t="s">
        <v>142</v>
      </c>
      <c r="Z4" s="33" t="s">
        <v>143</v>
      </c>
      <c r="AA4" s="33" t="s">
        <v>144</v>
      </c>
      <c r="AB4" s="96" t="s">
        <v>149</v>
      </c>
      <c r="AC4" s="96" t="s">
        <v>150</v>
      </c>
    </row>
    <row r="5" spans="1:29" s="8" customFormat="1">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1">
        <v>1288681</v>
      </c>
      <c r="C6" s="1">
        <v>1403138</v>
      </c>
      <c r="D6" s="1">
        <v>1540950</v>
      </c>
      <c r="E6" s="1">
        <v>2354850.8489999999</v>
      </c>
      <c r="F6" s="49">
        <f>+F7+F25+F40+F54+F65</f>
        <v>2356175.5350000006</v>
      </c>
      <c r="G6" s="1">
        <v>2584439.1519999998</v>
      </c>
      <c r="H6" s="1">
        <v>2770815.3289999999</v>
      </c>
      <c r="I6" s="49">
        <f>+I7+I25+I40+I54+I65</f>
        <v>2730954.2419999996</v>
      </c>
      <c r="J6" s="1">
        <v>3124900.01</v>
      </c>
      <c r="K6" s="49">
        <f t="shared" ref="K6:U6" si="0">+K7+K25+K40+K54+K65</f>
        <v>3372010.5179500002</v>
      </c>
      <c r="L6" s="49">
        <f t="shared" si="0"/>
        <v>3736095.1340000001</v>
      </c>
      <c r="M6" s="49">
        <f t="shared" si="0"/>
        <v>4116381.6489999997</v>
      </c>
      <c r="N6" s="49">
        <f t="shared" si="0"/>
        <v>4190321.6450000005</v>
      </c>
      <c r="O6" s="49">
        <f t="shared" si="0"/>
        <v>4166984.9519999996</v>
      </c>
      <c r="P6" s="49">
        <f t="shared" si="0"/>
        <v>4446942.9589999998</v>
      </c>
      <c r="Q6" s="49">
        <f t="shared" si="0"/>
        <v>4805626.2170000002</v>
      </c>
      <c r="R6" s="49">
        <f t="shared" si="0"/>
        <v>5105077.828999999</v>
      </c>
      <c r="S6" s="49">
        <f t="shared" si="0"/>
        <v>5471477.0410000002</v>
      </c>
      <c r="T6" s="49">
        <f t="shared" si="0"/>
        <v>6130253.2519999994</v>
      </c>
      <c r="U6" s="49">
        <f t="shared" si="0"/>
        <v>6632363.9169999994</v>
      </c>
      <c r="V6" s="49">
        <f t="shared" ref="V6:W6" si="1">+V7+V25+V40+V54+V65</f>
        <v>7576632.1959999986</v>
      </c>
      <c r="W6" s="49">
        <f t="shared" si="1"/>
        <v>8075092.6969999997</v>
      </c>
      <c r="X6" s="49">
        <f t="shared" ref="X6:Y6" si="2">+X7+X25+X40+X54+X65</f>
        <v>8276766.7189999986</v>
      </c>
      <c r="Y6" s="49">
        <f t="shared" si="2"/>
        <v>7224369.6530000009</v>
      </c>
      <c r="Z6" s="49">
        <f t="shared" ref="Z6:AA6" si="3">+Z7+Z25+Z40+Z54+Z65</f>
        <v>7530973.0470000012</v>
      </c>
      <c r="AA6" s="49">
        <f t="shared" si="3"/>
        <v>7572530.578999999</v>
      </c>
      <c r="AB6" s="49">
        <f t="shared" ref="AB6:AC6" si="4">+AB7+AB25+AB40+AB54+AB65</f>
        <v>9069681.819000002</v>
      </c>
      <c r="AC6" s="49">
        <f t="shared" si="4"/>
        <v>9268168.0659999996</v>
      </c>
    </row>
    <row r="7" spans="1:29">
      <c r="A7" s="1" t="s">
        <v>56</v>
      </c>
      <c r="B7" s="48">
        <f>SUM(B8:B24)</f>
        <v>394830</v>
      </c>
      <c r="C7" s="48">
        <f t="shared" ref="C7:U7" si="5">SUM(C8:C24)</f>
        <v>434487</v>
      </c>
      <c r="D7" s="48">
        <f t="shared" si="5"/>
        <v>464995</v>
      </c>
      <c r="E7" s="48">
        <f t="shared" si="5"/>
        <v>718735.95400000003</v>
      </c>
      <c r="F7" s="48">
        <f t="shared" si="5"/>
        <v>726172.15600000019</v>
      </c>
      <c r="G7" s="48">
        <f t="shared" si="5"/>
        <v>763528.17599999998</v>
      </c>
      <c r="H7" s="48">
        <f t="shared" si="5"/>
        <v>835975.2350000001</v>
      </c>
      <c r="I7" s="48">
        <f t="shared" si="5"/>
        <v>867856.62800000003</v>
      </c>
      <c r="J7" s="48">
        <f t="shared" si="5"/>
        <v>937840.52799999993</v>
      </c>
      <c r="K7" s="48">
        <f t="shared" si="5"/>
        <v>999843.80946000002</v>
      </c>
      <c r="L7" s="48">
        <f t="shared" si="5"/>
        <v>1222779.1669999999</v>
      </c>
      <c r="M7" s="48">
        <f t="shared" si="5"/>
        <v>1377164.0949999997</v>
      </c>
      <c r="N7" s="48">
        <f t="shared" si="5"/>
        <v>1318578.2609999999</v>
      </c>
      <c r="O7" s="48">
        <f t="shared" si="5"/>
        <v>1340875.5020000001</v>
      </c>
      <c r="P7" s="48">
        <f t="shared" si="5"/>
        <v>1423723.0459999999</v>
      </c>
      <c r="Q7" s="48">
        <f t="shared" si="5"/>
        <v>1563331.841</v>
      </c>
      <c r="R7" s="48">
        <f t="shared" si="5"/>
        <v>1659628.6249999998</v>
      </c>
      <c r="S7" s="48">
        <f t="shared" si="5"/>
        <v>1819069.162</v>
      </c>
      <c r="T7" s="48">
        <f t="shared" si="5"/>
        <v>2018994.727</v>
      </c>
      <c r="U7" s="48">
        <f t="shared" si="5"/>
        <v>2168298.173</v>
      </c>
      <c r="V7" s="48">
        <f t="shared" ref="V7:W7" si="6">SUM(V8:V24)</f>
        <v>2570546.9539999994</v>
      </c>
      <c r="W7" s="48">
        <f t="shared" si="6"/>
        <v>2742832.1189999999</v>
      </c>
      <c r="X7" s="48">
        <f t="shared" ref="X7:Y7" si="7">SUM(X8:X24)</f>
        <v>2808464.1019999995</v>
      </c>
      <c r="Y7" s="48">
        <f t="shared" si="7"/>
        <v>2751411.2039999999</v>
      </c>
      <c r="Z7" s="48">
        <f t="shared" ref="Z7:AA7" si="8">SUM(Z8:Z24)</f>
        <v>2877842.9730000002</v>
      </c>
      <c r="AA7" s="48">
        <f t="shared" si="8"/>
        <v>2891685.1309999996</v>
      </c>
      <c r="AB7" s="48">
        <f t="shared" ref="AB7:AC7" si="9">SUM(AB8:AB24)</f>
        <v>3105600.95</v>
      </c>
      <c r="AC7" s="48">
        <f t="shared" si="9"/>
        <v>3037420.4010000001</v>
      </c>
    </row>
    <row r="8" spans="1:29">
      <c r="A8" s="7" t="s">
        <v>119</v>
      </c>
    </row>
    <row r="9" spans="1:29">
      <c r="A9" s="1" t="s">
        <v>3</v>
      </c>
      <c r="B9" s="1">
        <v>11907</v>
      </c>
      <c r="C9" s="1">
        <v>17577</v>
      </c>
      <c r="D9" s="1">
        <v>21220</v>
      </c>
      <c r="E9" s="1">
        <v>30756.399000000001</v>
      </c>
      <c r="F9" s="42">
        <v>31408.925999999999</v>
      </c>
      <c r="G9" s="1">
        <v>36256.934999999998</v>
      </c>
      <c r="H9" s="1">
        <v>40572.963000000003</v>
      </c>
      <c r="I9" s="1">
        <v>39770.478000000003</v>
      </c>
      <c r="J9" s="1">
        <v>40247.942999999999</v>
      </c>
      <c r="K9" s="1">
        <v>41243.641360000016</v>
      </c>
      <c r="L9" s="1">
        <v>52278.233</v>
      </c>
      <c r="M9" s="1">
        <v>55825.372000000003</v>
      </c>
      <c r="N9" s="1">
        <v>56031.423999999999</v>
      </c>
      <c r="O9" s="1">
        <v>61184.576999999997</v>
      </c>
      <c r="P9" s="1">
        <v>63710.925999999999</v>
      </c>
      <c r="Q9" s="1">
        <v>69459.615999999995</v>
      </c>
      <c r="R9" s="1">
        <v>76989.19</v>
      </c>
      <c r="S9" s="1">
        <v>81930.762000000002</v>
      </c>
      <c r="T9" s="1">
        <v>114048.58</v>
      </c>
      <c r="U9" s="1">
        <v>95946.725999999995</v>
      </c>
      <c r="V9" s="1">
        <v>112794.697</v>
      </c>
      <c r="W9" s="1">
        <v>112715.59600000001</v>
      </c>
      <c r="X9" s="1">
        <v>112941.336</v>
      </c>
      <c r="Y9" s="1">
        <v>112469.50900000001</v>
      </c>
      <c r="Z9" s="1">
        <v>116364.689</v>
      </c>
      <c r="AA9" s="1">
        <v>116338.413</v>
      </c>
      <c r="AB9" s="1">
        <v>120357.874</v>
      </c>
      <c r="AC9" s="1">
        <v>111414.177</v>
      </c>
    </row>
    <row r="10" spans="1:29">
      <c r="A10" s="1" t="s">
        <v>4</v>
      </c>
      <c r="B10" s="1">
        <v>6037</v>
      </c>
      <c r="C10" s="1">
        <v>6961</v>
      </c>
      <c r="D10" s="1">
        <v>7440</v>
      </c>
      <c r="E10" s="1">
        <v>8034.3739999999998</v>
      </c>
      <c r="F10" s="42">
        <v>9220.2939999999999</v>
      </c>
      <c r="G10" s="1">
        <v>11359.512000000001</v>
      </c>
      <c r="H10" s="1">
        <v>12848.777</v>
      </c>
      <c r="I10" s="1">
        <v>14007.503000000001</v>
      </c>
      <c r="J10" s="1">
        <v>19479.225999999999</v>
      </c>
      <c r="K10" s="1">
        <v>18934.398000000001</v>
      </c>
      <c r="L10" s="1">
        <v>27029.133999999998</v>
      </c>
      <c r="M10" s="1">
        <v>31610.126</v>
      </c>
      <c r="N10" s="1">
        <v>30995.796999999999</v>
      </c>
      <c r="O10" s="1">
        <v>32638.296999999999</v>
      </c>
      <c r="P10" s="1">
        <v>37551.709000000003</v>
      </c>
      <c r="Q10" s="1">
        <v>40305.796999999999</v>
      </c>
      <c r="R10" s="1">
        <v>46736.567999999999</v>
      </c>
      <c r="S10" s="1">
        <v>53870.607000000004</v>
      </c>
      <c r="T10" s="1">
        <v>58767.777999999998</v>
      </c>
      <c r="U10" s="1">
        <v>54981.697999999997</v>
      </c>
      <c r="V10" s="1">
        <v>70384.774000000005</v>
      </c>
      <c r="W10" s="1">
        <v>73918.535000000003</v>
      </c>
      <c r="X10" s="1">
        <v>78860.639999999999</v>
      </c>
      <c r="Y10" s="1">
        <v>80085.731</v>
      </c>
      <c r="Z10" s="1">
        <v>83772.091</v>
      </c>
      <c r="AA10" s="1">
        <v>80213.388000000006</v>
      </c>
      <c r="AB10" s="1">
        <v>73002.019</v>
      </c>
      <c r="AC10" s="1">
        <v>72766.798999999999</v>
      </c>
    </row>
    <row r="11" spans="1:29">
      <c r="A11" s="1" t="s">
        <v>52</v>
      </c>
      <c r="D11" s="1">
        <v>3202</v>
      </c>
      <c r="E11" s="1">
        <v>9583.848</v>
      </c>
      <c r="F11" s="42">
        <v>10487.85</v>
      </c>
      <c r="I11" s="1">
        <v>9730.5830000000005</v>
      </c>
      <c r="J11" s="1">
        <v>15148.489</v>
      </c>
      <c r="K11" s="1">
        <v>16519.829000000002</v>
      </c>
      <c r="L11" s="1">
        <v>9681.3549999999996</v>
      </c>
      <c r="M11" s="1">
        <v>11518.183999999999</v>
      </c>
      <c r="N11" s="1">
        <v>10005.073</v>
      </c>
      <c r="O11" s="1">
        <v>10710.611000000001</v>
      </c>
      <c r="P11" s="1">
        <v>10918.781000000001</v>
      </c>
      <c r="Q11" s="1">
        <v>12265.32</v>
      </c>
      <c r="R11" s="1">
        <v>12017.373</v>
      </c>
      <c r="S11" s="1">
        <v>13193.384</v>
      </c>
      <c r="T11" s="1">
        <v>14383.192999999999</v>
      </c>
      <c r="U11" s="1">
        <v>13337.878000000001</v>
      </c>
      <c r="V11" s="1">
        <v>14690.781000000001</v>
      </c>
      <c r="W11" s="1">
        <v>18593.205000000002</v>
      </c>
      <c r="X11" s="1">
        <v>18501.692999999999</v>
      </c>
      <c r="Y11" s="1">
        <v>19543.819</v>
      </c>
      <c r="Z11" s="1">
        <v>22676.298999999999</v>
      </c>
      <c r="AA11" s="1">
        <v>19218.583999999999</v>
      </c>
      <c r="AB11" s="1">
        <v>20442.691999999999</v>
      </c>
      <c r="AC11" s="1">
        <v>20164.001</v>
      </c>
    </row>
    <row r="12" spans="1:29">
      <c r="A12" s="1" t="s">
        <v>5</v>
      </c>
      <c r="B12" s="1">
        <v>78941</v>
      </c>
      <c r="C12" s="1">
        <v>82913</v>
      </c>
      <c r="D12" s="1">
        <v>89949</v>
      </c>
      <c r="E12" s="1">
        <v>144799.071</v>
      </c>
      <c r="F12" s="42">
        <v>150308.266</v>
      </c>
      <c r="G12" s="1">
        <v>165260.01500000001</v>
      </c>
      <c r="H12" s="1">
        <v>173486.5</v>
      </c>
      <c r="I12" s="1">
        <v>178065.46599999999</v>
      </c>
      <c r="J12" s="1">
        <v>185218.079</v>
      </c>
      <c r="K12" s="1">
        <v>191199.93100000001</v>
      </c>
      <c r="L12" s="1">
        <v>231069.943</v>
      </c>
      <c r="M12" s="1">
        <v>269029.66100000002</v>
      </c>
      <c r="N12" s="1">
        <v>244681.99</v>
      </c>
      <c r="O12" s="1">
        <v>194101.23</v>
      </c>
      <c r="P12" s="1">
        <v>204548.611</v>
      </c>
      <c r="Q12" s="1">
        <v>219623.196</v>
      </c>
      <c r="R12" s="1">
        <v>232858.076</v>
      </c>
      <c r="S12" s="1">
        <v>282803.50300000003</v>
      </c>
      <c r="T12" s="1">
        <v>289355.64299999998</v>
      </c>
      <c r="U12" s="1">
        <v>443206.13099999999</v>
      </c>
      <c r="V12" s="1">
        <v>433142.88099999999</v>
      </c>
      <c r="W12" s="1">
        <v>475924.603</v>
      </c>
      <c r="X12" s="1">
        <v>467254.47899999999</v>
      </c>
      <c r="Y12" s="1">
        <v>484308.55300000001</v>
      </c>
      <c r="Z12" s="1">
        <v>513227.75900000002</v>
      </c>
      <c r="AA12" s="1">
        <v>538749.38800000004</v>
      </c>
      <c r="AB12" s="1">
        <v>538885.478</v>
      </c>
      <c r="AC12" s="1">
        <v>572900.56900000002</v>
      </c>
    </row>
    <row r="13" spans="1:29">
      <c r="A13" s="1" t="s">
        <v>6</v>
      </c>
      <c r="B13" s="1">
        <v>21782</v>
      </c>
      <c r="C13" s="1">
        <v>23861</v>
      </c>
      <c r="D13" s="1">
        <v>17427</v>
      </c>
      <c r="E13" s="1">
        <v>35015.29</v>
      </c>
      <c r="F13" s="42">
        <v>41738.748</v>
      </c>
      <c r="G13" s="1">
        <v>46750.510999999999</v>
      </c>
      <c r="H13" s="1">
        <v>52321.927000000003</v>
      </c>
      <c r="I13" s="1">
        <v>65326.904000000002</v>
      </c>
      <c r="J13" s="1">
        <v>51407.502999999997</v>
      </c>
      <c r="K13" s="1">
        <v>58980.692839999974</v>
      </c>
      <c r="L13" s="1">
        <v>93412.307000000001</v>
      </c>
      <c r="M13" s="1">
        <v>105825.092</v>
      </c>
      <c r="N13" s="1">
        <v>109671.66099999999</v>
      </c>
      <c r="O13" s="1">
        <v>100950.93399999999</v>
      </c>
      <c r="P13" s="1">
        <v>106121.372</v>
      </c>
      <c r="Q13" s="1">
        <v>116771.363</v>
      </c>
      <c r="R13" s="1">
        <v>123124.772</v>
      </c>
      <c r="S13" s="1">
        <v>131899.128</v>
      </c>
      <c r="T13" s="1">
        <v>142815.84599999999</v>
      </c>
      <c r="U13" s="1">
        <v>81755.834000000003</v>
      </c>
      <c r="V13" s="1">
        <v>196500.46400000001</v>
      </c>
      <c r="W13" s="1">
        <v>215077.19099999999</v>
      </c>
      <c r="X13" s="1">
        <v>219681.856</v>
      </c>
      <c r="Y13" s="1">
        <v>73919.467999999993</v>
      </c>
      <c r="Z13" s="1">
        <v>83512.701000000001</v>
      </c>
      <c r="AA13" s="1">
        <v>81055.051000000007</v>
      </c>
      <c r="AB13" s="1">
        <v>218268.867</v>
      </c>
      <c r="AC13" s="1">
        <v>66298.129000000001</v>
      </c>
    </row>
    <row r="14" spans="1:29">
      <c r="A14" s="1" t="s">
        <v>7</v>
      </c>
      <c r="B14" s="1">
        <v>5694</v>
      </c>
      <c r="C14" s="1">
        <v>2618</v>
      </c>
      <c r="D14" s="1">
        <v>2797</v>
      </c>
      <c r="E14" s="1">
        <v>6590.4939999999997</v>
      </c>
      <c r="F14" s="42">
        <v>9573.8790000000008</v>
      </c>
      <c r="G14" s="1">
        <v>9727.4590000000007</v>
      </c>
      <c r="H14" s="1">
        <v>10897.188</v>
      </c>
      <c r="I14" s="1">
        <v>11400.084000000001</v>
      </c>
      <c r="J14" s="1">
        <v>12190.034</v>
      </c>
      <c r="K14" s="1">
        <v>13102.288</v>
      </c>
      <c r="L14" s="1">
        <v>51243.536999999997</v>
      </c>
      <c r="M14" s="1">
        <v>51579.654999999999</v>
      </c>
      <c r="N14" s="1">
        <v>1798.7570000000001</v>
      </c>
      <c r="O14" s="1">
        <v>2008.171</v>
      </c>
      <c r="P14" s="1">
        <v>2147.8589999999999</v>
      </c>
      <c r="Q14" s="1">
        <v>42641.188000000002</v>
      </c>
      <c r="R14" s="1">
        <v>46186.205999999998</v>
      </c>
      <c r="S14" s="1">
        <v>50008.800000000003</v>
      </c>
      <c r="T14" s="1">
        <v>64591.392999999996</v>
      </c>
      <c r="U14" s="1">
        <v>58274.201000000001</v>
      </c>
      <c r="V14" s="1">
        <v>76377.846000000005</v>
      </c>
      <c r="W14" s="1">
        <v>74600.872000000003</v>
      </c>
      <c r="X14" s="1">
        <v>77923.553</v>
      </c>
      <c r="Y14" s="1">
        <v>67823.846999999994</v>
      </c>
      <c r="Z14" s="1">
        <v>66202.070000000007</v>
      </c>
      <c r="AA14" s="1">
        <v>64765.292000000001</v>
      </c>
      <c r="AB14" s="1">
        <v>67124.925000000003</v>
      </c>
      <c r="AC14" s="1">
        <v>51663.525000000001</v>
      </c>
    </row>
    <row r="15" spans="1:29">
      <c r="A15" s="1" t="s">
        <v>8</v>
      </c>
      <c r="B15" s="1">
        <v>4132</v>
      </c>
      <c r="C15" s="1">
        <v>4542</v>
      </c>
      <c r="D15" s="1">
        <v>4837</v>
      </c>
      <c r="E15" s="1">
        <v>8931.0290000000005</v>
      </c>
      <c r="F15" s="42">
        <v>8739.2849999999999</v>
      </c>
      <c r="G15" s="1">
        <v>10867.380999999999</v>
      </c>
      <c r="H15" s="1">
        <v>11948.300999999999</v>
      </c>
      <c r="I15" s="1">
        <v>11168.212</v>
      </c>
      <c r="J15" s="1">
        <v>18882.013999999999</v>
      </c>
      <c r="K15" s="1">
        <v>23341.967800000013</v>
      </c>
      <c r="L15" s="1">
        <v>28764.478999999999</v>
      </c>
      <c r="M15" s="1">
        <v>30444.651000000002</v>
      </c>
      <c r="N15" s="1">
        <v>37642.927000000003</v>
      </c>
      <c r="O15" s="1">
        <v>44449.413</v>
      </c>
      <c r="P15" s="1">
        <v>56206.811000000002</v>
      </c>
      <c r="Q15" s="1">
        <v>55728.178</v>
      </c>
      <c r="R15" s="1">
        <v>50886.553999999996</v>
      </c>
      <c r="S15" s="1">
        <v>55876.055</v>
      </c>
      <c r="T15" s="1">
        <v>75194.138000000006</v>
      </c>
      <c r="U15" s="1">
        <v>47582.991000000002</v>
      </c>
      <c r="V15" s="1">
        <v>71656.092999999993</v>
      </c>
      <c r="W15" s="1">
        <v>79142.663</v>
      </c>
      <c r="X15" s="1">
        <v>82830.566999999995</v>
      </c>
      <c r="Y15" s="1">
        <v>62040.010999999999</v>
      </c>
      <c r="Z15" s="1">
        <v>55172.006999999998</v>
      </c>
      <c r="AA15" s="1">
        <v>57626.394999999997</v>
      </c>
      <c r="AB15" s="1">
        <v>77561.770999999993</v>
      </c>
      <c r="AC15" s="1">
        <v>64867.012000000002</v>
      </c>
    </row>
    <row r="16" spans="1:29">
      <c r="A16" s="1" t="s">
        <v>9</v>
      </c>
      <c r="B16" s="1">
        <v>38114</v>
      </c>
      <c r="C16" s="1">
        <v>41399</v>
      </c>
      <c r="D16" s="1">
        <v>45107</v>
      </c>
      <c r="E16" s="1">
        <v>59374.413999999997</v>
      </c>
      <c r="F16" s="42">
        <v>48204.201999999997</v>
      </c>
      <c r="G16" s="1">
        <v>61128.57</v>
      </c>
      <c r="H16" s="1">
        <v>67843.786999999997</v>
      </c>
      <c r="I16" s="1">
        <v>58440.42</v>
      </c>
      <c r="J16" s="1">
        <v>73734.547999999995</v>
      </c>
      <c r="K16" s="1">
        <v>80772.89</v>
      </c>
      <c r="L16" s="1">
        <v>105180.19500000001</v>
      </c>
      <c r="M16" s="1">
        <v>106584.855</v>
      </c>
      <c r="N16" s="1">
        <v>109053.371</v>
      </c>
      <c r="O16" s="1">
        <v>131286.68100000001</v>
      </c>
      <c r="P16" s="1">
        <v>134983.139</v>
      </c>
      <c r="Q16" s="1">
        <v>141857.11600000001</v>
      </c>
      <c r="R16" s="1">
        <v>149297.465</v>
      </c>
      <c r="S16" s="1">
        <v>159641.63099999999</v>
      </c>
      <c r="T16" s="1">
        <v>168859.269</v>
      </c>
      <c r="U16" s="1">
        <v>191353.98499999999</v>
      </c>
      <c r="V16" s="1">
        <v>214078.40299999999</v>
      </c>
      <c r="W16" s="1">
        <v>218109.55900000001</v>
      </c>
      <c r="X16" s="1">
        <v>243721.15</v>
      </c>
      <c r="Y16" s="1">
        <v>241864.45800000001</v>
      </c>
      <c r="Z16" s="1">
        <v>261473.38699999999</v>
      </c>
      <c r="AA16" s="1">
        <v>264279.52299999999</v>
      </c>
      <c r="AB16" s="1">
        <v>268688.83399999997</v>
      </c>
      <c r="AC16" s="1">
        <v>257042.52900000001</v>
      </c>
    </row>
    <row r="17" spans="1:29">
      <c r="A17" s="1" t="s">
        <v>10</v>
      </c>
      <c r="B17" s="1">
        <v>15184</v>
      </c>
      <c r="C17" s="1">
        <v>15541</v>
      </c>
      <c r="D17" s="1">
        <v>16963</v>
      </c>
      <c r="E17" s="1">
        <v>20047.45</v>
      </c>
      <c r="F17" s="42">
        <v>20589.971000000001</v>
      </c>
      <c r="G17" s="1">
        <v>22877.839</v>
      </c>
      <c r="H17" s="1">
        <v>25030.9</v>
      </c>
      <c r="I17" s="1">
        <v>29686.562999999998</v>
      </c>
      <c r="J17" s="1">
        <v>32956.116999999998</v>
      </c>
      <c r="K17" s="1">
        <v>35473.061999999998</v>
      </c>
      <c r="L17" s="1">
        <v>46701.029000000002</v>
      </c>
      <c r="M17" s="1">
        <v>42877.595000000001</v>
      </c>
      <c r="N17" s="1">
        <v>45063.743999999999</v>
      </c>
      <c r="O17" s="1">
        <v>49611.983</v>
      </c>
      <c r="P17" s="1">
        <v>52365.731</v>
      </c>
      <c r="Q17" s="1">
        <v>54742.423000000003</v>
      </c>
      <c r="R17" s="1">
        <v>55264.758999999998</v>
      </c>
      <c r="S17" s="1">
        <v>64730.978000000003</v>
      </c>
      <c r="T17" s="1">
        <v>71382.789000000004</v>
      </c>
      <c r="U17" s="1">
        <v>77439.453999999998</v>
      </c>
      <c r="V17" s="1">
        <v>88753.358999999997</v>
      </c>
      <c r="W17" s="1">
        <v>97989.438999999998</v>
      </c>
      <c r="X17" s="1">
        <v>101415.326</v>
      </c>
      <c r="Y17" s="1">
        <v>104201.705</v>
      </c>
      <c r="Z17" s="1">
        <v>109592.63499999999</v>
      </c>
      <c r="AA17" s="1">
        <v>112151.624</v>
      </c>
      <c r="AB17" s="1">
        <v>118044.77899999999</v>
      </c>
      <c r="AC17" s="1">
        <v>126001.765</v>
      </c>
    </row>
    <row r="18" spans="1:29">
      <c r="A18" s="1" t="s">
        <v>11</v>
      </c>
      <c r="B18" s="1">
        <v>42927</v>
      </c>
      <c r="C18" s="1">
        <v>46362</v>
      </c>
      <c r="D18" s="1">
        <v>50501</v>
      </c>
      <c r="E18" s="1">
        <v>71665.527000000002</v>
      </c>
      <c r="F18" s="42">
        <v>76133.025999999998</v>
      </c>
      <c r="G18" s="1">
        <v>81174.45</v>
      </c>
      <c r="H18" s="1">
        <v>87329.370999999999</v>
      </c>
      <c r="I18" s="1">
        <v>94744.793999999994</v>
      </c>
      <c r="J18" s="1">
        <v>98041.18</v>
      </c>
      <c r="K18" s="1">
        <v>102117.41532999999</v>
      </c>
      <c r="L18" s="1">
        <v>127767.44100000001</v>
      </c>
      <c r="M18" s="1">
        <v>146270.34700000001</v>
      </c>
      <c r="N18" s="1">
        <v>155347.01199999999</v>
      </c>
      <c r="O18" s="1">
        <v>168111.83799999999</v>
      </c>
      <c r="P18" s="1">
        <v>176677.467</v>
      </c>
      <c r="Q18" s="1">
        <v>190428.99799999999</v>
      </c>
      <c r="R18" s="1">
        <v>204218.57</v>
      </c>
      <c r="S18" s="1">
        <v>216117.33600000001</v>
      </c>
      <c r="T18" s="1">
        <v>234737.228</v>
      </c>
      <c r="U18" s="1">
        <v>239181.25099999999</v>
      </c>
      <c r="V18" s="1">
        <v>268633.65299999999</v>
      </c>
      <c r="W18" s="1">
        <v>290109.05599999998</v>
      </c>
      <c r="X18" s="1">
        <v>293673.45400000003</v>
      </c>
      <c r="Y18" s="1">
        <v>310552.886</v>
      </c>
      <c r="Z18" s="1">
        <v>328322.26199999999</v>
      </c>
      <c r="AA18" s="1">
        <v>309483.67</v>
      </c>
      <c r="AB18" s="1">
        <v>304471.08100000001</v>
      </c>
      <c r="AC18" s="1">
        <v>342740.641</v>
      </c>
    </row>
    <row r="19" spans="1:29">
      <c r="A19" s="1" t="s">
        <v>12</v>
      </c>
      <c r="B19" s="1">
        <v>7850</v>
      </c>
      <c r="C19" s="1">
        <v>8080</v>
      </c>
      <c r="D19" s="1">
        <v>8710</v>
      </c>
      <c r="E19" s="1">
        <v>23007.107</v>
      </c>
      <c r="F19" s="42">
        <v>24152.159</v>
      </c>
      <c r="G19" s="1">
        <v>23906.678</v>
      </c>
      <c r="H19" s="1">
        <v>22691.419000000002</v>
      </c>
      <c r="I19" s="1">
        <v>22625.789000000001</v>
      </c>
      <c r="J19" s="1">
        <v>23395.124</v>
      </c>
      <c r="K19" s="1">
        <v>26869.236060000003</v>
      </c>
      <c r="L19" s="1">
        <v>27848.276999999998</v>
      </c>
      <c r="M19" s="1">
        <v>52755.733999999997</v>
      </c>
      <c r="N19" s="1">
        <v>27730.813999999998</v>
      </c>
      <c r="O19" s="1">
        <v>27931.013999999999</v>
      </c>
      <c r="P19" s="1">
        <v>28638.817999999999</v>
      </c>
      <c r="Q19" s="1">
        <v>30683.207999999999</v>
      </c>
      <c r="R19" s="1">
        <v>33133.440999999999</v>
      </c>
      <c r="S19" s="1">
        <v>33679</v>
      </c>
      <c r="T19" s="1">
        <v>39469.614000000001</v>
      </c>
      <c r="U19" s="1">
        <v>47374.46</v>
      </c>
      <c r="V19" s="1">
        <v>53279.17</v>
      </c>
      <c r="W19" s="1">
        <v>51475.046999999999</v>
      </c>
      <c r="X19" s="1">
        <v>52264.281000000003</v>
      </c>
      <c r="Y19" s="1">
        <v>58580.699000000001</v>
      </c>
      <c r="Z19" s="1">
        <v>65437.321000000004</v>
      </c>
      <c r="AA19" s="1">
        <v>65254.964</v>
      </c>
      <c r="AB19" s="1">
        <v>60977.249000000003</v>
      </c>
      <c r="AC19" s="1">
        <v>59438.597000000002</v>
      </c>
    </row>
    <row r="20" spans="1:29">
      <c r="A20" s="1" t="s">
        <v>13</v>
      </c>
      <c r="B20" s="1">
        <v>17215</v>
      </c>
      <c r="C20" s="1">
        <v>24067</v>
      </c>
      <c r="D20" s="1">
        <v>25497</v>
      </c>
      <c r="E20" s="1">
        <v>37702.053999999996</v>
      </c>
      <c r="F20" s="42">
        <v>36529.749000000003</v>
      </c>
      <c r="G20" s="1">
        <v>40065.178</v>
      </c>
      <c r="H20" s="1">
        <v>40528.845999999998</v>
      </c>
      <c r="I20" s="1">
        <v>42793.769</v>
      </c>
      <c r="J20" s="1">
        <v>42798.175000000003</v>
      </c>
      <c r="K20" s="1">
        <v>41210.766000000003</v>
      </c>
      <c r="L20" s="1">
        <v>47203.319000000003</v>
      </c>
      <c r="M20" s="1">
        <v>49631.807999999997</v>
      </c>
      <c r="N20" s="1">
        <v>55407.398000000001</v>
      </c>
      <c r="O20" s="1">
        <v>59546.521000000001</v>
      </c>
      <c r="P20" s="1">
        <v>59412.542000000001</v>
      </c>
      <c r="Q20" s="1">
        <v>63106.552000000003</v>
      </c>
      <c r="R20" s="1">
        <v>64720.044000000002</v>
      </c>
      <c r="S20" s="1">
        <v>67446.395999999993</v>
      </c>
      <c r="T20" s="1">
        <v>75313.303</v>
      </c>
      <c r="U20" s="1">
        <v>84300.437999999995</v>
      </c>
      <c r="V20" s="1">
        <v>86455.989000000001</v>
      </c>
      <c r="W20" s="1">
        <v>92301.345000000001</v>
      </c>
      <c r="X20" s="1">
        <v>91053.88</v>
      </c>
      <c r="Y20" s="1">
        <v>91715.686000000002</v>
      </c>
      <c r="Z20" s="1">
        <v>98976.053</v>
      </c>
      <c r="AA20" s="1">
        <v>104110.632</v>
      </c>
      <c r="AB20" s="1">
        <v>103257.717</v>
      </c>
      <c r="AC20" s="1">
        <v>114097.223</v>
      </c>
    </row>
    <row r="21" spans="1:29" s="11" customFormat="1">
      <c r="A21" s="1" t="s">
        <v>14</v>
      </c>
      <c r="B21" s="1">
        <v>12742</v>
      </c>
      <c r="C21" s="1">
        <v>14554</v>
      </c>
      <c r="D21" s="1">
        <v>16259</v>
      </c>
      <c r="E21" s="1">
        <v>19764.248</v>
      </c>
      <c r="F21" s="42">
        <v>19649.22</v>
      </c>
      <c r="G21" s="1">
        <v>21208.958999999999</v>
      </c>
      <c r="H21" s="1">
        <v>23605.656999999999</v>
      </c>
      <c r="I21" s="1">
        <v>27416.768</v>
      </c>
      <c r="J21" s="1">
        <v>28432.608</v>
      </c>
      <c r="K21" s="1">
        <v>30143.205999999998</v>
      </c>
      <c r="L21" s="1">
        <v>36630.150999999998</v>
      </c>
      <c r="M21" s="1">
        <v>42600.468000000001</v>
      </c>
      <c r="N21" s="1">
        <v>41837.281000000003</v>
      </c>
      <c r="O21" s="1">
        <v>43358.546999999999</v>
      </c>
      <c r="P21" s="1">
        <v>43807.055999999997</v>
      </c>
      <c r="Q21" s="1">
        <v>51105.985999999997</v>
      </c>
      <c r="R21" s="1">
        <v>54082.824999999997</v>
      </c>
      <c r="S21" s="1">
        <v>56595.45</v>
      </c>
      <c r="T21" s="1">
        <v>62858.311000000002</v>
      </c>
      <c r="U21" s="1">
        <v>70183.858999999997</v>
      </c>
      <c r="V21" s="1">
        <v>71531.179000000004</v>
      </c>
      <c r="W21" s="1">
        <v>79056.69</v>
      </c>
      <c r="X21" s="1">
        <v>80353.851999999999</v>
      </c>
      <c r="Y21" s="1">
        <v>84022.398000000001</v>
      </c>
      <c r="Z21" s="1">
        <v>87854.21</v>
      </c>
      <c r="AA21" s="1">
        <v>85787.629000000001</v>
      </c>
      <c r="AB21" s="1">
        <v>80526.414000000004</v>
      </c>
      <c r="AC21" s="1">
        <v>73073.774000000005</v>
      </c>
    </row>
    <row r="22" spans="1:29">
      <c r="A22" s="1" t="s">
        <v>15</v>
      </c>
      <c r="B22" s="1">
        <v>104790</v>
      </c>
      <c r="C22" s="1">
        <v>113176</v>
      </c>
      <c r="D22" s="1">
        <v>120285</v>
      </c>
      <c r="E22" s="1">
        <v>195889.568</v>
      </c>
      <c r="F22" s="42">
        <v>190394.217</v>
      </c>
      <c r="G22" s="1">
        <v>181430.55900000001</v>
      </c>
      <c r="H22" s="1">
        <v>210405.09099999999</v>
      </c>
      <c r="I22" s="1">
        <v>201042.565</v>
      </c>
      <c r="J22" s="1">
        <v>234039.84299999999</v>
      </c>
      <c r="K22" s="1">
        <v>251441.44899999999</v>
      </c>
      <c r="L22" s="1">
        <v>265614.51</v>
      </c>
      <c r="M22" s="1">
        <v>300477.20199999999</v>
      </c>
      <c r="N22" s="1">
        <v>315916.67800000001</v>
      </c>
      <c r="O22" s="1">
        <v>329944.82900000003</v>
      </c>
      <c r="P22" s="1">
        <v>355362.09</v>
      </c>
      <c r="Q22" s="1">
        <v>362945.45699999999</v>
      </c>
      <c r="R22" s="1">
        <v>392307.22399999999</v>
      </c>
      <c r="S22" s="1">
        <v>420238.86200000002</v>
      </c>
      <c r="T22" s="1">
        <v>452446.11900000001</v>
      </c>
      <c r="U22" s="1">
        <v>505232.19799999997</v>
      </c>
      <c r="V22" s="1">
        <v>636588.35100000002</v>
      </c>
      <c r="W22" s="1">
        <v>664972.37300000002</v>
      </c>
      <c r="X22" s="1">
        <v>673993.91700000002</v>
      </c>
      <c r="Y22" s="1">
        <v>739840.99300000002</v>
      </c>
      <c r="Z22" s="1">
        <v>759520.951</v>
      </c>
      <c r="AA22" s="1">
        <v>764852.38199999998</v>
      </c>
      <c r="AB22" s="1">
        <v>821734.29799999995</v>
      </c>
      <c r="AC22" s="1">
        <v>880536.647</v>
      </c>
    </row>
    <row r="23" spans="1:29">
      <c r="A23" s="1" t="s">
        <v>16</v>
      </c>
      <c r="B23" s="1">
        <v>25166</v>
      </c>
      <c r="C23" s="1">
        <v>30330</v>
      </c>
      <c r="D23" s="1">
        <v>32119</v>
      </c>
      <c r="E23" s="1">
        <v>45196.803</v>
      </c>
      <c r="F23" s="42">
        <v>46576.285000000003</v>
      </c>
      <c r="G23" s="1">
        <v>48460.13</v>
      </c>
      <c r="H23" s="1">
        <v>52743.608</v>
      </c>
      <c r="I23" s="1">
        <v>57632.373</v>
      </c>
      <c r="J23" s="1">
        <v>57431.663999999997</v>
      </c>
      <c r="K23" s="1">
        <v>64484.108</v>
      </c>
      <c r="L23" s="1">
        <v>68047.563999999998</v>
      </c>
      <c r="M23" s="1">
        <v>74980.933999999994</v>
      </c>
      <c r="N23" s="1">
        <v>73520.28</v>
      </c>
      <c r="O23" s="1">
        <v>79061.553</v>
      </c>
      <c r="P23" s="1">
        <v>86073.217999999993</v>
      </c>
      <c r="Q23" s="1">
        <v>97217.398000000001</v>
      </c>
      <c r="R23" s="1">
        <v>105953.147</v>
      </c>
      <c r="S23" s="1">
        <v>116618.84699999999</v>
      </c>
      <c r="T23" s="1">
        <v>139178.579</v>
      </c>
      <c r="U23" s="1">
        <v>139017.84700000001</v>
      </c>
      <c r="V23" s="1">
        <v>145787.05900000001</v>
      </c>
      <c r="W23" s="1">
        <v>167053.38800000001</v>
      </c>
      <c r="X23" s="1">
        <v>178086.071</v>
      </c>
      <c r="Y23" s="1">
        <v>186488.31700000001</v>
      </c>
      <c r="Z23" s="1">
        <v>190834.41</v>
      </c>
      <c r="AA23" s="1">
        <v>196374.296</v>
      </c>
      <c r="AB23" s="1">
        <v>199621.997</v>
      </c>
      <c r="AC23" s="1">
        <v>192674.08</v>
      </c>
    </row>
    <row r="24" spans="1:29">
      <c r="A24" s="24" t="s">
        <v>17</v>
      </c>
      <c r="B24" s="24">
        <v>2349</v>
      </c>
      <c r="C24" s="24">
        <v>2506</v>
      </c>
      <c r="D24" s="24">
        <v>2682</v>
      </c>
      <c r="E24" s="24">
        <v>2378.2779999999998</v>
      </c>
      <c r="F24" s="45">
        <v>2466.0790000000002</v>
      </c>
      <c r="G24" s="24">
        <v>3054</v>
      </c>
      <c r="H24" s="24">
        <v>3720.9</v>
      </c>
      <c r="I24" s="24">
        <v>4004.357</v>
      </c>
      <c r="J24" s="24">
        <v>4437.9809999999998</v>
      </c>
      <c r="K24" s="24">
        <v>4008.9290699999929</v>
      </c>
      <c r="L24" s="24">
        <v>4307.6930000000002</v>
      </c>
      <c r="M24" s="24">
        <v>5152.4110000000001</v>
      </c>
      <c r="N24" s="24">
        <v>3874.0540000000001</v>
      </c>
      <c r="O24" s="24">
        <v>5979.3029999999999</v>
      </c>
      <c r="P24" s="24">
        <v>5196.9160000000002</v>
      </c>
      <c r="Q24" s="24">
        <v>14450.045</v>
      </c>
      <c r="R24" s="24">
        <v>11852.411</v>
      </c>
      <c r="S24" s="24">
        <v>14418.423000000001</v>
      </c>
      <c r="T24" s="24">
        <v>15592.944</v>
      </c>
      <c r="U24" s="24">
        <v>19129.222000000002</v>
      </c>
      <c r="V24" s="24">
        <v>29892.255000000001</v>
      </c>
      <c r="W24" s="24">
        <v>31792.557000000001</v>
      </c>
      <c r="X24" s="24">
        <v>35908.046999999999</v>
      </c>
      <c r="Y24" s="24">
        <v>33953.124000000003</v>
      </c>
      <c r="Z24" s="24">
        <v>34904.127999999997</v>
      </c>
      <c r="AA24" s="24">
        <v>31423.9</v>
      </c>
      <c r="AB24" s="24">
        <v>32634.955000000002</v>
      </c>
      <c r="AC24" s="24">
        <v>31740.933000000001</v>
      </c>
    </row>
    <row r="25" spans="1:29">
      <c r="A25" s="7" t="s">
        <v>120</v>
      </c>
      <c r="B25" s="48">
        <f>SUM(B27:B39)</f>
        <v>0</v>
      </c>
      <c r="C25" s="48">
        <f t="shared" ref="C25:AC25" si="10">SUM(C27:C39)</f>
        <v>0</v>
      </c>
      <c r="D25" s="48">
        <f t="shared" si="10"/>
        <v>0</v>
      </c>
      <c r="E25" s="48">
        <f t="shared" si="10"/>
        <v>0</v>
      </c>
      <c r="F25" s="48">
        <f t="shared" si="10"/>
        <v>677342.71499999997</v>
      </c>
      <c r="G25" s="48">
        <f t="shared" si="10"/>
        <v>0</v>
      </c>
      <c r="H25" s="48">
        <f t="shared" si="10"/>
        <v>0</v>
      </c>
      <c r="I25" s="48">
        <f t="shared" si="10"/>
        <v>738076.67499999993</v>
      </c>
      <c r="J25" s="48">
        <f t="shared" si="10"/>
        <v>0</v>
      </c>
      <c r="K25" s="48">
        <f t="shared" si="10"/>
        <v>1050798.82914</v>
      </c>
      <c r="L25" s="48">
        <f t="shared" si="10"/>
        <v>997353.72600000002</v>
      </c>
      <c r="M25" s="48">
        <f t="shared" si="10"/>
        <v>1097665.6680000001</v>
      </c>
      <c r="N25" s="48">
        <f t="shared" si="10"/>
        <v>1145382.4510000001</v>
      </c>
      <c r="O25" s="48">
        <f t="shared" si="10"/>
        <v>1142460.173</v>
      </c>
      <c r="P25" s="48">
        <f t="shared" si="10"/>
        <v>1155769.2520000001</v>
      </c>
      <c r="Q25" s="48">
        <f t="shared" si="10"/>
        <v>1356452.3780000003</v>
      </c>
      <c r="R25" s="48">
        <f t="shared" si="10"/>
        <v>1455129.4579999999</v>
      </c>
      <c r="S25" s="48">
        <f t="shared" si="10"/>
        <v>1552688.331</v>
      </c>
      <c r="T25" s="48">
        <f t="shared" si="10"/>
        <v>1765968.7819999999</v>
      </c>
      <c r="U25" s="48">
        <f t="shared" si="10"/>
        <v>1858746.1159999997</v>
      </c>
      <c r="V25" s="48">
        <f t="shared" si="10"/>
        <v>2065432.6529999997</v>
      </c>
      <c r="W25" s="48">
        <f t="shared" si="10"/>
        <v>2179775.8859999999</v>
      </c>
      <c r="X25" s="48">
        <f t="shared" si="10"/>
        <v>2201407.9939999999</v>
      </c>
      <c r="Y25" s="48">
        <f t="shared" si="10"/>
        <v>1595891.4580000003</v>
      </c>
      <c r="Z25" s="48">
        <f t="shared" si="10"/>
        <v>1670111.9549999998</v>
      </c>
      <c r="AA25" s="48">
        <f t="shared" si="10"/>
        <v>1693846.2990000001</v>
      </c>
      <c r="AB25" s="48">
        <f t="shared" si="10"/>
        <v>2450840.8070000005</v>
      </c>
      <c r="AC25" s="48">
        <f t="shared" si="10"/>
        <v>2632975.8620000002</v>
      </c>
    </row>
    <row r="26" spans="1:29">
      <c r="A26" s="7" t="s">
        <v>119</v>
      </c>
      <c r="X26" s="1">
        <v>0</v>
      </c>
      <c r="Y26" s="1">
        <v>0</v>
      </c>
      <c r="AB26" s="1">
        <v>0</v>
      </c>
      <c r="AC26" s="1">
        <v>0</v>
      </c>
    </row>
    <row r="27" spans="1:29">
      <c r="A27" s="1" t="s">
        <v>85</v>
      </c>
      <c r="F27" s="42">
        <v>438.86500000000001</v>
      </c>
      <c r="I27" s="1">
        <v>496.846</v>
      </c>
      <c r="K27" s="1">
        <v>494.19499999999999</v>
      </c>
      <c r="L27" s="1">
        <v>3777.3560000000002</v>
      </c>
      <c r="M27" s="1">
        <v>565.76400000000001</v>
      </c>
      <c r="N27" s="1">
        <v>3375.83</v>
      </c>
      <c r="O27" s="1">
        <v>3941.26</v>
      </c>
      <c r="P27" s="1">
        <v>3517.01</v>
      </c>
      <c r="Q27" s="1">
        <v>570.93299999999999</v>
      </c>
      <c r="R27" s="1">
        <v>2921.306</v>
      </c>
      <c r="S27" s="1">
        <v>3595.4789999999998</v>
      </c>
      <c r="T27" s="1">
        <v>2931.8449999999998</v>
      </c>
      <c r="U27" s="1">
        <v>3834.8989999999999</v>
      </c>
      <c r="V27" s="1">
        <v>4018.2449999999999</v>
      </c>
      <c r="W27" s="1">
        <v>1135.0830000000001</v>
      </c>
      <c r="X27" s="1">
        <v>4227.71</v>
      </c>
      <c r="Y27" s="1">
        <v>1210.8330000000001</v>
      </c>
      <c r="AB27" s="1">
        <v>4229.7489999999998</v>
      </c>
      <c r="AC27" s="1">
        <v>5308.8819999999996</v>
      </c>
    </row>
    <row r="28" spans="1:29">
      <c r="A28" s="1" t="s">
        <v>86</v>
      </c>
      <c r="F28" s="42">
        <v>43285.129000000001</v>
      </c>
      <c r="I28" s="1">
        <v>50997.94</v>
      </c>
      <c r="K28" s="1">
        <v>83105.585919999983</v>
      </c>
      <c r="L28" s="1">
        <v>82017.919999999998</v>
      </c>
      <c r="M28" s="1">
        <v>88376.99</v>
      </c>
      <c r="N28" s="1">
        <v>101156.448</v>
      </c>
      <c r="O28" s="1">
        <v>103769.39599999999</v>
      </c>
      <c r="P28" s="1">
        <v>113860.575</v>
      </c>
      <c r="Q28" s="1">
        <v>122067.91800000001</v>
      </c>
      <c r="R28" s="1">
        <v>132061.73000000001</v>
      </c>
      <c r="S28" s="1">
        <v>146235.503</v>
      </c>
      <c r="T28" s="1">
        <v>167589.27600000001</v>
      </c>
      <c r="U28" s="1">
        <v>180458.87599999999</v>
      </c>
      <c r="V28" s="1">
        <v>190072.989</v>
      </c>
      <c r="W28" s="1">
        <v>177439.897</v>
      </c>
      <c r="X28" s="1">
        <v>191151.375</v>
      </c>
      <c r="Y28" s="1">
        <v>55919.800999999999</v>
      </c>
      <c r="Z28" s="1">
        <v>53592.442999999999</v>
      </c>
      <c r="AA28" s="1">
        <v>52165.667000000001</v>
      </c>
      <c r="AB28" s="1">
        <v>196890.29300000001</v>
      </c>
      <c r="AC28" s="1">
        <v>204497.76500000001</v>
      </c>
    </row>
    <row r="29" spans="1:29">
      <c r="A29" s="1" t="s">
        <v>87</v>
      </c>
      <c r="F29" s="42">
        <v>425188.43199999997</v>
      </c>
      <c r="I29" s="1">
        <v>433709.408</v>
      </c>
      <c r="K29" s="1">
        <v>651037.88754999998</v>
      </c>
      <c r="L29" s="1">
        <v>561479.32900000003</v>
      </c>
      <c r="M29" s="1">
        <v>632065.79299999995</v>
      </c>
      <c r="N29" s="1">
        <v>641671.81499999994</v>
      </c>
      <c r="O29" s="1">
        <v>625636.31200000003</v>
      </c>
      <c r="P29" s="1">
        <v>643882.00300000003</v>
      </c>
      <c r="Q29" s="1">
        <v>815578.68799999997</v>
      </c>
      <c r="R29" s="1">
        <v>873417.81400000001</v>
      </c>
      <c r="S29" s="1">
        <v>976138.83299999998</v>
      </c>
      <c r="T29" s="1">
        <v>1100349.2050000001</v>
      </c>
      <c r="U29" s="1">
        <v>1089010.139</v>
      </c>
      <c r="V29" s="1">
        <v>1218726.9169999999</v>
      </c>
      <c r="W29" s="1">
        <v>1314312.6059999999</v>
      </c>
      <c r="X29" s="1">
        <v>1301455.5</v>
      </c>
      <c r="Y29" s="1">
        <v>942221.73800000001</v>
      </c>
      <c r="Z29" s="1">
        <v>974286.54299999995</v>
      </c>
      <c r="AA29" s="1">
        <v>989709.473</v>
      </c>
      <c r="AB29" s="1">
        <v>1470390.1569999999</v>
      </c>
      <c r="AC29" s="1">
        <v>1589544.6340000001</v>
      </c>
    </row>
    <row r="30" spans="1:29">
      <c r="A30" s="1" t="s">
        <v>88</v>
      </c>
      <c r="F30" s="42">
        <v>27904.799999999999</v>
      </c>
      <c r="I30" s="1">
        <v>34637.58</v>
      </c>
      <c r="K30" s="1">
        <v>40869.675999999999</v>
      </c>
      <c r="L30" s="1">
        <v>38230.159</v>
      </c>
      <c r="M30" s="1">
        <v>40477.427000000003</v>
      </c>
      <c r="N30" s="1">
        <v>45422.908000000003</v>
      </c>
      <c r="O30" s="1">
        <v>45129.7</v>
      </c>
      <c r="P30" s="1">
        <v>45424.870999999999</v>
      </c>
      <c r="Q30" s="1">
        <v>43133.875999999997</v>
      </c>
      <c r="R30" s="1">
        <v>45795.557000000001</v>
      </c>
      <c r="S30" s="1">
        <v>46605.303999999996</v>
      </c>
      <c r="T30" s="1">
        <v>56709.938999999998</v>
      </c>
      <c r="U30" s="1">
        <v>64573.118999999999</v>
      </c>
      <c r="V30" s="1">
        <v>72951.573000000004</v>
      </c>
      <c r="W30" s="1">
        <v>76133.581000000006</v>
      </c>
      <c r="X30" s="1">
        <v>82551.062999999995</v>
      </c>
      <c r="Y30" s="1">
        <v>45730.455000000002</v>
      </c>
      <c r="Z30" s="1">
        <v>44425.195</v>
      </c>
      <c r="AA30" s="1">
        <v>55198.864999999998</v>
      </c>
      <c r="AB30" s="1">
        <v>70441.171000000002</v>
      </c>
      <c r="AC30" s="1">
        <v>79658.645999999993</v>
      </c>
    </row>
    <row r="31" spans="1:29">
      <c r="A31" s="1" t="s">
        <v>91</v>
      </c>
      <c r="F31" s="42">
        <v>6562.152</v>
      </c>
      <c r="I31" s="1">
        <v>7101.0190000000002</v>
      </c>
      <c r="K31" s="1">
        <v>14130.583000000001</v>
      </c>
      <c r="L31" s="1">
        <v>11317.593000000001</v>
      </c>
      <c r="M31" s="1">
        <v>11921.713</v>
      </c>
      <c r="N31" s="1">
        <v>13519.664000000001</v>
      </c>
      <c r="O31" s="1">
        <v>15459.689</v>
      </c>
      <c r="P31" s="1">
        <v>12175.398999999999</v>
      </c>
      <c r="Q31" s="1">
        <v>12755.172</v>
      </c>
      <c r="R31" s="1">
        <v>11474.177</v>
      </c>
      <c r="S31" s="1">
        <v>13227.89</v>
      </c>
      <c r="T31" s="1">
        <v>15131.288</v>
      </c>
      <c r="U31" s="1">
        <v>22085.781999999999</v>
      </c>
      <c r="V31" s="1">
        <v>24494.245999999999</v>
      </c>
      <c r="W31" s="1">
        <v>28046.928</v>
      </c>
      <c r="X31" s="1">
        <v>30070.429</v>
      </c>
      <c r="Y31" s="1">
        <v>32195.514999999999</v>
      </c>
      <c r="Z31" s="1">
        <v>32418.375</v>
      </c>
      <c r="AA31" s="1">
        <v>39082.063000000002</v>
      </c>
      <c r="AB31" s="1">
        <v>25037.469000000001</v>
      </c>
      <c r="AC31" s="1">
        <v>27095.632000000001</v>
      </c>
    </row>
    <row r="32" spans="1:29">
      <c r="A32" s="1" t="s">
        <v>92</v>
      </c>
      <c r="F32" s="42">
        <v>4960.0950000000003</v>
      </c>
      <c r="I32" s="1">
        <v>4511.8940000000002</v>
      </c>
      <c r="K32" s="1">
        <v>5177.817</v>
      </c>
      <c r="L32" s="1">
        <v>7891.317</v>
      </c>
      <c r="M32" s="1">
        <v>10226.376</v>
      </c>
      <c r="N32" s="1">
        <v>12320.096</v>
      </c>
      <c r="O32" s="1">
        <v>12780.198</v>
      </c>
      <c r="P32" s="1">
        <v>13970.878000000001</v>
      </c>
      <c r="Q32" s="1">
        <v>14463.78</v>
      </c>
      <c r="R32" s="1">
        <v>15251.897000000001</v>
      </c>
      <c r="S32" s="1">
        <v>15060.962</v>
      </c>
      <c r="T32" s="1">
        <v>15877.33</v>
      </c>
      <c r="U32" s="1">
        <v>16654.427</v>
      </c>
      <c r="V32" s="1">
        <v>19341.384999999998</v>
      </c>
      <c r="W32" s="1">
        <v>19010.741000000002</v>
      </c>
      <c r="X32" s="1">
        <v>27856.145</v>
      </c>
      <c r="Y32" s="1">
        <v>19762.275000000001</v>
      </c>
      <c r="Z32" s="1">
        <v>20176.098000000002</v>
      </c>
      <c r="AA32" s="1">
        <v>17570.858</v>
      </c>
      <c r="AB32" s="1">
        <v>23129.006000000001</v>
      </c>
      <c r="AC32" s="1">
        <v>24028.563999999998</v>
      </c>
    </row>
    <row r="33" spans="1:29">
      <c r="A33" s="1" t="s">
        <v>100</v>
      </c>
      <c r="F33" s="42">
        <v>5791.0659999999998</v>
      </c>
      <c r="I33" s="1">
        <v>5153.1229999999996</v>
      </c>
      <c r="K33" s="1">
        <v>6248.0304699999988</v>
      </c>
      <c r="L33" s="1">
        <v>8192.2710000000006</v>
      </c>
      <c r="M33" s="1">
        <v>10574.003000000001</v>
      </c>
      <c r="N33" s="1">
        <v>14002.976000000001</v>
      </c>
      <c r="O33" s="1">
        <v>12509.261</v>
      </c>
      <c r="P33" s="1">
        <v>11205.584999999999</v>
      </c>
      <c r="Q33" s="1">
        <v>14691.478999999999</v>
      </c>
      <c r="R33" s="1">
        <v>15746.035</v>
      </c>
      <c r="S33" s="1">
        <v>13429.754000000001</v>
      </c>
      <c r="T33" s="1">
        <v>13006.047</v>
      </c>
      <c r="U33" s="1">
        <v>13573.395</v>
      </c>
      <c r="V33" s="1">
        <v>15970.666999999999</v>
      </c>
      <c r="W33" s="1">
        <v>18867.490000000002</v>
      </c>
      <c r="X33" s="1">
        <v>20201.932000000001</v>
      </c>
      <c r="Y33" s="1">
        <v>18459.057000000001</v>
      </c>
      <c r="Z33" s="1">
        <v>19438.666000000001</v>
      </c>
      <c r="AA33" s="1">
        <v>18312.963</v>
      </c>
      <c r="AB33" s="1">
        <v>19178.202000000001</v>
      </c>
      <c r="AC33" s="1">
        <v>19674.677</v>
      </c>
    </row>
    <row r="34" spans="1:29">
      <c r="A34" s="1" t="s">
        <v>102</v>
      </c>
      <c r="F34" s="42">
        <v>7478.5209999999997</v>
      </c>
      <c r="I34" s="1">
        <v>8849.9449999999997</v>
      </c>
      <c r="K34" s="1">
        <v>14774</v>
      </c>
      <c r="L34" s="1">
        <v>15364</v>
      </c>
      <c r="M34" s="1">
        <v>15857</v>
      </c>
      <c r="N34" s="1">
        <v>17012.194</v>
      </c>
      <c r="O34" s="1">
        <v>18260</v>
      </c>
      <c r="P34" s="1">
        <v>10750</v>
      </c>
      <c r="Q34" s="1">
        <v>12052</v>
      </c>
      <c r="R34" s="1">
        <v>13973</v>
      </c>
      <c r="S34" s="1">
        <v>9463</v>
      </c>
      <c r="T34" s="1">
        <v>10218</v>
      </c>
      <c r="U34" s="1">
        <v>34481.96</v>
      </c>
      <c r="V34" s="1">
        <v>41438.398000000001</v>
      </c>
      <c r="W34" s="1">
        <v>42943.968000000001</v>
      </c>
      <c r="X34" s="1">
        <v>40216.688999999998</v>
      </c>
      <c r="Y34" s="1">
        <v>40646.904000000002</v>
      </c>
      <c r="Z34" s="1">
        <v>42368.771000000001</v>
      </c>
      <c r="AA34" s="1">
        <v>42043.11</v>
      </c>
      <c r="AB34" s="1">
        <v>39089.724999999999</v>
      </c>
      <c r="AC34" s="1">
        <v>37248.148999999998</v>
      </c>
    </row>
    <row r="35" spans="1:29">
      <c r="A35" s="1" t="s">
        <v>105</v>
      </c>
      <c r="F35" s="42">
        <v>15444.692999999999</v>
      </c>
      <c r="I35" s="1">
        <v>21459.377</v>
      </c>
      <c r="K35" s="1">
        <v>27787.719239999995</v>
      </c>
      <c r="L35" s="1">
        <v>35215.296999999999</v>
      </c>
      <c r="M35" s="1">
        <v>34242.754000000001</v>
      </c>
      <c r="N35" s="1">
        <v>37631.178</v>
      </c>
      <c r="O35" s="1">
        <v>39927.438999999998</v>
      </c>
      <c r="P35" s="1">
        <v>41083.362999999998</v>
      </c>
      <c r="Q35" s="1">
        <v>45757.03</v>
      </c>
      <c r="R35" s="1">
        <v>50758.66</v>
      </c>
      <c r="S35" s="1">
        <v>50556.127</v>
      </c>
      <c r="T35" s="1">
        <v>54946.326000000001</v>
      </c>
      <c r="U35" s="1">
        <v>64940.800000000003</v>
      </c>
      <c r="V35" s="1">
        <v>70710.433999999994</v>
      </c>
      <c r="W35" s="1">
        <v>79502.966</v>
      </c>
      <c r="X35" s="1">
        <v>83177.365999999995</v>
      </c>
      <c r="Y35" s="1">
        <v>62620.766000000003</v>
      </c>
      <c r="Z35" s="1">
        <v>70507.501999999993</v>
      </c>
      <c r="AA35" s="1">
        <v>72440.960000000006</v>
      </c>
      <c r="AB35" s="1">
        <v>94579.712</v>
      </c>
      <c r="AC35" s="1">
        <v>96920.971999999994</v>
      </c>
    </row>
    <row r="36" spans="1:29">
      <c r="A36" s="1" t="s">
        <v>109</v>
      </c>
      <c r="F36" s="42">
        <v>52234.101999999999</v>
      </c>
      <c r="I36" s="1">
        <v>66960.494999999995</v>
      </c>
      <c r="K36" s="1">
        <v>85613.751099999994</v>
      </c>
      <c r="L36" s="1">
        <v>92844.197</v>
      </c>
      <c r="M36" s="1">
        <v>95058.383000000002</v>
      </c>
      <c r="N36" s="1">
        <v>95202.441000000006</v>
      </c>
      <c r="O36" s="1">
        <v>95892.221999999994</v>
      </c>
      <c r="P36" s="1">
        <v>81172.687000000005</v>
      </c>
      <c r="Q36" s="1">
        <v>94551.851999999999</v>
      </c>
      <c r="R36" s="1">
        <v>97611.861999999994</v>
      </c>
      <c r="S36" s="1">
        <v>90434.775999999998</v>
      </c>
      <c r="T36" s="1">
        <v>115564.58900000001</v>
      </c>
      <c r="U36" s="1">
        <v>135894.114</v>
      </c>
      <c r="V36" s="1">
        <v>140534.61199999999</v>
      </c>
      <c r="W36" s="1">
        <v>148233.97700000001</v>
      </c>
      <c r="X36" s="1">
        <v>154766.842</v>
      </c>
      <c r="Y36" s="1">
        <v>149220.57699999999</v>
      </c>
      <c r="Z36" s="1">
        <v>157444.568</v>
      </c>
      <c r="AA36" s="1">
        <v>139119.261</v>
      </c>
      <c r="AB36" s="1">
        <v>180834.7</v>
      </c>
      <c r="AC36" s="1">
        <v>178190.74900000001</v>
      </c>
    </row>
    <row r="37" spans="1:29">
      <c r="A37" s="1" t="s">
        <v>113</v>
      </c>
      <c r="F37" s="42">
        <v>17650.214</v>
      </c>
      <c r="I37" s="1">
        <v>15126.347</v>
      </c>
      <c r="K37" s="1">
        <v>18419.662</v>
      </c>
      <c r="L37" s="1">
        <v>17873.337</v>
      </c>
      <c r="M37" s="1">
        <v>20128.763999999999</v>
      </c>
      <c r="N37" s="1">
        <v>25120.899000000001</v>
      </c>
      <c r="O37" s="1">
        <v>25388.28</v>
      </c>
      <c r="P37" s="1">
        <v>28320.039000000001</v>
      </c>
      <c r="Q37" s="1">
        <v>27259.448</v>
      </c>
      <c r="R37" s="1">
        <v>29512.602999999999</v>
      </c>
      <c r="S37" s="1">
        <v>33230.601000000002</v>
      </c>
      <c r="T37" s="1">
        <v>37355.781000000003</v>
      </c>
      <c r="U37" s="1">
        <v>37660.559999999998</v>
      </c>
      <c r="V37" s="1">
        <v>40639.125999999997</v>
      </c>
      <c r="W37" s="1">
        <v>43329.324000000001</v>
      </c>
      <c r="X37" s="1">
        <v>35837.699999999997</v>
      </c>
      <c r="Y37" s="1">
        <v>46976.705000000002</v>
      </c>
      <c r="Z37" s="1">
        <v>49971.008000000002</v>
      </c>
      <c r="AA37" s="1">
        <v>54410.951000000001</v>
      </c>
      <c r="AB37" s="1">
        <v>48629.504000000001</v>
      </c>
      <c r="AC37" s="1">
        <v>53991.707999999999</v>
      </c>
    </row>
    <row r="38" spans="1:29">
      <c r="A38" s="1" t="s">
        <v>115</v>
      </c>
      <c r="F38" s="42">
        <v>60530.813999999998</v>
      </c>
      <c r="I38" s="1">
        <v>77690.801999999996</v>
      </c>
      <c r="K38" s="1">
        <v>91635.985860000015</v>
      </c>
      <c r="L38" s="1">
        <v>110218.59</v>
      </c>
      <c r="M38" s="1">
        <v>124988.31</v>
      </c>
      <c r="N38" s="1">
        <v>121789.31</v>
      </c>
      <c r="O38" s="1">
        <v>125730.898</v>
      </c>
      <c r="P38" s="1">
        <v>131929.44099999999</v>
      </c>
      <c r="Q38" s="1">
        <v>134084.52299999999</v>
      </c>
      <c r="R38" s="1">
        <v>144093.649</v>
      </c>
      <c r="S38" s="1">
        <v>131845.538</v>
      </c>
      <c r="T38" s="1">
        <v>148090.476</v>
      </c>
      <c r="U38" s="1">
        <v>165393.05799999999</v>
      </c>
      <c r="V38" s="1">
        <v>193103.266</v>
      </c>
      <c r="W38" s="1">
        <v>194315.47899999999</v>
      </c>
      <c r="X38" s="1">
        <v>188618.52600000001</v>
      </c>
      <c r="Y38" s="1">
        <v>140167.12700000001</v>
      </c>
      <c r="Z38" s="1">
        <v>160472.66500000001</v>
      </c>
      <c r="AA38" s="1">
        <v>166723.99299999999</v>
      </c>
      <c r="AB38" s="1">
        <v>229555.13</v>
      </c>
      <c r="AC38" s="1">
        <v>266332.94</v>
      </c>
    </row>
    <row r="39" spans="1:29">
      <c r="A39" s="24" t="s">
        <v>117</v>
      </c>
      <c r="B39" s="24"/>
      <c r="C39" s="24"/>
      <c r="D39" s="24"/>
      <c r="E39" s="24"/>
      <c r="F39" s="45">
        <v>9873.8320000000003</v>
      </c>
      <c r="G39" s="24"/>
      <c r="H39" s="24"/>
      <c r="I39" s="24">
        <v>11381.898999999999</v>
      </c>
      <c r="J39" s="24"/>
      <c r="K39" s="24">
        <v>11503.936</v>
      </c>
      <c r="L39" s="24">
        <v>12932.36</v>
      </c>
      <c r="M39" s="24">
        <v>13182.391</v>
      </c>
      <c r="N39" s="24">
        <v>17156.691999999999</v>
      </c>
      <c r="O39" s="24">
        <v>18035.518</v>
      </c>
      <c r="P39" s="24">
        <v>18477.401000000002</v>
      </c>
      <c r="Q39" s="24">
        <v>19485.679</v>
      </c>
      <c r="R39" s="24">
        <v>22511.168000000001</v>
      </c>
      <c r="S39" s="24">
        <v>22864.563999999998</v>
      </c>
      <c r="T39" s="24">
        <v>28198.68</v>
      </c>
      <c r="U39" s="24">
        <v>30184.987000000001</v>
      </c>
      <c r="V39" s="24">
        <v>33430.794999999998</v>
      </c>
      <c r="W39" s="24">
        <v>36503.845999999998</v>
      </c>
      <c r="X39" s="24">
        <v>41276.716999999997</v>
      </c>
      <c r="Y39" s="24">
        <v>40759.705000000002</v>
      </c>
      <c r="Z39" s="24">
        <v>45010.120999999999</v>
      </c>
      <c r="AA39" s="24">
        <v>47068.135000000002</v>
      </c>
      <c r="AB39" s="24">
        <v>48855.989000000001</v>
      </c>
      <c r="AC39" s="24">
        <v>50482.544000000002</v>
      </c>
    </row>
    <row r="40" spans="1:29">
      <c r="A40" s="7" t="s">
        <v>121</v>
      </c>
      <c r="B40" s="48">
        <f>SUM(B42:B53)</f>
        <v>0</v>
      </c>
      <c r="C40" s="48">
        <f t="shared" ref="C40:AC40" si="11">SUM(C42:C53)</f>
        <v>0</v>
      </c>
      <c r="D40" s="48">
        <f t="shared" si="11"/>
        <v>0</v>
      </c>
      <c r="E40" s="48">
        <f t="shared" si="11"/>
        <v>0</v>
      </c>
      <c r="F40" s="48">
        <f t="shared" si="11"/>
        <v>578195.77400000009</v>
      </c>
      <c r="G40" s="48">
        <f t="shared" si="11"/>
        <v>0</v>
      </c>
      <c r="H40" s="48">
        <f t="shared" si="11"/>
        <v>0</v>
      </c>
      <c r="I40" s="48">
        <f t="shared" si="11"/>
        <v>678213.54300000018</v>
      </c>
      <c r="J40" s="48">
        <f t="shared" si="11"/>
        <v>0</v>
      </c>
      <c r="K40" s="48">
        <f t="shared" si="11"/>
        <v>819865.7980200001</v>
      </c>
      <c r="L40" s="48">
        <f t="shared" si="11"/>
        <v>957602.93099999987</v>
      </c>
      <c r="M40" s="48">
        <f t="shared" si="11"/>
        <v>1012364.9090000001</v>
      </c>
      <c r="N40" s="48">
        <f t="shared" si="11"/>
        <v>1083467.389</v>
      </c>
      <c r="O40" s="48">
        <f t="shared" si="11"/>
        <v>1010727.9969999999</v>
      </c>
      <c r="P40" s="48">
        <f t="shared" si="11"/>
        <v>1159221.7560000001</v>
      </c>
      <c r="Q40" s="48">
        <f t="shared" si="11"/>
        <v>1142548.4829999998</v>
      </c>
      <c r="R40" s="48">
        <f t="shared" si="11"/>
        <v>1204880.7749999997</v>
      </c>
      <c r="S40" s="48">
        <f t="shared" si="11"/>
        <v>1246270.3419999999</v>
      </c>
      <c r="T40" s="48">
        <f t="shared" si="11"/>
        <v>1413970.449</v>
      </c>
      <c r="U40" s="48">
        <f t="shared" si="11"/>
        <v>1537271.112</v>
      </c>
      <c r="V40" s="48">
        <f t="shared" si="11"/>
        <v>1705094.8399999999</v>
      </c>
      <c r="W40" s="48">
        <f t="shared" si="11"/>
        <v>1873102.8149999999</v>
      </c>
      <c r="X40" s="48">
        <f t="shared" si="11"/>
        <v>1977174.0249999997</v>
      </c>
      <c r="Y40" s="48">
        <f t="shared" si="11"/>
        <v>1544800.5719999999</v>
      </c>
      <c r="Z40" s="48">
        <f t="shared" si="11"/>
        <v>1609155.4760000003</v>
      </c>
      <c r="AA40" s="48">
        <f t="shared" si="11"/>
        <v>1664729.3669999999</v>
      </c>
      <c r="AB40" s="48">
        <f t="shared" si="11"/>
        <v>2197025.1190000004</v>
      </c>
      <c r="AC40" s="48">
        <f t="shared" si="11"/>
        <v>2261571.449</v>
      </c>
    </row>
    <row r="41" spans="1:29">
      <c r="A41" s="7" t="s">
        <v>119</v>
      </c>
      <c r="X41" s="1">
        <v>0</v>
      </c>
      <c r="Y41" s="1">
        <v>0</v>
      </c>
      <c r="AB41" s="1">
        <v>0</v>
      </c>
      <c r="AC41" s="1">
        <v>0</v>
      </c>
    </row>
    <row r="42" spans="1:29">
      <c r="A42" s="1" t="s">
        <v>93</v>
      </c>
      <c r="F42" s="42">
        <v>181533.625</v>
      </c>
      <c r="I42" s="1">
        <v>220466.217</v>
      </c>
      <c r="K42" s="1">
        <v>263691.41899999999</v>
      </c>
      <c r="L42" s="1">
        <v>339043.86499999999</v>
      </c>
      <c r="M42" s="1">
        <v>357776.571</v>
      </c>
      <c r="N42" s="1">
        <v>369778.43900000001</v>
      </c>
      <c r="O42" s="1">
        <v>285232.69099999999</v>
      </c>
      <c r="P42" s="1">
        <v>383497.848</v>
      </c>
      <c r="Q42" s="1">
        <v>328717.71799999999</v>
      </c>
      <c r="R42" s="1">
        <v>335227.42499999999</v>
      </c>
      <c r="S42" s="1">
        <v>354337.41600000003</v>
      </c>
      <c r="T42" s="1">
        <v>398443.54399999999</v>
      </c>
      <c r="U42" s="1">
        <v>435243.32299999997</v>
      </c>
      <c r="V42" s="1">
        <v>471207.79599999997</v>
      </c>
      <c r="W42" s="1">
        <v>530431.26</v>
      </c>
      <c r="X42" s="1">
        <v>549510.21699999995</v>
      </c>
      <c r="Y42" s="1">
        <v>355292.91800000001</v>
      </c>
      <c r="Z42" s="1">
        <v>364901.82699999999</v>
      </c>
      <c r="AA42" s="1">
        <v>395823.72200000001</v>
      </c>
      <c r="AB42" s="1">
        <v>631038.03500000003</v>
      </c>
      <c r="AC42" s="1">
        <v>656749.36300000001</v>
      </c>
    </row>
    <row r="43" spans="1:29">
      <c r="A43" s="1" t="s">
        <v>58</v>
      </c>
      <c r="F43" s="42">
        <v>24353.472000000002</v>
      </c>
      <c r="I43" s="1">
        <v>26436.383999999998</v>
      </c>
      <c r="K43" s="1">
        <v>40326.834000000003</v>
      </c>
      <c r="L43" s="1">
        <v>30331.116000000002</v>
      </c>
      <c r="M43" s="1">
        <v>32805.546999999999</v>
      </c>
      <c r="N43" s="1">
        <v>38775.629999999997</v>
      </c>
      <c r="O43" s="1">
        <v>39739.987999999998</v>
      </c>
      <c r="P43" s="1">
        <v>33942.379000000001</v>
      </c>
      <c r="Q43" s="1">
        <v>42483.552000000003</v>
      </c>
      <c r="R43" s="1">
        <v>43700.487999999998</v>
      </c>
      <c r="S43" s="1">
        <v>45465.468999999997</v>
      </c>
      <c r="T43" s="1">
        <v>37599.345000000001</v>
      </c>
      <c r="U43" s="1">
        <v>55823.375999999997</v>
      </c>
      <c r="V43" s="1">
        <v>74116.963000000003</v>
      </c>
      <c r="W43" s="1">
        <v>71906.731</v>
      </c>
      <c r="X43" s="1">
        <v>114013.679</v>
      </c>
      <c r="Y43" s="1">
        <v>114579.671</v>
      </c>
      <c r="Z43" s="1">
        <v>118451.728</v>
      </c>
      <c r="AA43" s="1">
        <v>116278.111</v>
      </c>
      <c r="AB43" s="1">
        <v>94761.023000000001</v>
      </c>
      <c r="AC43" s="1">
        <v>104349.427</v>
      </c>
    </row>
    <row r="44" spans="1:29">
      <c r="A44" s="1" t="s">
        <v>94</v>
      </c>
      <c r="F44" s="42">
        <v>37088.69</v>
      </c>
      <c r="I44" s="1">
        <v>45200.260999999999</v>
      </c>
      <c r="K44" s="1">
        <v>49088.75</v>
      </c>
      <c r="L44" s="1">
        <v>66818.947</v>
      </c>
      <c r="M44" s="1">
        <v>71090.994999999995</v>
      </c>
      <c r="N44" s="1">
        <v>84185.703999999998</v>
      </c>
      <c r="O44" s="1">
        <v>71751.792000000001</v>
      </c>
      <c r="P44" s="1">
        <v>81946.206999999995</v>
      </c>
      <c r="Q44" s="1">
        <v>84401.907000000007</v>
      </c>
      <c r="R44" s="1">
        <v>89996.805999999997</v>
      </c>
      <c r="S44" s="1">
        <v>101559.314</v>
      </c>
      <c r="T44" s="1">
        <v>110602.299</v>
      </c>
      <c r="U44" s="1">
        <v>121024.743</v>
      </c>
      <c r="V44" s="1">
        <v>140918.83600000001</v>
      </c>
      <c r="W44" s="1">
        <v>152696.51199999999</v>
      </c>
      <c r="X44" s="1">
        <v>166158.44099999999</v>
      </c>
      <c r="Y44" s="1">
        <v>160486.535</v>
      </c>
      <c r="Z44" s="1">
        <v>172150.486</v>
      </c>
      <c r="AA44" s="1">
        <v>182961.62100000001</v>
      </c>
      <c r="AB44" s="1">
        <v>204415.92199999999</v>
      </c>
      <c r="AC44" s="1">
        <v>213617.40100000001</v>
      </c>
    </row>
    <row r="45" spans="1:29">
      <c r="A45" s="1" t="s">
        <v>95</v>
      </c>
      <c r="F45" s="42">
        <v>33181.629000000001</v>
      </c>
      <c r="I45" s="1">
        <v>40095.739000000001</v>
      </c>
      <c r="K45" s="1">
        <v>42958.65110000001</v>
      </c>
      <c r="L45" s="1">
        <v>51459.798999999999</v>
      </c>
      <c r="M45" s="1">
        <v>57106.252</v>
      </c>
      <c r="N45" s="1">
        <v>60326.86</v>
      </c>
      <c r="O45" s="1">
        <v>60374.457999999999</v>
      </c>
      <c r="P45" s="1">
        <v>61724.427000000003</v>
      </c>
      <c r="Q45" s="1">
        <v>67115.596000000005</v>
      </c>
      <c r="R45" s="1">
        <v>71388.231</v>
      </c>
      <c r="S45" s="1">
        <v>77793.676000000007</v>
      </c>
      <c r="T45" s="1">
        <v>83157.402000000002</v>
      </c>
      <c r="U45" s="1">
        <v>101295.929</v>
      </c>
      <c r="V45" s="1">
        <v>108381.37699999999</v>
      </c>
      <c r="W45" s="1">
        <v>113313.701</v>
      </c>
      <c r="X45" s="1">
        <v>124492.607</v>
      </c>
      <c r="Y45" s="1">
        <v>97140.115999999995</v>
      </c>
      <c r="Z45" s="1">
        <v>100098.171</v>
      </c>
      <c r="AA45" s="1">
        <v>106200.298</v>
      </c>
      <c r="AB45" s="1">
        <v>136393.86499999999</v>
      </c>
      <c r="AC45" s="1">
        <v>134443.451</v>
      </c>
    </row>
    <row r="46" spans="1:29">
      <c r="A46" s="1" t="s">
        <v>98</v>
      </c>
      <c r="F46" s="42">
        <v>79761.52</v>
      </c>
      <c r="I46" s="1">
        <v>89085.922000000006</v>
      </c>
      <c r="K46" s="1">
        <v>99306.957069999989</v>
      </c>
      <c r="L46" s="1">
        <v>124155.09299999999</v>
      </c>
      <c r="M46" s="1">
        <v>129252.959</v>
      </c>
      <c r="N46" s="1">
        <v>159984.24799999999</v>
      </c>
      <c r="O46" s="1">
        <v>154061.372</v>
      </c>
      <c r="P46" s="1">
        <v>183341.291</v>
      </c>
      <c r="Q46" s="1">
        <v>177169.19699999999</v>
      </c>
      <c r="R46" s="1">
        <v>185624.23</v>
      </c>
      <c r="S46" s="1">
        <v>190676.242</v>
      </c>
      <c r="T46" s="1">
        <v>201764.486</v>
      </c>
      <c r="U46" s="1">
        <v>209718.86499999999</v>
      </c>
      <c r="V46" s="1">
        <v>213063.55799999999</v>
      </c>
      <c r="W46" s="1">
        <v>212202.93799999999</v>
      </c>
      <c r="X46" s="1">
        <v>219383.87700000001</v>
      </c>
      <c r="Y46" s="1">
        <v>209571.24299999999</v>
      </c>
      <c r="Z46" s="1">
        <v>210371.13699999999</v>
      </c>
      <c r="AA46" s="1">
        <v>225776.43700000001</v>
      </c>
      <c r="AB46" s="1">
        <v>250335.9</v>
      </c>
      <c r="AC46" s="1">
        <v>258627.902</v>
      </c>
    </row>
    <row r="47" spans="1:29">
      <c r="A47" s="1" t="s">
        <v>99</v>
      </c>
      <c r="F47" s="42">
        <v>45631.381999999998</v>
      </c>
      <c r="I47" s="1">
        <v>65497.317999999999</v>
      </c>
      <c r="K47" s="1">
        <v>75626.096340000004</v>
      </c>
      <c r="L47" s="1">
        <v>68569.452999999994</v>
      </c>
      <c r="M47" s="1">
        <v>71030.149000000005</v>
      </c>
      <c r="N47" s="1">
        <v>72284.706000000006</v>
      </c>
      <c r="O47" s="1">
        <v>71637.895999999993</v>
      </c>
      <c r="P47" s="1">
        <v>77295.259000000005</v>
      </c>
      <c r="Q47" s="1">
        <v>79156.346999999994</v>
      </c>
      <c r="R47" s="1">
        <v>85205.98</v>
      </c>
      <c r="S47" s="1">
        <v>86519.466</v>
      </c>
      <c r="T47" s="1">
        <v>108775.145</v>
      </c>
      <c r="U47" s="1">
        <v>113916.821</v>
      </c>
      <c r="V47" s="1">
        <v>127405.54700000001</v>
      </c>
      <c r="W47" s="1">
        <v>129580</v>
      </c>
      <c r="X47" s="1">
        <v>123497.724</v>
      </c>
      <c r="Y47" s="1">
        <v>103267.031</v>
      </c>
      <c r="Z47" s="1">
        <v>101207.91099999999</v>
      </c>
      <c r="AA47" s="1">
        <v>104792.66499999999</v>
      </c>
      <c r="AB47" s="1">
        <v>131705.139</v>
      </c>
      <c r="AC47" s="1">
        <v>129291.81600000001</v>
      </c>
    </row>
    <row r="48" spans="1:29">
      <c r="A48" s="1" t="s">
        <v>59</v>
      </c>
      <c r="F48" s="42">
        <v>29013.58</v>
      </c>
      <c r="I48" s="1">
        <v>15116.838</v>
      </c>
      <c r="K48" s="1">
        <v>44819.987999999998</v>
      </c>
      <c r="L48" s="1">
        <v>21615.327000000001</v>
      </c>
      <c r="M48" s="1">
        <v>26642.15</v>
      </c>
      <c r="N48" s="1">
        <v>23447.495999999999</v>
      </c>
      <c r="O48" s="1">
        <v>24842.941999999999</v>
      </c>
      <c r="P48" s="1">
        <v>27197.114000000001</v>
      </c>
      <c r="Q48" s="1">
        <v>31201.553</v>
      </c>
      <c r="R48" s="1">
        <v>34694.508999999998</v>
      </c>
      <c r="S48" s="1">
        <v>35021.913</v>
      </c>
      <c r="T48" s="1">
        <v>41804.457999999999</v>
      </c>
      <c r="U48" s="1">
        <v>47402.642</v>
      </c>
      <c r="V48" s="1">
        <v>51196.695</v>
      </c>
      <c r="W48" s="1">
        <v>94174.301000000007</v>
      </c>
      <c r="X48" s="1">
        <v>107865.099</v>
      </c>
      <c r="Y48" s="1">
        <v>103446.371</v>
      </c>
      <c r="Z48" s="1">
        <v>129212.107</v>
      </c>
      <c r="AA48" s="1">
        <v>111731.611</v>
      </c>
      <c r="AB48" s="1">
        <v>133450.77900000001</v>
      </c>
      <c r="AC48" s="1">
        <v>132154.01300000001</v>
      </c>
    </row>
    <row r="49" spans="1:29">
      <c r="A49" s="1" t="s">
        <v>101</v>
      </c>
      <c r="F49" s="42">
        <v>14569.786</v>
      </c>
      <c r="I49" s="1">
        <v>16877.287</v>
      </c>
      <c r="K49" s="1">
        <v>23842.672999999999</v>
      </c>
      <c r="L49" s="1">
        <v>28195.679</v>
      </c>
      <c r="M49" s="1">
        <v>30012.008000000002</v>
      </c>
      <c r="N49" s="1">
        <v>31727.413</v>
      </c>
      <c r="O49" s="1">
        <v>36124.353000000003</v>
      </c>
      <c r="P49" s="1">
        <v>38165.722000000002</v>
      </c>
      <c r="Q49" s="1">
        <v>38761.021000000001</v>
      </c>
      <c r="R49" s="1">
        <v>41208.607000000004</v>
      </c>
      <c r="S49" s="1">
        <v>42458.815999999999</v>
      </c>
      <c r="T49" s="1">
        <v>45411.887999999999</v>
      </c>
      <c r="U49" s="1">
        <v>46927.637999999999</v>
      </c>
      <c r="V49" s="1">
        <v>57725</v>
      </c>
      <c r="W49" s="1">
        <v>67459.63</v>
      </c>
      <c r="X49" s="1">
        <v>64652.998</v>
      </c>
      <c r="Y49" s="1">
        <v>54051.423999999999</v>
      </c>
      <c r="Z49" s="1">
        <v>58209.076000000001</v>
      </c>
      <c r="AA49" s="1">
        <v>62986.199000000001</v>
      </c>
      <c r="AB49" s="1">
        <v>80411.948000000004</v>
      </c>
      <c r="AC49" s="1">
        <v>84329.846999999994</v>
      </c>
    </row>
    <row r="50" spans="1:29">
      <c r="A50" s="1" t="s">
        <v>107</v>
      </c>
      <c r="F50" s="42">
        <v>5222.1930000000002</v>
      </c>
      <c r="I50" s="1">
        <v>5429.2</v>
      </c>
      <c r="K50" s="1">
        <v>7634.6005900000036</v>
      </c>
      <c r="L50" s="1">
        <v>9744.2350000000006</v>
      </c>
      <c r="M50" s="1">
        <v>6796.3339999999998</v>
      </c>
      <c r="N50" s="1">
        <v>7818.9849999999997</v>
      </c>
      <c r="O50" s="1">
        <v>8100.6589999999997</v>
      </c>
      <c r="P50" s="1">
        <v>8904.9750000000004</v>
      </c>
      <c r="Q50" s="1">
        <v>14133.938</v>
      </c>
      <c r="R50" s="1">
        <v>15993.13</v>
      </c>
      <c r="S50" s="1">
        <v>12417.759</v>
      </c>
      <c r="T50" s="1">
        <v>7993.1030000000001</v>
      </c>
      <c r="U50" s="1">
        <v>15195.397000000001</v>
      </c>
      <c r="V50" s="1">
        <v>19023.284</v>
      </c>
      <c r="W50" s="1">
        <v>20824.949000000001</v>
      </c>
      <c r="X50" s="1">
        <v>20343.36</v>
      </c>
      <c r="Y50" s="1">
        <v>21768.449000000001</v>
      </c>
      <c r="Z50" s="1">
        <v>23443.304</v>
      </c>
      <c r="AA50" s="1">
        <v>24585.848999999998</v>
      </c>
      <c r="AB50" s="1">
        <v>27121.874</v>
      </c>
      <c r="AC50" s="1">
        <v>23758.911</v>
      </c>
    </row>
    <row r="51" spans="1:29">
      <c r="A51" s="1" t="s">
        <v>108</v>
      </c>
      <c r="F51" s="42">
        <v>75521.194000000003</v>
      </c>
      <c r="I51" s="1">
        <v>91421.032000000007</v>
      </c>
      <c r="K51" s="1">
        <v>98758.680999999997</v>
      </c>
      <c r="L51" s="1">
        <v>126371.174</v>
      </c>
      <c r="M51" s="1">
        <v>131705.226</v>
      </c>
      <c r="N51" s="1">
        <v>130480.72199999999</v>
      </c>
      <c r="O51" s="1">
        <v>146921.00599999999</v>
      </c>
      <c r="P51" s="1">
        <v>147190.86600000001</v>
      </c>
      <c r="Q51" s="1">
        <v>154185.46900000001</v>
      </c>
      <c r="R51" s="1">
        <v>168143.73199999999</v>
      </c>
      <c r="S51" s="1">
        <v>169635.84599999999</v>
      </c>
      <c r="T51" s="1">
        <v>232951.67</v>
      </c>
      <c r="U51" s="1">
        <v>232902.43700000001</v>
      </c>
      <c r="V51" s="1">
        <v>252848.14499999999</v>
      </c>
      <c r="W51" s="1">
        <v>277232.29800000001</v>
      </c>
      <c r="X51" s="1">
        <v>289240.592</v>
      </c>
      <c r="Y51" s="1">
        <v>278554.50699999998</v>
      </c>
      <c r="Z51" s="1">
        <v>283160.03200000001</v>
      </c>
      <c r="AA51" s="1">
        <v>278919.353</v>
      </c>
      <c r="AB51" s="1">
        <v>283549.53499999997</v>
      </c>
      <c r="AC51" s="1">
        <v>299791.359</v>
      </c>
    </row>
    <row r="52" spans="1:29">
      <c r="A52" s="1" t="s">
        <v>112</v>
      </c>
      <c r="F52" s="42">
        <v>132.01499999999999</v>
      </c>
      <c r="I52" s="1">
        <v>337.40300000000002</v>
      </c>
      <c r="K52" s="1">
        <v>3968.5779199999979</v>
      </c>
      <c r="L52" s="1">
        <v>4179.7370000000001</v>
      </c>
      <c r="M52" s="1">
        <v>4733.1000000000004</v>
      </c>
      <c r="N52" s="1">
        <v>3494.7510000000002</v>
      </c>
      <c r="O52" s="1">
        <v>6454.2539999999999</v>
      </c>
      <c r="P52" s="1">
        <v>6549.2169999999996</v>
      </c>
      <c r="Q52" s="1">
        <v>5844.8770000000004</v>
      </c>
      <c r="R52" s="1">
        <v>6835.0479999999998</v>
      </c>
      <c r="S52" s="1">
        <v>8155.8549999999996</v>
      </c>
      <c r="T52" s="1">
        <v>9619.1489999999994</v>
      </c>
      <c r="U52" s="1">
        <v>11724.165999999999</v>
      </c>
      <c r="V52" s="1">
        <v>10756.105</v>
      </c>
      <c r="W52" s="1">
        <v>12039.374</v>
      </c>
      <c r="X52" s="1">
        <v>11192.058000000001</v>
      </c>
      <c r="Y52" s="1">
        <v>14430.842000000001</v>
      </c>
      <c r="Z52" s="1">
        <v>14035.245999999999</v>
      </c>
      <c r="AA52" s="1">
        <v>15828.058000000001</v>
      </c>
      <c r="AB52" s="1">
        <v>16699.849999999999</v>
      </c>
      <c r="AC52" s="1">
        <v>16642.471000000001</v>
      </c>
    </row>
    <row r="53" spans="1:29">
      <c r="A53" s="24" t="s">
        <v>116</v>
      </c>
      <c r="B53" s="24"/>
      <c r="C53" s="24"/>
      <c r="D53" s="24"/>
      <c r="E53" s="24"/>
      <c r="F53" s="45">
        <v>52186.688000000002</v>
      </c>
      <c r="G53" s="24"/>
      <c r="H53" s="24"/>
      <c r="I53" s="24">
        <v>62249.942000000003</v>
      </c>
      <c r="J53" s="24"/>
      <c r="K53" s="24">
        <v>69842.570000000007</v>
      </c>
      <c r="L53" s="24">
        <v>87118.505999999994</v>
      </c>
      <c r="M53" s="24">
        <v>93413.618000000002</v>
      </c>
      <c r="N53" s="24">
        <v>101162.435</v>
      </c>
      <c r="O53" s="24">
        <v>105486.586</v>
      </c>
      <c r="P53" s="24">
        <v>109466.451</v>
      </c>
      <c r="Q53" s="24">
        <v>119377.308</v>
      </c>
      <c r="R53" s="24">
        <v>126862.58900000001</v>
      </c>
      <c r="S53" s="24">
        <v>122228.57</v>
      </c>
      <c r="T53" s="24">
        <v>135847.96</v>
      </c>
      <c r="U53" s="24">
        <v>146095.77499999999</v>
      </c>
      <c r="V53" s="24">
        <v>178451.53400000001</v>
      </c>
      <c r="W53" s="24">
        <v>191241.12100000001</v>
      </c>
      <c r="X53" s="24">
        <v>186823.37299999999</v>
      </c>
      <c r="Y53" s="24">
        <v>32211.465</v>
      </c>
      <c r="Z53" s="24">
        <v>33914.451000000001</v>
      </c>
      <c r="AA53" s="24">
        <v>38845.442999999999</v>
      </c>
      <c r="AB53" s="24">
        <v>207141.24900000001</v>
      </c>
      <c r="AC53" s="24">
        <v>207815.48800000001</v>
      </c>
    </row>
    <row r="54" spans="1:29">
      <c r="A54" s="7" t="s">
        <v>122</v>
      </c>
      <c r="B54" s="48">
        <f>SUM(B56:B64)</f>
        <v>0</v>
      </c>
      <c r="C54" s="48">
        <f t="shared" ref="C54:AC54" si="12">SUM(C56:C64)</f>
        <v>0</v>
      </c>
      <c r="D54" s="48">
        <f t="shared" si="12"/>
        <v>0</v>
      </c>
      <c r="E54" s="48">
        <f t="shared" si="12"/>
        <v>0</v>
      </c>
      <c r="F54" s="48">
        <f t="shared" si="12"/>
        <v>374464.89000000007</v>
      </c>
      <c r="G54" s="48">
        <f t="shared" si="12"/>
        <v>0</v>
      </c>
      <c r="H54" s="48">
        <f t="shared" si="12"/>
        <v>0</v>
      </c>
      <c r="I54" s="48">
        <f t="shared" si="12"/>
        <v>446807.39599999995</v>
      </c>
      <c r="J54" s="48">
        <f t="shared" si="12"/>
        <v>0</v>
      </c>
      <c r="K54" s="48">
        <f t="shared" si="12"/>
        <v>501502.08132999996</v>
      </c>
      <c r="L54" s="48">
        <f t="shared" si="12"/>
        <v>558359.30999999994</v>
      </c>
      <c r="M54" s="48">
        <f t="shared" si="12"/>
        <v>629186.97700000007</v>
      </c>
      <c r="N54" s="48">
        <f t="shared" si="12"/>
        <v>642893.54399999999</v>
      </c>
      <c r="O54" s="48">
        <f t="shared" si="12"/>
        <v>672921.27999999991</v>
      </c>
      <c r="P54" s="48">
        <f t="shared" si="12"/>
        <v>708228.90500000014</v>
      </c>
      <c r="Q54" s="48">
        <f t="shared" si="12"/>
        <v>743293.51500000001</v>
      </c>
      <c r="R54" s="48">
        <f t="shared" si="12"/>
        <v>785438.9709999999</v>
      </c>
      <c r="S54" s="48">
        <f t="shared" si="12"/>
        <v>853449.20600000001</v>
      </c>
      <c r="T54" s="48">
        <f t="shared" si="12"/>
        <v>931319.29399999999</v>
      </c>
      <c r="U54" s="48">
        <f t="shared" si="12"/>
        <v>1068048.5159999998</v>
      </c>
      <c r="V54" s="48">
        <f t="shared" si="12"/>
        <v>1235557.7490000001</v>
      </c>
      <c r="W54" s="48">
        <f t="shared" si="12"/>
        <v>1279381.8769999996</v>
      </c>
      <c r="X54" s="48">
        <f t="shared" si="12"/>
        <v>1289720.598</v>
      </c>
      <c r="Y54" s="48">
        <f t="shared" si="12"/>
        <v>1332266.4190000002</v>
      </c>
      <c r="Z54" s="48">
        <f t="shared" si="12"/>
        <v>1373862.6430000002</v>
      </c>
      <c r="AA54" s="48">
        <f t="shared" si="12"/>
        <v>1322269.7819999999</v>
      </c>
      <c r="AB54" s="48">
        <f t="shared" si="12"/>
        <v>1316214.943</v>
      </c>
      <c r="AC54" s="48">
        <f t="shared" si="12"/>
        <v>1336200.3540000003</v>
      </c>
    </row>
    <row r="55" spans="1:29">
      <c r="A55" s="7" t="s">
        <v>119</v>
      </c>
      <c r="X55" s="1">
        <v>0</v>
      </c>
      <c r="Y55" s="1">
        <v>0</v>
      </c>
      <c r="AB55" s="1">
        <v>0</v>
      </c>
      <c r="AC55" s="1">
        <v>0</v>
      </c>
    </row>
    <row r="56" spans="1:29">
      <c r="A56" s="1" t="s">
        <v>89</v>
      </c>
      <c r="F56" s="42">
        <v>17507.056</v>
      </c>
      <c r="I56" s="1">
        <v>19835.912</v>
      </c>
      <c r="K56" s="1">
        <v>28959.079659999996</v>
      </c>
      <c r="L56" s="1">
        <v>37877.033000000003</v>
      </c>
      <c r="M56" s="1">
        <v>38495.567000000003</v>
      </c>
      <c r="N56" s="1">
        <v>39759.059000000001</v>
      </c>
      <c r="O56" s="1">
        <v>41113.139000000003</v>
      </c>
      <c r="P56" s="1">
        <v>37583.387000000002</v>
      </c>
      <c r="Q56" s="1">
        <v>38934.17</v>
      </c>
      <c r="R56" s="1">
        <v>40325.356</v>
      </c>
      <c r="S56" s="1">
        <v>43061.822999999997</v>
      </c>
      <c r="T56" s="1">
        <v>48351.923999999999</v>
      </c>
      <c r="U56" s="1">
        <v>47052.775999999998</v>
      </c>
      <c r="V56" s="1">
        <v>54570.885000000002</v>
      </c>
      <c r="W56" s="1">
        <v>57946.726999999999</v>
      </c>
      <c r="X56" s="1">
        <v>56947.192999999999</v>
      </c>
      <c r="Y56" s="1">
        <v>58622.078999999998</v>
      </c>
      <c r="Z56" s="1">
        <v>61957.152000000002</v>
      </c>
      <c r="AA56" s="1">
        <v>64089.552000000003</v>
      </c>
      <c r="AB56" s="1">
        <v>53029.91</v>
      </c>
      <c r="AC56" s="1">
        <v>52265.82</v>
      </c>
    </row>
    <row r="57" spans="1:29">
      <c r="A57" s="1" t="s">
        <v>96</v>
      </c>
      <c r="F57" s="42">
        <v>3686.1640000000002</v>
      </c>
      <c r="I57" s="1">
        <v>4494.5420000000004</v>
      </c>
      <c r="K57" s="1">
        <v>5719.2629999999999</v>
      </c>
      <c r="L57" s="1">
        <v>7915.2470000000003</v>
      </c>
      <c r="M57" s="1">
        <v>7866.1890000000003</v>
      </c>
      <c r="N57" s="1">
        <v>7392.1890000000003</v>
      </c>
      <c r="O57" s="1">
        <v>7977.6149999999998</v>
      </c>
      <c r="P57" s="1">
        <v>8821.8359999999993</v>
      </c>
      <c r="Q57" s="1">
        <v>8953.7510000000002</v>
      </c>
      <c r="R57" s="1">
        <v>9233.2279999999992</v>
      </c>
      <c r="S57" s="1">
        <v>9843.7950000000001</v>
      </c>
      <c r="T57" s="1">
        <v>11079.682000000001</v>
      </c>
      <c r="U57" s="1">
        <v>14190.941000000001</v>
      </c>
      <c r="V57" s="1">
        <v>14668.825000000001</v>
      </c>
      <c r="W57" s="1">
        <v>15213.776</v>
      </c>
      <c r="X57" s="1">
        <v>16017.784</v>
      </c>
      <c r="Y57" s="1">
        <v>16237.94</v>
      </c>
      <c r="Z57" s="1">
        <v>16945.2</v>
      </c>
      <c r="AA57" s="1">
        <v>17764.031999999999</v>
      </c>
      <c r="AB57" s="1">
        <v>18001.653999999999</v>
      </c>
      <c r="AC57" s="1">
        <v>17666.927</v>
      </c>
    </row>
    <row r="58" spans="1:29" s="11" customFormat="1">
      <c r="A58" s="1" t="s">
        <v>97</v>
      </c>
      <c r="B58" s="1"/>
      <c r="C58" s="1"/>
      <c r="D58" s="1"/>
      <c r="E58" s="1"/>
      <c r="F58" s="42">
        <v>36792.972999999998</v>
      </c>
      <c r="G58" s="1"/>
      <c r="H58" s="1"/>
      <c r="I58" s="1">
        <v>51550.262999999999</v>
      </c>
      <c r="J58" s="1"/>
      <c r="K58" s="1">
        <v>49196.392999999996</v>
      </c>
      <c r="L58" s="1">
        <v>65854.947</v>
      </c>
      <c r="M58" s="1">
        <v>71342.301999999996</v>
      </c>
      <c r="N58" s="1">
        <v>66311.592999999993</v>
      </c>
      <c r="O58" s="1">
        <v>64187.607000000004</v>
      </c>
      <c r="P58" s="1">
        <v>66964.168000000005</v>
      </c>
      <c r="Q58" s="1">
        <v>70960.376999999993</v>
      </c>
      <c r="R58" s="1">
        <v>78434.099000000002</v>
      </c>
      <c r="S58" s="1">
        <v>81183.63</v>
      </c>
      <c r="T58" s="1">
        <v>83587.399000000005</v>
      </c>
      <c r="U58" s="1">
        <v>83841.555999999997</v>
      </c>
      <c r="V58" s="1">
        <v>100545.765</v>
      </c>
      <c r="W58" s="1">
        <v>106476.569</v>
      </c>
      <c r="X58" s="1">
        <v>112429.26300000001</v>
      </c>
      <c r="Y58" s="1">
        <v>112758.345</v>
      </c>
      <c r="Z58" s="1">
        <v>127021.94500000001</v>
      </c>
      <c r="AA58" s="1">
        <v>134554.573</v>
      </c>
      <c r="AB58" s="1">
        <v>133779.36199999999</v>
      </c>
      <c r="AC58" s="1">
        <v>137049.62899999999</v>
      </c>
    </row>
    <row r="59" spans="1:29">
      <c r="A59" s="1" t="s">
        <v>103</v>
      </c>
      <c r="F59" s="42">
        <v>3593.9430000000002</v>
      </c>
      <c r="I59" s="1">
        <v>11058.396000000001</v>
      </c>
      <c r="K59" s="1">
        <v>14828.843210000001</v>
      </c>
      <c r="L59" s="1">
        <v>15367.911</v>
      </c>
      <c r="M59" s="1">
        <v>16758.04</v>
      </c>
      <c r="N59" s="1">
        <v>17302.145</v>
      </c>
      <c r="O59" s="1">
        <v>21244.578000000001</v>
      </c>
      <c r="P59" s="1">
        <v>21753.429</v>
      </c>
      <c r="Q59" s="1">
        <v>25061.865000000002</v>
      </c>
      <c r="R59" s="1">
        <v>22574.235000000001</v>
      </c>
      <c r="S59" s="1">
        <v>31541.472000000002</v>
      </c>
      <c r="T59" s="1">
        <v>31030.405999999999</v>
      </c>
      <c r="U59" s="1">
        <v>35728.188000000002</v>
      </c>
      <c r="V59" s="1">
        <v>54299.775999999998</v>
      </c>
      <c r="W59" s="1">
        <v>66716.998999999996</v>
      </c>
      <c r="X59" s="1">
        <v>37397.769</v>
      </c>
      <c r="Y59" s="1">
        <v>40903.635999999999</v>
      </c>
      <c r="Z59" s="1">
        <v>41698.07</v>
      </c>
      <c r="AA59" s="1">
        <v>41179.523999999998</v>
      </c>
      <c r="AB59" s="1">
        <v>40892.748</v>
      </c>
      <c r="AC59" s="1">
        <v>39593.218000000001</v>
      </c>
    </row>
    <row r="60" spans="1:29">
      <c r="A60" s="1" t="s">
        <v>104</v>
      </c>
      <c r="F60" s="42">
        <v>78373.732999999993</v>
      </c>
      <c r="I60" s="1">
        <v>95318.462</v>
      </c>
      <c r="K60" s="1">
        <v>106038.038</v>
      </c>
      <c r="L60" s="1">
        <v>119568.758</v>
      </c>
      <c r="M60" s="1">
        <v>134061.08900000001</v>
      </c>
      <c r="N60" s="1">
        <v>133555.97399999999</v>
      </c>
      <c r="O60" s="1">
        <v>147723.16500000001</v>
      </c>
      <c r="P60" s="1">
        <v>160201.37599999999</v>
      </c>
      <c r="Q60" s="1">
        <v>162537.33100000001</v>
      </c>
      <c r="R60" s="1">
        <v>169817.133</v>
      </c>
      <c r="S60" s="1">
        <v>176206.20600000001</v>
      </c>
      <c r="T60" s="1">
        <v>195974.43400000001</v>
      </c>
      <c r="U60" s="1">
        <v>210684.465</v>
      </c>
      <c r="V60" s="1">
        <v>255555.16099999999</v>
      </c>
      <c r="W60" s="1">
        <v>259395.068</v>
      </c>
      <c r="X60" s="1">
        <v>258829.614</v>
      </c>
      <c r="Y60" s="1">
        <v>251895.42</v>
      </c>
      <c r="Z60" s="1">
        <v>247045.959</v>
      </c>
      <c r="AA60" s="1">
        <v>246574.655</v>
      </c>
      <c r="AB60" s="1">
        <v>245275.53099999999</v>
      </c>
      <c r="AC60" s="1">
        <v>261672.77799999999</v>
      </c>
    </row>
    <row r="61" spans="1:29">
      <c r="A61" s="1" t="s">
        <v>106</v>
      </c>
      <c r="F61" s="42">
        <v>173931.1</v>
      </c>
      <c r="I61" s="1">
        <v>196048.52499999999</v>
      </c>
      <c r="K61" s="1">
        <v>221384.954</v>
      </c>
      <c r="L61" s="1">
        <v>220574.98499999999</v>
      </c>
      <c r="M61" s="1">
        <v>263619.34299999999</v>
      </c>
      <c r="N61" s="1">
        <v>274533.723</v>
      </c>
      <c r="O61" s="1">
        <v>276660.20699999999</v>
      </c>
      <c r="P61" s="1">
        <v>286502.71899999998</v>
      </c>
      <c r="Q61" s="1">
        <v>296614.359</v>
      </c>
      <c r="R61" s="1">
        <v>317356.86499999999</v>
      </c>
      <c r="S61" s="1">
        <v>363041.08799999999</v>
      </c>
      <c r="T61" s="1">
        <v>386256.46899999998</v>
      </c>
      <c r="U61" s="1">
        <v>478672.03499999997</v>
      </c>
      <c r="V61" s="1">
        <v>543859.67200000002</v>
      </c>
      <c r="W61" s="1">
        <v>560358.67799999996</v>
      </c>
      <c r="X61" s="1">
        <v>583534.93099999998</v>
      </c>
      <c r="Y61" s="1">
        <v>604168.08100000001</v>
      </c>
      <c r="Z61" s="1">
        <v>624395.65500000003</v>
      </c>
      <c r="AA61" s="1">
        <v>568941.75699999998</v>
      </c>
      <c r="AB61" s="1">
        <v>589291.67099999997</v>
      </c>
      <c r="AC61" s="1">
        <v>583750.25100000005</v>
      </c>
    </row>
    <row r="62" spans="1:29">
      <c r="A62" s="1" t="s">
        <v>110</v>
      </c>
      <c r="F62" s="42">
        <v>51767.406000000003</v>
      </c>
      <c r="I62" s="1">
        <v>60270.195</v>
      </c>
      <c r="K62" s="1">
        <v>65896.986459999986</v>
      </c>
      <c r="L62" s="1">
        <v>79741.721000000005</v>
      </c>
      <c r="M62" s="1">
        <v>84767.082999999999</v>
      </c>
      <c r="N62" s="1">
        <v>89880.55</v>
      </c>
      <c r="O62" s="1">
        <v>98940.494000000006</v>
      </c>
      <c r="P62" s="1">
        <v>108760.783</v>
      </c>
      <c r="Q62" s="1">
        <v>118766.76700000001</v>
      </c>
      <c r="R62" s="1">
        <v>125108.034</v>
      </c>
      <c r="S62" s="1">
        <v>126030.753</v>
      </c>
      <c r="T62" s="1">
        <v>149921.54999999999</v>
      </c>
      <c r="U62" s="1">
        <v>163265.09</v>
      </c>
      <c r="V62" s="1">
        <v>182651.75599999999</v>
      </c>
      <c r="W62" s="1">
        <v>184753.182</v>
      </c>
      <c r="X62" s="1">
        <v>194557.109</v>
      </c>
      <c r="Y62" s="1">
        <v>208410.883</v>
      </c>
      <c r="Z62" s="1">
        <v>215364.568</v>
      </c>
      <c r="AA62" s="1">
        <v>210095.34700000001</v>
      </c>
      <c r="AB62" s="1">
        <v>206964.234</v>
      </c>
      <c r="AC62" s="1">
        <v>213201.40400000001</v>
      </c>
    </row>
    <row r="63" spans="1:29">
      <c r="A63" s="1" t="s">
        <v>111</v>
      </c>
      <c r="F63" s="42">
        <v>6094.1639999999998</v>
      </c>
      <c r="I63" s="1">
        <v>7007.4589999999998</v>
      </c>
      <c r="K63" s="1">
        <v>7885.12</v>
      </c>
      <c r="L63" s="1">
        <v>9880.8130000000001</v>
      </c>
      <c r="M63" s="1">
        <v>10386.716</v>
      </c>
      <c r="N63" s="1">
        <v>10306.183999999999</v>
      </c>
      <c r="O63" s="1">
        <v>10713.937</v>
      </c>
      <c r="P63" s="1">
        <v>12363.285</v>
      </c>
      <c r="Q63" s="1">
        <v>15854.741</v>
      </c>
      <c r="R63" s="1">
        <v>16533.911</v>
      </c>
      <c r="S63" s="1">
        <v>17692.519</v>
      </c>
      <c r="T63" s="1">
        <v>17980.017</v>
      </c>
      <c r="U63" s="1">
        <v>19820.171999999999</v>
      </c>
      <c r="V63" s="1">
        <v>20626.677</v>
      </c>
      <c r="W63" s="1">
        <v>19663.031999999999</v>
      </c>
      <c r="X63" s="1">
        <v>20567.057000000001</v>
      </c>
      <c r="Y63" s="1">
        <v>20381.803</v>
      </c>
      <c r="Z63" s="1">
        <v>21360.246999999999</v>
      </c>
      <c r="AA63" s="1">
        <v>22316.816999999999</v>
      </c>
      <c r="AB63" s="1">
        <v>22880.262999999999</v>
      </c>
      <c r="AC63" s="1">
        <v>23956.403999999999</v>
      </c>
    </row>
    <row r="64" spans="1:29">
      <c r="A64" s="24" t="s">
        <v>114</v>
      </c>
      <c r="B64" s="24"/>
      <c r="C64" s="24"/>
      <c r="D64" s="24"/>
      <c r="E64" s="24"/>
      <c r="F64" s="45">
        <v>2718.3510000000001</v>
      </c>
      <c r="G64" s="24"/>
      <c r="H64" s="24"/>
      <c r="I64" s="24">
        <v>1223.6420000000001</v>
      </c>
      <c r="J64" s="24"/>
      <c r="K64" s="24">
        <v>1593.404</v>
      </c>
      <c r="L64" s="24">
        <v>1577.895</v>
      </c>
      <c r="M64" s="24">
        <v>1890.6479999999999</v>
      </c>
      <c r="N64" s="24">
        <v>3852.127</v>
      </c>
      <c r="O64" s="24">
        <v>4360.5379999999996</v>
      </c>
      <c r="P64" s="24">
        <v>5277.9219999999996</v>
      </c>
      <c r="Q64" s="24">
        <v>5610.1540000000005</v>
      </c>
      <c r="R64" s="24">
        <v>6056.11</v>
      </c>
      <c r="S64" s="24">
        <v>4847.92</v>
      </c>
      <c r="T64" s="24">
        <v>7137.4129999999996</v>
      </c>
      <c r="U64" s="24">
        <v>14793.293</v>
      </c>
      <c r="V64" s="24">
        <v>8779.232</v>
      </c>
      <c r="W64" s="24">
        <v>8857.8459999999995</v>
      </c>
      <c r="X64" s="24">
        <v>9439.8780000000006</v>
      </c>
      <c r="Y64" s="24">
        <v>18888.232</v>
      </c>
      <c r="Z64" s="24">
        <v>18073.847000000002</v>
      </c>
      <c r="AA64" s="24">
        <v>16753.525000000001</v>
      </c>
      <c r="AB64" s="24">
        <v>6099.57</v>
      </c>
      <c r="AC64" s="24">
        <v>7043.9229999999998</v>
      </c>
    </row>
    <row r="65" spans="1:29">
      <c r="A65" s="46" t="s">
        <v>90</v>
      </c>
      <c r="B65" s="46"/>
      <c r="C65" s="46"/>
      <c r="D65" s="46"/>
      <c r="E65" s="46"/>
      <c r="F65" s="47">
        <v>0</v>
      </c>
      <c r="G65" s="46"/>
      <c r="H65" s="46"/>
      <c r="I65" s="46">
        <v>0</v>
      </c>
      <c r="J65" s="46"/>
      <c r="K65" s="46">
        <v>0</v>
      </c>
      <c r="L65" s="46">
        <v>0</v>
      </c>
      <c r="M65" s="46">
        <v>0</v>
      </c>
      <c r="N65" s="46">
        <v>0</v>
      </c>
      <c r="O65" s="46">
        <v>0</v>
      </c>
      <c r="P65" s="46">
        <v>0</v>
      </c>
      <c r="Q65" s="46">
        <v>0</v>
      </c>
      <c r="R65" s="46">
        <v>0</v>
      </c>
      <c r="S65" s="46">
        <v>0</v>
      </c>
      <c r="T65" s="46">
        <v>0</v>
      </c>
      <c r="U65" s="46">
        <v>0</v>
      </c>
      <c r="V65" s="46">
        <v>0</v>
      </c>
      <c r="W65" s="46">
        <v>0</v>
      </c>
      <c r="X65" s="24"/>
      <c r="Y65" s="24"/>
      <c r="Z65" s="24"/>
      <c r="AA65" s="24"/>
      <c r="AB65" s="24"/>
      <c r="AC65" s="24"/>
    </row>
    <row r="66" spans="1:29">
      <c r="F66" s="15"/>
    </row>
    <row r="67" spans="1:29">
      <c r="I67" s="20" t="s">
        <v>78</v>
      </c>
      <c r="J67" s="20" t="s">
        <v>76</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abColor indexed="62"/>
  </sheetPr>
  <dimension ref="A1:AC70"/>
  <sheetViews>
    <sheetView showZeros="0" zoomScale="80" zoomScaleNormal="80" workbookViewId="0">
      <pane xSplit="1" ySplit="5" topLeftCell="Q6" activePane="bottomRight" state="frozen"/>
      <selection activeCell="B52" sqref="B52"/>
      <selection pane="topRight" activeCell="B52" sqref="B52"/>
      <selection pane="bottomLeft" activeCell="B52" sqref="B52"/>
      <selection pane="bottomRight" activeCell="AB11" sqref="AB11"/>
    </sheetView>
  </sheetViews>
  <sheetFormatPr defaultColWidth="9.7109375" defaultRowHeight="12.75"/>
  <cols>
    <col min="1" max="1" width="23.42578125" style="44" customWidth="1"/>
    <col min="2" max="22" width="12.42578125" style="1" customWidth="1"/>
    <col min="23" max="25" width="11.5703125" style="1" bestFit="1" customWidth="1"/>
    <col min="26" max="29" width="11.5703125" style="1" customWidth="1"/>
    <col min="30" max="16384" width="9.7109375" style="1"/>
  </cols>
  <sheetData>
    <row r="1" spans="1:29">
      <c r="A1" s="7" t="s">
        <v>39</v>
      </c>
      <c r="B1"/>
      <c r="C1"/>
      <c r="D1"/>
      <c r="E1"/>
      <c r="F1"/>
      <c r="G1"/>
      <c r="H1"/>
      <c r="I1"/>
      <c r="J1"/>
      <c r="K1"/>
      <c r="L1"/>
      <c r="M1"/>
      <c r="N1"/>
      <c r="O1"/>
      <c r="P1"/>
      <c r="Q1"/>
      <c r="R1"/>
      <c r="S1"/>
      <c r="T1"/>
      <c r="U1"/>
      <c r="V1"/>
      <c r="W1"/>
    </row>
    <row r="2" spans="1:29">
      <c r="A2" s="9"/>
      <c r="B2"/>
      <c r="C2"/>
      <c r="D2"/>
      <c r="E2"/>
      <c r="F2"/>
      <c r="G2"/>
      <c r="H2"/>
      <c r="I2"/>
      <c r="J2"/>
      <c r="K2"/>
      <c r="L2"/>
      <c r="M2"/>
      <c r="N2"/>
      <c r="O2"/>
      <c r="P2"/>
      <c r="Q2"/>
      <c r="R2"/>
      <c r="S2"/>
      <c r="T2"/>
      <c r="U2"/>
      <c r="V2"/>
      <c r="W2"/>
      <c r="AA2" s="1">
        <v>1000</v>
      </c>
    </row>
    <row r="3" spans="1:29">
      <c r="A3" s="1" t="s">
        <v>25</v>
      </c>
      <c r="B3"/>
      <c r="C3"/>
      <c r="D3"/>
      <c r="E3"/>
      <c r="F3"/>
      <c r="G3"/>
      <c r="H3"/>
      <c r="I3"/>
      <c r="J3"/>
      <c r="K3"/>
      <c r="L3"/>
      <c r="M3"/>
      <c r="N3"/>
      <c r="O3"/>
      <c r="P3"/>
      <c r="Q3"/>
      <c r="R3"/>
      <c r="S3"/>
      <c r="T3"/>
      <c r="U3"/>
      <c r="V3"/>
      <c r="W3"/>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c r="W4" s="40">
        <v>2011</v>
      </c>
      <c r="X4" s="33" t="s">
        <v>140</v>
      </c>
      <c r="Y4" s="33" t="s">
        <v>142</v>
      </c>
      <c r="Z4" s="33" t="s">
        <v>143</v>
      </c>
      <c r="AA4" s="33" t="s">
        <v>144</v>
      </c>
      <c r="AB4" s="96" t="s">
        <v>149</v>
      </c>
      <c r="AC4" s="96" t="s">
        <v>150</v>
      </c>
    </row>
    <row r="5" spans="1:29" s="8" customFormat="1">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c r="W5" s="8" t="s">
        <v>1</v>
      </c>
      <c r="X5" s="8" t="s">
        <v>1</v>
      </c>
      <c r="Y5" s="8" t="s">
        <v>1</v>
      </c>
      <c r="Z5" s="8" t="s">
        <v>1</v>
      </c>
      <c r="AA5" s="8" t="s">
        <v>1</v>
      </c>
      <c r="AB5" s="8" t="s">
        <v>1</v>
      </c>
      <c r="AC5" s="8" t="s">
        <v>1</v>
      </c>
    </row>
    <row r="6" spans="1:29">
      <c r="A6" s="24" t="s">
        <v>118</v>
      </c>
      <c r="B6" s="1">
        <f>807338+1253259</f>
        <v>2060597</v>
      </c>
      <c r="C6" s="1">
        <f>875210+1343860</f>
        <v>2219070</v>
      </c>
      <c r="D6" s="1">
        <f>1006975+1557254</f>
        <v>2564229</v>
      </c>
      <c r="E6" s="1">
        <v>3978087.031</v>
      </c>
      <c r="F6" s="49">
        <f>+F7+F25+F40+F54+F65</f>
        <v>4573711.7689999994</v>
      </c>
      <c r="G6" s="1">
        <v>12379675.277000001</v>
      </c>
      <c r="H6" s="1">
        <v>5413612.4060000004</v>
      </c>
      <c r="I6" s="49">
        <f>+I7+I25+I40+I54+I65</f>
        <v>5661401.3399999999</v>
      </c>
      <c r="J6" s="1">
        <v>6172991.1509999996</v>
      </c>
      <c r="K6" s="49">
        <f t="shared" ref="K6:U6" si="0">+K7+K25+K40+K54+K65</f>
        <v>6755538.5629200004</v>
      </c>
      <c r="L6" s="49">
        <f t="shared" si="0"/>
        <v>8123364.2749999985</v>
      </c>
      <c r="M6" s="49">
        <f t="shared" si="0"/>
        <v>8959347.9979999997</v>
      </c>
      <c r="N6" s="49">
        <f t="shared" si="0"/>
        <v>10099118.753</v>
      </c>
      <c r="O6" s="49">
        <f t="shared" si="0"/>
        <v>11101425.990000002</v>
      </c>
      <c r="P6" s="49">
        <f t="shared" si="0"/>
        <v>12366024.649</v>
      </c>
      <c r="Q6" s="49">
        <f t="shared" si="0"/>
        <v>13632180.964000002</v>
      </c>
      <c r="R6" s="49">
        <f t="shared" si="0"/>
        <v>14372569.117000001</v>
      </c>
      <c r="S6" s="49">
        <f t="shared" si="0"/>
        <v>15407846.331999999</v>
      </c>
      <c r="T6" s="49">
        <f t="shared" si="0"/>
        <v>16811424.227000002</v>
      </c>
      <c r="U6" s="49">
        <f t="shared" si="0"/>
        <v>18025530.422999997</v>
      </c>
      <c r="V6" s="49">
        <f t="shared" ref="V6:W6" si="1">+V7+V25+V40+V54+V65</f>
        <v>22559874.300000001</v>
      </c>
      <c r="W6" s="49">
        <f t="shared" si="1"/>
        <v>25332034.873000003</v>
      </c>
      <c r="X6" s="49">
        <f t="shared" ref="X6:Y6" si="2">+X7+X25+X40+X54+X65</f>
        <v>25981731.729999997</v>
      </c>
      <c r="Y6" s="49">
        <f t="shared" si="2"/>
        <v>26835900.177999999</v>
      </c>
      <c r="Z6" s="49">
        <f t="shared" ref="Z6:AA6" si="3">+Z7+Z25+Z40+Z54+Z65</f>
        <v>28077697.342000004</v>
      </c>
      <c r="AA6" s="49">
        <f t="shared" si="3"/>
        <v>29686245.299999993</v>
      </c>
      <c r="AB6" s="49">
        <f t="shared" ref="AB6:AC6" si="4">+AB7+AB25+AB40+AB54+AB65</f>
        <v>30994665.754000004</v>
      </c>
      <c r="AC6" s="49">
        <f t="shared" si="4"/>
        <v>31943386.437000003</v>
      </c>
    </row>
    <row r="7" spans="1:29">
      <c r="A7" s="1" t="s">
        <v>56</v>
      </c>
      <c r="B7" s="48">
        <f>SUM(B8:B24)</f>
        <v>583438</v>
      </c>
      <c r="C7" s="48">
        <f t="shared" ref="C7:U7" si="5">SUM(C8:C24)</f>
        <v>636554</v>
      </c>
      <c r="D7" s="48">
        <f t="shared" si="5"/>
        <v>790459</v>
      </c>
      <c r="E7" s="48">
        <f t="shared" si="5"/>
        <v>1273983.531</v>
      </c>
      <c r="F7" s="48">
        <f t="shared" si="5"/>
        <v>1478460.0050000001</v>
      </c>
      <c r="G7" s="48">
        <f t="shared" si="5"/>
        <v>1698413.8720000002</v>
      </c>
      <c r="H7" s="48">
        <f t="shared" si="5"/>
        <v>1714618.9349999998</v>
      </c>
      <c r="I7" s="48">
        <f t="shared" si="5"/>
        <v>1831537.175</v>
      </c>
      <c r="J7" s="48">
        <f t="shared" si="5"/>
        <v>2063623.1409999998</v>
      </c>
      <c r="K7" s="48">
        <f t="shared" si="5"/>
        <v>2342605.0197899998</v>
      </c>
      <c r="L7" s="48">
        <f t="shared" si="5"/>
        <v>2929939.051</v>
      </c>
      <c r="M7" s="48">
        <f t="shared" si="5"/>
        <v>3307888.1070000003</v>
      </c>
      <c r="N7" s="48">
        <f t="shared" si="5"/>
        <v>3787539.8160000001</v>
      </c>
      <c r="O7" s="48">
        <f t="shared" si="5"/>
        <v>4339620.4220000003</v>
      </c>
      <c r="P7" s="48">
        <f t="shared" si="5"/>
        <v>4778744.3510000007</v>
      </c>
      <c r="Q7" s="48">
        <f t="shared" si="5"/>
        <v>5284314.99</v>
      </c>
      <c r="R7" s="48">
        <f t="shared" si="5"/>
        <v>5630513.4080000008</v>
      </c>
      <c r="S7" s="48">
        <f t="shared" si="5"/>
        <v>6032535.3309999993</v>
      </c>
      <c r="T7" s="48">
        <f t="shared" si="5"/>
        <v>6585908.585</v>
      </c>
      <c r="U7" s="48">
        <f t="shared" si="5"/>
        <v>7049860.4479999999</v>
      </c>
      <c r="V7" s="48">
        <f t="shared" ref="V7:W7" si="6">SUM(V8:V24)</f>
        <v>8828228.620000001</v>
      </c>
      <c r="W7" s="48">
        <f t="shared" si="6"/>
        <v>10125253.743000001</v>
      </c>
      <c r="X7" s="48">
        <f t="shared" ref="X7:Y7" si="7">SUM(X8:X24)</f>
        <v>10048434.832999999</v>
      </c>
      <c r="Y7" s="48">
        <f t="shared" si="7"/>
        <v>10449459.470000001</v>
      </c>
      <c r="Z7" s="48">
        <f t="shared" ref="Z7:AA7" si="8">SUM(Z8:Z24)</f>
        <v>10878403.288000001</v>
      </c>
      <c r="AA7" s="48">
        <f t="shared" si="8"/>
        <v>11459190.254000001</v>
      </c>
      <c r="AB7" s="48">
        <f t="shared" ref="AB7:AC7" si="9">SUM(AB8:AB24)</f>
        <v>11918181.860000001</v>
      </c>
      <c r="AC7" s="48">
        <f t="shared" si="9"/>
        <v>12330346.082999999</v>
      </c>
    </row>
    <row r="8" spans="1:29">
      <c r="A8" s="7" t="s">
        <v>119</v>
      </c>
    </row>
    <row r="9" spans="1:29">
      <c r="A9" s="1" t="s">
        <v>3</v>
      </c>
      <c r="B9" s="1">
        <f>11853+25028</f>
        <v>36881</v>
      </c>
      <c r="C9" s="1">
        <f>13830+26853</f>
        <v>40683</v>
      </c>
      <c r="D9" s="1">
        <f>16828+32352</f>
        <v>49180</v>
      </c>
      <c r="E9" s="1">
        <v>74161.536999999997</v>
      </c>
      <c r="F9" s="42">
        <v>84080.432000000001</v>
      </c>
      <c r="G9" s="1">
        <v>89735.698000000004</v>
      </c>
      <c r="H9" s="1">
        <v>89530.78</v>
      </c>
      <c r="I9" s="1">
        <v>99155.827000000005</v>
      </c>
      <c r="J9" s="1">
        <v>104202.774</v>
      </c>
      <c r="K9" s="1">
        <v>110558.50599999999</v>
      </c>
      <c r="L9" s="1">
        <v>156079.24900000001</v>
      </c>
      <c r="M9" s="1">
        <v>182966.068</v>
      </c>
      <c r="N9" s="1">
        <v>218936.16</v>
      </c>
      <c r="O9" s="1">
        <v>239231.682</v>
      </c>
      <c r="P9" s="1">
        <v>255409.93100000001</v>
      </c>
      <c r="Q9" s="1">
        <v>269158.97100000002</v>
      </c>
      <c r="R9" s="1">
        <v>277686.505</v>
      </c>
      <c r="S9" s="1">
        <v>319533.14600000001</v>
      </c>
      <c r="T9" s="1">
        <v>343881.848</v>
      </c>
      <c r="U9" s="1">
        <v>396535.71600000001</v>
      </c>
      <c r="V9" s="1">
        <v>503148.10200000001</v>
      </c>
      <c r="W9" s="1">
        <v>552698.39800000004</v>
      </c>
      <c r="X9" s="1">
        <v>550068.57400000002</v>
      </c>
      <c r="Y9" s="1">
        <v>609205.91200000001</v>
      </c>
      <c r="Z9" s="1">
        <v>641026.26699999999</v>
      </c>
      <c r="AA9" s="1">
        <v>692979.37600000005</v>
      </c>
      <c r="AB9" s="1">
        <v>754028.08200000005</v>
      </c>
      <c r="AC9" s="1">
        <v>815173.70600000001</v>
      </c>
    </row>
    <row r="10" spans="1:29">
      <c r="A10" s="1" t="s">
        <v>4</v>
      </c>
      <c r="B10" s="1">
        <f>8154+18268</f>
        <v>26422</v>
      </c>
      <c r="C10" s="1">
        <f>9300+19097</f>
        <v>28397</v>
      </c>
      <c r="D10" s="1">
        <f>10335+21947</f>
        <v>32282</v>
      </c>
      <c r="E10" s="1">
        <v>52432.771999999997</v>
      </c>
      <c r="F10" s="42">
        <v>63322.279000000002</v>
      </c>
      <c r="G10" s="1">
        <v>74596.493000000002</v>
      </c>
      <c r="H10" s="1">
        <v>73960.225999999995</v>
      </c>
      <c r="I10" s="1">
        <v>76740.100000000006</v>
      </c>
      <c r="J10" s="1">
        <v>83606.024000000005</v>
      </c>
      <c r="K10" s="1">
        <v>80971.082999999999</v>
      </c>
      <c r="L10" s="1">
        <v>127857.91099999999</v>
      </c>
      <c r="M10" s="1">
        <v>146634.49400000001</v>
      </c>
      <c r="N10" s="1">
        <v>177731.50700000001</v>
      </c>
      <c r="O10" s="1">
        <v>194871.41800000001</v>
      </c>
      <c r="P10" s="1">
        <v>213747.073</v>
      </c>
      <c r="Q10" s="1">
        <v>215778.75899999999</v>
      </c>
      <c r="R10" s="1">
        <v>233715.959</v>
      </c>
      <c r="S10" s="1">
        <v>221196.383</v>
      </c>
      <c r="T10" s="1">
        <v>237934.58900000001</v>
      </c>
      <c r="U10" s="1">
        <v>265956.28000000003</v>
      </c>
      <c r="V10" s="1">
        <v>317949.35800000001</v>
      </c>
      <c r="W10" s="1">
        <v>420514.29599999997</v>
      </c>
      <c r="X10" s="1">
        <v>421108.26899999997</v>
      </c>
      <c r="Y10" s="1">
        <v>423625.31699999998</v>
      </c>
      <c r="Z10" s="1">
        <v>415107.77600000001</v>
      </c>
      <c r="AA10" s="1">
        <v>422484.61099999998</v>
      </c>
      <c r="AB10" s="1">
        <v>429276.875</v>
      </c>
      <c r="AC10" s="1">
        <v>428230.44699999999</v>
      </c>
    </row>
    <row r="11" spans="1:29">
      <c r="A11" s="1" t="s">
        <v>52</v>
      </c>
      <c r="D11" s="1">
        <f>9016+1870</f>
        <v>10886</v>
      </c>
      <c r="E11" s="1">
        <v>23315.65</v>
      </c>
      <c r="F11" s="42">
        <v>24601.065999999999</v>
      </c>
      <c r="I11" s="1">
        <v>30879.627</v>
      </c>
      <c r="J11" s="1">
        <v>31905.923999999999</v>
      </c>
      <c r="K11" s="1">
        <v>34635.462</v>
      </c>
      <c r="L11" s="1">
        <v>50040.442999999999</v>
      </c>
      <c r="M11" s="1">
        <v>54847.14</v>
      </c>
      <c r="N11" s="1">
        <v>64508.940999999999</v>
      </c>
      <c r="O11" s="1">
        <v>67260.94</v>
      </c>
      <c r="P11" s="1">
        <v>69216.031000000003</v>
      </c>
      <c r="Q11" s="1">
        <v>74389.794999999998</v>
      </c>
      <c r="R11" s="1">
        <v>79387.152000000002</v>
      </c>
      <c r="S11" s="1">
        <v>84889.490999999995</v>
      </c>
      <c r="T11" s="1">
        <v>92679.103000000003</v>
      </c>
      <c r="U11" s="1">
        <v>97214.372000000003</v>
      </c>
      <c r="V11" s="1">
        <v>118774.124</v>
      </c>
      <c r="W11" s="1">
        <v>131976.39499999999</v>
      </c>
      <c r="X11" s="1">
        <v>141342.16899999999</v>
      </c>
      <c r="Y11" s="1">
        <v>22728.042000000001</v>
      </c>
      <c r="Z11" s="1">
        <v>169999.228</v>
      </c>
      <c r="AA11" s="1">
        <v>181088.1</v>
      </c>
      <c r="AB11" s="1">
        <v>186483.29699999999</v>
      </c>
      <c r="AC11" s="1">
        <v>25068.047999999999</v>
      </c>
    </row>
    <row r="12" spans="1:29">
      <c r="A12" s="1" t="s">
        <v>5</v>
      </c>
      <c r="B12" s="1">
        <f>20504+17942</f>
        <v>38446</v>
      </c>
      <c r="C12" s="1">
        <f>22822+21232</f>
        <v>44054</v>
      </c>
      <c r="D12" s="1">
        <f>26536+24617</f>
        <v>51153</v>
      </c>
      <c r="E12" s="1">
        <v>81209.535999999993</v>
      </c>
      <c r="F12" s="42">
        <v>105116.83</v>
      </c>
      <c r="G12" s="1">
        <v>128524.927</v>
      </c>
      <c r="H12" s="1">
        <v>127741.72199999999</v>
      </c>
      <c r="I12" s="1">
        <v>138742.88500000001</v>
      </c>
      <c r="J12" s="1">
        <v>164786.916</v>
      </c>
      <c r="K12" s="1">
        <v>232585.60800000001</v>
      </c>
      <c r="L12" s="1">
        <v>261858.557</v>
      </c>
      <c r="M12" s="1">
        <v>318325.533</v>
      </c>
      <c r="N12" s="1">
        <v>423422.91899999999</v>
      </c>
      <c r="O12" s="1">
        <v>582587.64099999995</v>
      </c>
      <c r="P12" s="1">
        <v>689372.31900000002</v>
      </c>
      <c r="Q12" s="1">
        <v>861696.49600000004</v>
      </c>
      <c r="R12" s="1">
        <v>862908.16799999995</v>
      </c>
      <c r="S12" s="1">
        <v>847785.375</v>
      </c>
      <c r="T12" s="1">
        <v>938279.25800000003</v>
      </c>
      <c r="U12" s="1">
        <v>913122.19200000004</v>
      </c>
      <c r="V12" s="1">
        <v>1115493.1340000001</v>
      </c>
      <c r="W12" s="1">
        <v>1291604.0079999999</v>
      </c>
      <c r="X12" s="1">
        <v>1244351.933</v>
      </c>
      <c r="Y12" s="1">
        <v>1282768.996</v>
      </c>
      <c r="Z12" s="1">
        <v>1305042.8929999999</v>
      </c>
      <c r="AA12" s="1">
        <v>1306037.5149999999</v>
      </c>
      <c r="AB12" s="1">
        <v>1292138.7150000001</v>
      </c>
      <c r="AC12" s="1">
        <v>1413309.348</v>
      </c>
    </row>
    <row r="13" spans="1:29">
      <c r="A13" s="1" t="s">
        <v>6</v>
      </c>
      <c r="B13" s="1">
        <f>5171+20555</f>
        <v>25726</v>
      </c>
      <c r="C13" s="1">
        <f>5595+21822</f>
        <v>27417</v>
      </c>
      <c r="D13" s="1">
        <f>6388+24343</f>
        <v>30731</v>
      </c>
      <c r="E13" s="1">
        <v>49198.184999999998</v>
      </c>
      <c r="F13" s="42">
        <v>60909.483999999997</v>
      </c>
      <c r="G13" s="1">
        <v>86206.254000000001</v>
      </c>
      <c r="H13" s="1">
        <v>104020.73</v>
      </c>
      <c r="I13" s="1">
        <v>142131.21100000001</v>
      </c>
      <c r="J13" s="1">
        <v>183914.04399999999</v>
      </c>
      <c r="K13" s="1">
        <v>223836.14</v>
      </c>
      <c r="L13" s="1">
        <v>299807.25300000003</v>
      </c>
      <c r="M13" s="1">
        <v>352193.967</v>
      </c>
      <c r="N13" s="1">
        <v>276302.16200000001</v>
      </c>
      <c r="O13" s="1">
        <v>289993.87800000003</v>
      </c>
      <c r="P13" s="1">
        <v>315211.826</v>
      </c>
      <c r="Q13" s="1">
        <v>299830.89299999998</v>
      </c>
      <c r="R13" s="1">
        <v>311641.65700000001</v>
      </c>
      <c r="S13" s="1">
        <v>342907.88900000002</v>
      </c>
      <c r="T13" s="1">
        <v>378013.853</v>
      </c>
      <c r="U13" s="1">
        <v>388123.43199999997</v>
      </c>
      <c r="V13" s="1">
        <v>539798.37399999995</v>
      </c>
      <c r="W13" s="1">
        <v>657889.21100000001</v>
      </c>
      <c r="X13" s="1">
        <v>635348.11899999995</v>
      </c>
      <c r="Y13" s="1">
        <v>692477.94700000004</v>
      </c>
      <c r="Z13" s="1">
        <v>708260.43400000001</v>
      </c>
      <c r="AA13" s="1">
        <v>747990.54200000002</v>
      </c>
      <c r="AB13" s="1">
        <v>772697.07299999997</v>
      </c>
      <c r="AC13" s="1">
        <v>778301.11899999995</v>
      </c>
    </row>
    <row r="14" spans="1:29">
      <c r="A14" s="1" t="s">
        <v>7</v>
      </c>
      <c r="B14" s="1">
        <f>14625+20429</f>
        <v>35054</v>
      </c>
      <c r="C14" s="1">
        <f>17304+22072</f>
        <v>39376</v>
      </c>
      <c r="D14" s="1">
        <f>20054+24638</f>
        <v>44692</v>
      </c>
      <c r="E14" s="1">
        <v>81725.506999999998</v>
      </c>
      <c r="F14" s="42">
        <v>92208.879000000001</v>
      </c>
      <c r="G14" s="1">
        <v>93188.038</v>
      </c>
      <c r="H14" s="1">
        <v>91513.474000000002</v>
      </c>
      <c r="I14" s="1">
        <v>98364.929000000004</v>
      </c>
      <c r="J14" s="1">
        <v>104278.91899999999</v>
      </c>
      <c r="K14" s="1">
        <v>109104.283</v>
      </c>
      <c r="L14" s="1">
        <v>143726.467</v>
      </c>
      <c r="M14" s="1">
        <v>167127.52100000001</v>
      </c>
      <c r="N14" s="1">
        <v>200661.98300000001</v>
      </c>
      <c r="O14" s="1">
        <v>241946.755</v>
      </c>
      <c r="P14" s="1">
        <v>275685.90899999999</v>
      </c>
      <c r="Q14" s="1">
        <v>297880.59000000003</v>
      </c>
      <c r="R14" s="1">
        <v>321468.43900000001</v>
      </c>
      <c r="S14" s="1">
        <v>348622.61900000001</v>
      </c>
      <c r="T14" s="1">
        <v>381885.13900000002</v>
      </c>
      <c r="U14" s="1">
        <v>408927.21600000001</v>
      </c>
      <c r="V14" s="1">
        <v>461510.23</v>
      </c>
      <c r="W14" s="1">
        <v>497932.641</v>
      </c>
      <c r="X14" s="1">
        <v>515495.40899999999</v>
      </c>
      <c r="Y14" s="1">
        <v>536783.01800000004</v>
      </c>
      <c r="Z14" s="1">
        <v>566466.245</v>
      </c>
      <c r="AA14" s="1">
        <v>607857.34499999997</v>
      </c>
      <c r="AB14" s="1">
        <v>647697.94400000002</v>
      </c>
      <c r="AC14" s="1">
        <v>660475.75100000005</v>
      </c>
    </row>
    <row r="15" spans="1:29">
      <c r="A15" s="1" t="s">
        <v>8</v>
      </c>
      <c r="B15" s="1">
        <f>7126+40669</f>
        <v>47795</v>
      </c>
      <c r="C15" s="1">
        <f>8063+45066</f>
        <v>53129</v>
      </c>
      <c r="D15" s="1">
        <f>10427+56531</f>
        <v>66958</v>
      </c>
      <c r="E15" s="1">
        <v>106347.697</v>
      </c>
      <c r="F15" s="42">
        <v>124370.677</v>
      </c>
      <c r="G15" s="1">
        <v>136272.652</v>
      </c>
      <c r="H15" s="1">
        <v>128631.133</v>
      </c>
      <c r="I15" s="1">
        <v>134605.005</v>
      </c>
      <c r="J15" s="1">
        <v>139569.451</v>
      </c>
      <c r="K15" s="1">
        <v>140748.08100000001</v>
      </c>
      <c r="L15" s="1">
        <v>164961.90700000001</v>
      </c>
      <c r="M15" s="1">
        <v>179554.39</v>
      </c>
      <c r="N15" s="1">
        <v>203393.345</v>
      </c>
      <c r="O15" s="1">
        <v>220114.07399999999</v>
      </c>
      <c r="P15" s="1">
        <v>236119.04399999999</v>
      </c>
      <c r="Q15" s="1">
        <v>250896.29300000001</v>
      </c>
      <c r="R15" s="1">
        <v>249842.09599999999</v>
      </c>
      <c r="S15" s="1">
        <v>250966.677</v>
      </c>
      <c r="T15" s="1">
        <v>260130.58300000001</v>
      </c>
      <c r="U15" s="1">
        <v>276392.35499999998</v>
      </c>
      <c r="V15" s="1">
        <v>348263.79100000003</v>
      </c>
      <c r="W15" s="1">
        <v>381118.86099999998</v>
      </c>
      <c r="X15" s="1">
        <v>389479.152</v>
      </c>
      <c r="Y15" s="1">
        <v>392403.60200000001</v>
      </c>
      <c r="Z15" s="1">
        <v>404772.386</v>
      </c>
      <c r="AA15" s="1">
        <v>425198.91899999999</v>
      </c>
      <c r="AB15" s="1">
        <v>474428.47700000001</v>
      </c>
      <c r="AC15" s="1">
        <v>494566.13900000002</v>
      </c>
    </row>
    <row r="16" spans="1:29">
      <c r="A16" s="1" t="s">
        <v>9</v>
      </c>
      <c r="B16" s="1">
        <v>36830</v>
      </c>
      <c r="C16" s="1">
        <f>0+38420</f>
        <v>38420</v>
      </c>
      <c r="D16" s="1">
        <v>40595</v>
      </c>
      <c r="E16" s="1">
        <v>59454.464999999997</v>
      </c>
      <c r="F16" s="42">
        <v>71964.297999999995</v>
      </c>
      <c r="G16" s="1">
        <v>79114.467000000004</v>
      </c>
      <c r="H16" s="1">
        <v>84874.976999999999</v>
      </c>
      <c r="I16" s="1">
        <v>90947.322</v>
      </c>
      <c r="J16" s="1">
        <v>100426.46400000001</v>
      </c>
      <c r="K16" s="1">
        <v>110172.36500000001</v>
      </c>
      <c r="L16" s="1">
        <v>147518.77499999999</v>
      </c>
      <c r="M16" s="1">
        <v>164401.74600000001</v>
      </c>
      <c r="N16" s="1">
        <v>199920.00700000001</v>
      </c>
      <c r="O16" s="1">
        <v>211450.33900000001</v>
      </c>
      <c r="P16" s="1">
        <v>221172.318</v>
      </c>
      <c r="Q16" s="1">
        <v>234468.69</v>
      </c>
      <c r="R16" s="1">
        <v>253522.345</v>
      </c>
      <c r="S16" s="1">
        <v>270131.44199999998</v>
      </c>
      <c r="T16" s="1">
        <v>286205.33799999999</v>
      </c>
      <c r="U16" s="1">
        <v>292442.19199999998</v>
      </c>
      <c r="V16" s="1">
        <v>350816.91399999999</v>
      </c>
      <c r="W16" s="1">
        <v>387219.51400000002</v>
      </c>
      <c r="X16" s="1">
        <v>389782.34</v>
      </c>
      <c r="Y16" s="1">
        <v>412482.83100000001</v>
      </c>
      <c r="Z16" s="1">
        <v>428056.41700000002</v>
      </c>
      <c r="AA16" s="1">
        <v>449438.13699999999</v>
      </c>
      <c r="AB16" s="1">
        <v>458666.26199999999</v>
      </c>
      <c r="AC16" s="1">
        <v>472096.24200000003</v>
      </c>
    </row>
    <row r="17" spans="1:29">
      <c r="A17" s="1" t="s">
        <v>10</v>
      </c>
      <c r="B17" s="1">
        <f>5320+34837</f>
        <v>40157</v>
      </c>
      <c r="C17" s="1">
        <f>4782+33603</f>
        <v>38385</v>
      </c>
      <c r="D17" s="1">
        <f>6072+38812</f>
        <v>44884</v>
      </c>
      <c r="E17" s="1">
        <v>64900.701999999997</v>
      </c>
      <c r="F17" s="42">
        <v>73029.554000000004</v>
      </c>
      <c r="G17" s="1">
        <v>76319.603000000003</v>
      </c>
      <c r="H17" s="1">
        <v>74097.635999999999</v>
      </c>
      <c r="I17" s="1">
        <v>75464.179000000004</v>
      </c>
      <c r="J17" s="1">
        <v>86480.327000000005</v>
      </c>
      <c r="K17" s="1">
        <v>95967.05</v>
      </c>
      <c r="L17" s="1">
        <v>125451.803</v>
      </c>
      <c r="M17" s="1">
        <v>139335.50700000001</v>
      </c>
      <c r="N17" s="1">
        <v>152870.48300000001</v>
      </c>
      <c r="O17" s="1">
        <v>167848.698</v>
      </c>
      <c r="P17" s="1">
        <v>173382.764</v>
      </c>
      <c r="Q17" s="1">
        <v>178538.10800000001</v>
      </c>
      <c r="R17" s="1">
        <v>211480.79199999999</v>
      </c>
      <c r="S17" s="1">
        <v>219008.23300000001</v>
      </c>
      <c r="T17" s="1">
        <v>214274.81400000001</v>
      </c>
      <c r="U17" s="1">
        <v>227723.628</v>
      </c>
      <c r="V17" s="1">
        <v>288917.72499999998</v>
      </c>
      <c r="W17" s="1">
        <v>322345.71600000001</v>
      </c>
      <c r="X17" s="1">
        <v>338422.84100000001</v>
      </c>
      <c r="Y17" s="1">
        <v>344724.17700000003</v>
      </c>
      <c r="Z17" s="1">
        <v>375776.46100000001</v>
      </c>
      <c r="AA17" s="1">
        <v>417277.24900000001</v>
      </c>
      <c r="AB17" s="1">
        <v>437242.09700000001</v>
      </c>
      <c r="AC17" s="1">
        <v>464665.147</v>
      </c>
    </row>
    <row r="18" spans="1:29">
      <c r="A18" s="1" t="s">
        <v>11</v>
      </c>
      <c r="B18" s="1">
        <f>12615+45955</f>
        <v>58570</v>
      </c>
      <c r="C18" s="1">
        <f>12451+46299</f>
        <v>58750</v>
      </c>
      <c r="D18" s="1">
        <f>15195+50938</f>
        <v>66133</v>
      </c>
      <c r="E18" s="1">
        <v>93190.740999999995</v>
      </c>
      <c r="F18" s="42">
        <v>105863.03200000001</v>
      </c>
      <c r="G18" s="1">
        <v>172092.106</v>
      </c>
      <c r="H18" s="1">
        <v>163755.93599999999</v>
      </c>
      <c r="I18" s="1">
        <v>124819.894</v>
      </c>
      <c r="J18" s="1">
        <v>178789.182</v>
      </c>
      <c r="K18" s="1">
        <v>213548.44200000001</v>
      </c>
      <c r="L18" s="1">
        <v>194745.30300000001</v>
      </c>
      <c r="M18" s="1">
        <v>220657.12299999999</v>
      </c>
      <c r="N18" s="1">
        <v>260635.239</v>
      </c>
      <c r="O18" s="1">
        <v>311398.239</v>
      </c>
      <c r="P18" s="1">
        <v>332955.73599999998</v>
      </c>
      <c r="Q18" s="1">
        <v>362761.36099999998</v>
      </c>
      <c r="R18" s="1">
        <v>366292.50400000002</v>
      </c>
      <c r="S18" s="1">
        <v>414645.98800000001</v>
      </c>
      <c r="T18" s="1">
        <v>474227.42</v>
      </c>
      <c r="U18" s="1">
        <v>516377.951</v>
      </c>
      <c r="V18" s="1">
        <v>729056.88300000003</v>
      </c>
      <c r="W18" s="1">
        <v>887090.83400000003</v>
      </c>
      <c r="X18" s="1">
        <v>850894.30599999998</v>
      </c>
      <c r="Y18" s="1">
        <v>914107.83700000006</v>
      </c>
      <c r="Z18" s="1">
        <v>946815.27599999995</v>
      </c>
      <c r="AA18" s="1">
        <v>985765.10600000003</v>
      </c>
      <c r="AB18" s="1">
        <v>1014795.971</v>
      </c>
      <c r="AC18" s="1">
        <v>1032053.018</v>
      </c>
    </row>
    <row r="19" spans="1:29">
      <c r="A19" s="1" t="s">
        <v>12</v>
      </c>
      <c r="B19" s="1">
        <v>23687</v>
      </c>
      <c r="C19" s="1">
        <f>0+27727</f>
        <v>27727</v>
      </c>
      <c r="D19" s="1">
        <v>33678</v>
      </c>
      <c r="E19" s="1">
        <v>68372.267000000007</v>
      </c>
      <c r="F19" s="42">
        <v>81297.740000000005</v>
      </c>
      <c r="G19" s="1">
        <v>89270.22</v>
      </c>
      <c r="H19" s="1">
        <v>85762.928</v>
      </c>
      <c r="I19" s="1">
        <v>86739.542000000001</v>
      </c>
      <c r="J19" s="1">
        <v>88700.828999999998</v>
      </c>
      <c r="K19" s="1">
        <v>95837.806479999999</v>
      </c>
      <c r="L19" s="1">
        <v>122229.84699999999</v>
      </c>
      <c r="M19" s="1">
        <v>132221.40599999999</v>
      </c>
      <c r="N19" s="1">
        <v>142629.20300000001</v>
      </c>
      <c r="O19" s="1">
        <v>165768.37400000001</v>
      </c>
      <c r="P19" s="1">
        <v>184519.11</v>
      </c>
      <c r="Q19" s="1">
        <v>213864.07</v>
      </c>
      <c r="R19" s="1">
        <v>218872.74799999999</v>
      </c>
      <c r="S19" s="1">
        <v>240495.033</v>
      </c>
      <c r="T19" s="1">
        <v>258675.56200000001</v>
      </c>
      <c r="U19" s="1">
        <v>273796.772</v>
      </c>
      <c r="V19" s="1">
        <v>351871.65500000003</v>
      </c>
      <c r="W19" s="1">
        <v>405680.14199999999</v>
      </c>
      <c r="X19" s="1">
        <v>406740.01799999998</v>
      </c>
      <c r="Y19" s="1">
        <v>427335.32299999997</v>
      </c>
      <c r="Z19" s="1">
        <v>439471.03</v>
      </c>
      <c r="AA19" s="1">
        <v>456206.92800000001</v>
      </c>
      <c r="AB19" s="1">
        <v>475299.35800000001</v>
      </c>
      <c r="AC19" s="1">
        <v>496785.386</v>
      </c>
    </row>
    <row r="20" spans="1:29">
      <c r="A20" s="1" t="s">
        <v>13</v>
      </c>
      <c r="B20" s="1">
        <f>12144+11060</f>
        <v>23204</v>
      </c>
      <c r="C20" s="1">
        <f>10645+11804</f>
        <v>22449</v>
      </c>
      <c r="D20" s="1">
        <f>11541+14353</f>
        <v>25894</v>
      </c>
      <c r="E20" s="1">
        <v>45258.02</v>
      </c>
      <c r="F20" s="42">
        <v>51950.947999999997</v>
      </c>
      <c r="G20" s="1">
        <v>58611.23</v>
      </c>
      <c r="H20" s="1">
        <v>58871.862000000001</v>
      </c>
      <c r="I20" s="1">
        <v>59495.606</v>
      </c>
      <c r="J20" s="1">
        <v>63396.15</v>
      </c>
      <c r="K20" s="1">
        <v>91315.778999999995</v>
      </c>
      <c r="L20" s="1">
        <v>141606.30499999999</v>
      </c>
      <c r="M20" s="1">
        <v>163818.56200000001</v>
      </c>
      <c r="N20" s="1">
        <v>174817.07699999999</v>
      </c>
      <c r="O20" s="1">
        <v>234024.228</v>
      </c>
      <c r="P20" s="1">
        <v>260310.95499999999</v>
      </c>
      <c r="Q20" s="1">
        <v>282064.74900000001</v>
      </c>
      <c r="R20" s="1">
        <v>309501.804</v>
      </c>
      <c r="S20" s="1">
        <v>337682.04300000001</v>
      </c>
      <c r="T20" s="1">
        <v>377467.75300000003</v>
      </c>
      <c r="U20" s="1">
        <v>425745.935</v>
      </c>
      <c r="V20" s="1">
        <v>490829.18800000002</v>
      </c>
      <c r="W20" s="1">
        <v>526495.74199999997</v>
      </c>
      <c r="X20" s="1">
        <v>532833.17200000002</v>
      </c>
      <c r="Y20" s="1">
        <v>558535.41099999996</v>
      </c>
      <c r="Z20" s="1">
        <v>584141.48300000001</v>
      </c>
      <c r="AA20" s="1">
        <v>621703.85</v>
      </c>
      <c r="AB20" s="1">
        <v>650788.59400000004</v>
      </c>
      <c r="AC20" s="1">
        <v>684320.37</v>
      </c>
    </row>
    <row r="21" spans="1:29" s="11" customFormat="1">
      <c r="A21" s="1" t="s">
        <v>14</v>
      </c>
      <c r="B21" s="1">
        <f>9803+26391</f>
        <v>36194</v>
      </c>
      <c r="C21" s="1">
        <f>10087+28064</f>
        <v>38151</v>
      </c>
      <c r="D21" s="1">
        <f>10432+31921</f>
        <v>42353</v>
      </c>
      <c r="E21" s="1">
        <v>66029.428</v>
      </c>
      <c r="F21" s="42">
        <v>75851.895000000004</v>
      </c>
      <c r="G21" s="1">
        <v>84586.36</v>
      </c>
      <c r="H21" s="1">
        <v>82152.070999999996</v>
      </c>
      <c r="I21" s="1">
        <v>83134.451000000001</v>
      </c>
      <c r="J21" s="1">
        <v>89096.508000000002</v>
      </c>
      <c r="K21" s="1">
        <v>93311.42399000001</v>
      </c>
      <c r="L21" s="1">
        <v>118780.501</v>
      </c>
      <c r="M21" s="1">
        <v>132641.17600000001</v>
      </c>
      <c r="N21" s="1">
        <v>164835.761</v>
      </c>
      <c r="O21" s="1">
        <v>190594.99799999999</v>
      </c>
      <c r="P21" s="1">
        <v>202144.08300000001</v>
      </c>
      <c r="Q21" s="1">
        <v>265355.14600000001</v>
      </c>
      <c r="R21" s="1">
        <v>320008.47499999998</v>
      </c>
      <c r="S21" s="1">
        <v>400330.88699999999</v>
      </c>
      <c r="T21" s="1">
        <v>450343.27799999999</v>
      </c>
      <c r="U21" s="1">
        <v>496546.478</v>
      </c>
      <c r="V21" s="1">
        <v>595601.02899999998</v>
      </c>
      <c r="W21" s="1">
        <v>663030.69499999995</v>
      </c>
      <c r="X21" s="1">
        <v>677809.07400000002</v>
      </c>
      <c r="Y21" s="1">
        <v>664752.42500000005</v>
      </c>
      <c r="Z21" s="1">
        <v>668188.56599999999</v>
      </c>
      <c r="AA21" s="1">
        <v>716955.571</v>
      </c>
      <c r="AB21" s="1">
        <v>660941.571</v>
      </c>
      <c r="AC21" s="1">
        <v>675400.049</v>
      </c>
    </row>
    <row r="22" spans="1:29">
      <c r="A22" s="1" t="s">
        <v>15</v>
      </c>
      <c r="B22" s="1">
        <f>35845+53657</f>
        <v>89502</v>
      </c>
      <c r="C22" s="1">
        <f>38637+61816</f>
        <v>100453</v>
      </c>
      <c r="D22" s="1">
        <f>73573+91392</f>
        <v>164965</v>
      </c>
      <c r="E22" s="1">
        <v>259828.345</v>
      </c>
      <c r="F22" s="42">
        <v>285399.56800000003</v>
      </c>
      <c r="G22" s="1">
        <v>326228.54399999999</v>
      </c>
      <c r="H22" s="1">
        <v>335349.10200000001</v>
      </c>
      <c r="I22" s="1">
        <v>352780.22499999998</v>
      </c>
      <c r="J22" s="1">
        <v>391582.35499999998</v>
      </c>
      <c r="K22" s="1">
        <v>437399.52799999999</v>
      </c>
      <c r="L22" s="1">
        <v>551854.50800000003</v>
      </c>
      <c r="M22" s="1">
        <v>605542.47</v>
      </c>
      <c r="N22" s="1">
        <v>732454.70799999998</v>
      </c>
      <c r="O22" s="1">
        <v>821476.10600000003</v>
      </c>
      <c r="P22" s="1">
        <v>903965.97699999996</v>
      </c>
      <c r="Q22" s="1">
        <v>998065.44700000004</v>
      </c>
      <c r="R22" s="1">
        <v>1098434.1610000001</v>
      </c>
      <c r="S22" s="1">
        <v>1175304.7320000001</v>
      </c>
      <c r="T22" s="1">
        <v>1265605.841</v>
      </c>
      <c r="U22" s="1">
        <v>1378143.996</v>
      </c>
      <c r="V22" s="1">
        <v>1807855.0149999999</v>
      </c>
      <c r="W22" s="1">
        <v>2087620.3389999999</v>
      </c>
      <c r="X22" s="1">
        <v>2017600.0889999999</v>
      </c>
      <c r="Y22" s="1">
        <v>2203547.4640000002</v>
      </c>
      <c r="Z22" s="1">
        <v>2209441.0380000002</v>
      </c>
      <c r="AA22" s="1">
        <v>2364262.932</v>
      </c>
      <c r="AB22" s="1">
        <v>2510419.0079999999</v>
      </c>
      <c r="AC22" s="1">
        <v>2640868.2110000001</v>
      </c>
    </row>
    <row r="23" spans="1:29">
      <c r="A23" s="1" t="s">
        <v>16</v>
      </c>
      <c r="B23" s="1">
        <f>18825+26625</f>
        <v>45450</v>
      </c>
      <c r="C23" s="1">
        <f>22244+35515</f>
        <v>57759</v>
      </c>
      <c r="D23" s="1">
        <f>26711+36279</f>
        <v>62990</v>
      </c>
      <c r="E23" s="1">
        <v>109711.416</v>
      </c>
      <c r="F23" s="42">
        <v>132758.19200000001</v>
      </c>
      <c r="G23" s="1">
        <v>151606.50599999999</v>
      </c>
      <c r="H23" s="1">
        <v>160843.014</v>
      </c>
      <c r="I23" s="1">
        <v>177888.21100000001</v>
      </c>
      <c r="J23" s="1">
        <v>192989.20699999999</v>
      </c>
      <c r="K23" s="1">
        <v>207347.432</v>
      </c>
      <c r="L23" s="1">
        <v>241801.943</v>
      </c>
      <c r="M23" s="1">
        <v>257227.31599999999</v>
      </c>
      <c r="N23" s="1">
        <v>288341.413</v>
      </c>
      <c r="O23" s="1">
        <v>292081.91600000003</v>
      </c>
      <c r="P23" s="1">
        <v>315739.48300000001</v>
      </c>
      <c r="Q23" s="1">
        <v>350036.63799999998</v>
      </c>
      <c r="R23" s="1">
        <v>372399.25199999998</v>
      </c>
      <c r="S23" s="1">
        <v>409942.63500000001</v>
      </c>
      <c r="T23" s="1">
        <v>466447.01199999999</v>
      </c>
      <c r="U23" s="1">
        <v>519460.99599999998</v>
      </c>
      <c r="V23" s="1">
        <v>604909.60600000003</v>
      </c>
      <c r="W23" s="1">
        <v>685917.89099999995</v>
      </c>
      <c r="X23" s="1">
        <v>706868.60900000005</v>
      </c>
      <c r="Y23" s="1">
        <v>726088.39899999998</v>
      </c>
      <c r="Z23" s="1">
        <v>771115.85600000003</v>
      </c>
      <c r="AA23" s="1">
        <v>805625.39099999995</v>
      </c>
      <c r="AB23" s="1">
        <v>884373.83200000005</v>
      </c>
      <c r="AC23" s="1">
        <v>965982.304</v>
      </c>
    </row>
    <row r="24" spans="1:29">
      <c r="A24" s="24" t="s">
        <v>17</v>
      </c>
      <c r="B24" s="24">
        <f>6271+13249</f>
        <v>19520</v>
      </c>
      <c r="C24" s="24">
        <f>6388+15016</f>
        <v>21404</v>
      </c>
      <c r="D24" s="24">
        <f>6668+16417</f>
        <v>23085</v>
      </c>
      <c r="E24" s="24">
        <v>38847.262999999999</v>
      </c>
      <c r="F24" s="45">
        <v>45735.131000000001</v>
      </c>
      <c r="G24" s="24">
        <v>52060.773999999998</v>
      </c>
      <c r="H24" s="24">
        <v>53513.343999999997</v>
      </c>
      <c r="I24" s="24">
        <v>59648.161</v>
      </c>
      <c r="J24" s="24">
        <v>59898.067000000003</v>
      </c>
      <c r="K24" s="24">
        <v>65266.030319999998</v>
      </c>
      <c r="L24" s="24">
        <v>81618.278999999995</v>
      </c>
      <c r="M24" s="24">
        <v>90393.687999999995</v>
      </c>
      <c r="N24" s="24">
        <v>106078.908</v>
      </c>
      <c r="O24" s="24">
        <v>108971.136</v>
      </c>
      <c r="P24" s="24">
        <v>129791.792</v>
      </c>
      <c r="Q24" s="24">
        <v>129528.984</v>
      </c>
      <c r="R24" s="24">
        <v>143351.351</v>
      </c>
      <c r="S24" s="24">
        <v>149092.758</v>
      </c>
      <c r="T24" s="24">
        <v>159857.19399999999</v>
      </c>
      <c r="U24" s="24">
        <v>173350.93700000001</v>
      </c>
      <c r="V24" s="24">
        <v>203433.492</v>
      </c>
      <c r="W24" s="24">
        <v>226119.06</v>
      </c>
      <c r="X24" s="24">
        <v>230290.75899999999</v>
      </c>
      <c r="Y24" s="24">
        <v>237892.769</v>
      </c>
      <c r="Z24" s="24">
        <v>244721.932</v>
      </c>
      <c r="AA24" s="24">
        <v>258318.682</v>
      </c>
      <c r="AB24" s="24">
        <v>268904.70400000003</v>
      </c>
      <c r="AC24" s="24">
        <v>283050.79800000001</v>
      </c>
    </row>
    <row r="25" spans="1:29">
      <c r="A25" s="7" t="s">
        <v>120</v>
      </c>
      <c r="B25" s="48">
        <f>SUM(B27:B39)</f>
        <v>0</v>
      </c>
      <c r="C25" s="48">
        <f t="shared" ref="C25:AC25" si="10">SUM(C27:C39)</f>
        <v>0</v>
      </c>
      <c r="D25" s="48">
        <f t="shared" si="10"/>
        <v>0</v>
      </c>
      <c r="E25" s="48">
        <f t="shared" si="10"/>
        <v>0</v>
      </c>
      <c r="F25" s="48">
        <f t="shared" si="10"/>
        <v>955461.17399999988</v>
      </c>
      <c r="G25" s="48">
        <f t="shared" si="10"/>
        <v>0</v>
      </c>
      <c r="H25" s="48">
        <f t="shared" si="10"/>
        <v>0</v>
      </c>
      <c r="I25" s="48">
        <f t="shared" si="10"/>
        <v>1315779.9139999999</v>
      </c>
      <c r="J25" s="48">
        <f t="shared" si="10"/>
        <v>0</v>
      </c>
      <c r="K25" s="48">
        <f t="shared" si="10"/>
        <v>1498600.1864200002</v>
      </c>
      <c r="L25" s="48">
        <f t="shared" si="10"/>
        <v>1876399.514</v>
      </c>
      <c r="M25" s="48">
        <f t="shared" si="10"/>
        <v>2096986.534</v>
      </c>
      <c r="N25" s="48">
        <f t="shared" si="10"/>
        <v>2406697.6609999994</v>
      </c>
      <c r="O25" s="48">
        <f t="shared" si="10"/>
        <v>2521242.87</v>
      </c>
      <c r="P25" s="48">
        <f t="shared" si="10"/>
        <v>2913064.9340000004</v>
      </c>
      <c r="Q25" s="48">
        <f t="shared" si="10"/>
        <v>3163424.6910000006</v>
      </c>
      <c r="R25" s="48">
        <f t="shared" si="10"/>
        <v>3268005.6379999998</v>
      </c>
      <c r="S25" s="48">
        <f t="shared" si="10"/>
        <v>3504593.7439999999</v>
      </c>
      <c r="T25" s="48">
        <f t="shared" si="10"/>
        <v>3855053.2040000008</v>
      </c>
      <c r="U25" s="48">
        <f t="shared" si="10"/>
        <v>4176162.6579999998</v>
      </c>
      <c r="V25" s="48">
        <f t="shared" si="10"/>
        <v>5394213.3049999997</v>
      </c>
      <c r="W25" s="48">
        <f t="shared" si="10"/>
        <v>6200903.7480000006</v>
      </c>
      <c r="X25" s="48">
        <f t="shared" si="10"/>
        <v>6841691.3899999987</v>
      </c>
      <c r="Y25" s="48">
        <f t="shared" si="10"/>
        <v>7134856.7499999981</v>
      </c>
      <c r="Z25" s="48">
        <f t="shared" si="10"/>
        <v>7453031.0370000005</v>
      </c>
      <c r="AA25" s="48">
        <f t="shared" si="10"/>
        <v>7925794.1339999977</v>
      </c>
      <c r="AB25" s="48">
        <f t="shared" si="10"/>
        <v>8281645.495000001</v>
      </c>
      <c r="AC25" s="48">
        <f t="shared" si="10"/>
        <v>8414703.9290000014</v>
      </c>
    </row>
    <row r="26" spans="1:29">
      <c r="A26" s="7" t="s">
        <v>119</v>
      </c>
      <c r="X26" s="1">
        <v>0</v>
      </c>
      <c r="Y26" s="1">
        <v>0</v>
      </c>
      <c r="AB26" s="1">
        <v>0</v>
      </c>
      <c r="AC26" s="1">
        <v>0</v>
      </c>
    </row>
    <row r="27" spans="1:29">
      <c r="A27" s="1" t="s">
        <v>85</v>
      </c>
      <c r="F27" s="42">
        <v>7797.6629999999996</v>
      </c>
      <c r="I27" s="1">
        <v>10671.164000000001</v>
      </c>
      <c r="K27" s="1">
        <v>11427.217000000001</v>
      </c>
      <c r="L27" s="1">
        <v>10713.306</v>
      </c>
      <c r="M27" s="1">
        <v>11739.079</v>
      </c>
      <c r="N27" s="1">
        <v>13540.9</v>
      </c>
      <c r="O27" s="1">
        <v>16767.734</v>
      </c>
      <c r="P27" s="1">
        <v>20532.32</v>
      </c>
      <c r="Q27" s="1">
        <v>20224.59</v>
      </c>
      <c r="R27" s="1">
        <v>20604.904999999999</v>
      </c>
      <c r="S27" s="1">
        <v>21610.45</v>
      </c>
      <c r="T27" s="1">
        <v>23807.406999999999</v>
      </c>
      <c r="U27" s="1">
        <v>28397.749</v>
      </c>
      <c r="V27" s="1">
        <v>36221.690999999999</v>
      </c>
      <c r="W27" s="1">
        <v>43435.177000000003</v>
      </c>
      <c r="X27" s="1">
        <v>44922.892</v>
      </c>
      <c r="Y27" s="1">
        <v>45476.913999999997</v>
      </c>
      <c r="Z27" s="1">
        <v>44160.144</v>
      </c>
      <c r="AA27" s="1">
        <v>44854.106</v>
      </c>
      <c r="AB27" s="1">
        <v>43605.279999999999</v>
      </c>
      <c r="AC27" s="1">
        <v>45571.928999999996</v>
      </c>
    </row>
    <row r="28" spans="1:29">
      <c r="A28" s="1" t="s">
        <v>86</v>
      </c>
      <c r="F28" s="42">
        <v>99616.930999999997</v>
      </c>
      <c r="I28" s="1">
        <v>115720.01700000001</v>
      </c>
      <c r="K28" s="1">
        <v>131306.489</v>
      </c>
      <c r="L28" s="1">
        <v>168736.75399999999</v>
      </c>
      <c r="M28" s="1">
        <v>181130.916</v>
      </c>
      <c r="N28" s="1">
        <v>201208.74</v>
      </c>
      <c r="O28" s="1">
        <v>183066.67</v>
      </c>
      <c r="P28" s="1">
        <v>235220.962</v>
      </c>
      <c r="Q28" s="1">
        <v>271284.11200000002</v>
      </c>
      <c r="R28" s="1">
        <v>290413.44</v>
      </c>
      <c r="S28" s="1">
        <v>315914.89399999997</v>
      </c>
      <c r="T28" s="1">
        <v>350754.85499999998</v>
      </c>
      <c r="U28" s="1">
        <v>414839.88799999998</v>
      </c>
      <c r="V28" s="1">
        <v>538723.83200000005</v>
      </c>
      <c r="W28" s="1">
        <v>612111.73899999994</v>
      </c>
      <c r="X28" s="1">
        <v>645630.777</v>
      </c>
      <c r="Y28" s="1">
        <v>670791.50100000005</v>
      </c>
      <c r="Z28" s="1">
        <v>721590.53099999996</v>
      </c>
      <c r="AA28" s="1">
        <v>787635.56799999997</v>
      </c>
      <c r="AB28" s="1">
        <v>860342.34699999995</v>
      </c>
      <c r="AC28" s="1">
        <v>955340.89199999999</v>
      </c>
    </row>
    <row r="29" spans="1:29">
      <c r="A29" s="1" t="s">
        <v>87</v>
      </c>
      <c r="F29" s="42">
        <v>388050.875</v>
      </c>
      <c r="I29" s="1">
        <v>684438.4</v>
      </c>
      <c r="K29" s="1">
        <v>789396.97100000002</v>
      </c>
      <c r="L29" s="1">
        <v>980941.68200000003</v>
      </c>
      <c r="M29" s="1">
        <v>1090463.476</v>
      </c>
      <c r="N29" s="1">
        <v>1261297.2069999999</v>
      </c>
      <c r="O29" s="1">
        <v>1315559.557</v>
      </c>
      <c r="P29" s="1">
        <v>1522430.4939999999</v>
      </c>
      <c r="Q29" s="1">
        <v>1630747.436</v>
      </c>
      <c r="R29" s="1">
        <v>1738150.9509999999</v>
      </c>
      <c r="S29" s="1">
        <v>1854233.9850000001</v>
      </c>
      <c r="T29" s="1">
        <v>2032397.5649999999</v>
      </c>
      <c r="U29" s="1">
        <v>2192766.426</v>
      </c>
      <c r="V29" s="1">
        <v>2823692.8679999998</v>
      </c>
      <c r="W29" s="1">
        <v>3220389.8280000002</v>
      </c>
      <c r="X29" s="1">
        <v>3714691.3020000001</v>
      </c>
      <c r="Y29" s="1">
        <v>3871746.4249999998</v>
      </c>
      <c r="Z29" s="1">
        <v>4067389.321</v>
      </c>
      <c r="AA29" s="1">
        <v>4366603.301</v>
      </c>
      <c r="AB29" s="1">
        <v>4521759.4649999999</v>
      </c>
      <c r="AC29" s="1">
        <v>4573910.4309999999</v>
      </c>
    </row>
    <row r="30" spans="1:29">
      <c r="A30" s="1" t="s">
        <v>88</v>
      </c>
      <c r="F30" s="42">
        <v>90704.103000000003</v>
      </c>
      <c r="I30" s="1">
        <v>97509.506999999998</v>
      </c>
      <c r="K30" s="1">
        <v>106399.19741999998</v>
      </c>
      <c r="L30" s="1">
        <v>131608.079</v>
      </c>
      <c r="M30" s="1">
        <v>143280.285</v>
      </c>
      <c r="N30" s="1">
        <v>180416.821</v>
      </c>
      <c r="O30" s="1">
        <v>199768.96299999999</v>
      </c>
      <c r="P30" s="1">
        <v>191181.54</v>
      </c>
      <c r="Q30" s="1">
        <v>285888.853</v>
      </c>
      <c r="R30" s="1">
        <v>239117.60699999999</v>
      </c>
      <c r="S30" s="1">
        <v>243831.08799999999</v>
      </c>
      <c r="T30" s="1">
        <v>273292.94400000002</v>
      </c>
      <c r="U30" s="1">
        <v>300620.78200000001</v>
      </c>
      <c r="V30" s="1">
        <v>390146.60800000001</v>
      </c>
      <c r="W30" s="1">
        <v>433391.68400000001</v>
      </c>
      <c r="X30" s="1">
        <v>455520.152</v>
      </c>
      <c r="Y30" s="1">
        <v>478232.70299999998</v>
      </c>
      <c r="Z30" s="1">
        <v>502857.00099999999</v>
      </c>
      <c r="AA30" s="1">
        <v>541875.96900000004</v>
      </c>
      <c r="AB30" s="1">
        <v>583761.80299999996</v>
      </c>
      <c r="AC30" s="1">
        <v>605781.88199999998</v>
      </c>
    </row>
    <row r="31" spans="1:29">
      <c r="A31" s="1" t="s">
        <v>91</v>
      </c>
      <c r="F31" s="42">
        <v>7356.402</v>
      </c>
      <c r="I31" s="1">
        <v>8349.4850000000006</v>
      </c>
      <c r="K31" s="1">
        <v>8962.1720000000005</v>
      </c>
      <c r="L31" s="1">
        <v>10685.5</v>
      </c>
      <c r="M31" s="1">
        <v>12581.074000000001</v>
      </c>
      <c r="N31" s="1">
        <v>35994.714</v>
      </c>
      <c r="O31" s="1">
        <v>40614.616000000002</v>
      </c>
      <c r="P31" s="1">
        <v>41645.572</v>
      </c>
      <c r="Q31" s="1">
        <v>37689.597000000002</v>
      </c>
      <c r="R31" s="1">
        <v>36264.476999999999</v>
      </c>
      <c r="S31" s="1">
        <v>39700.703999999998</v>
      </c>
      <c r="T31" s="1">
        <v>48646.991999999998</v>
      </c>
      <c r="U31" s="1">
        <v>48579.398000000001</v>
      </c>
      <c r="V31" s="1">
        <v>67125.159</v>
      </c>
      <c r="W31" s="1">
        <v>98102.089000000007</v>
      </c>
      <c r="X31" s="1">
        <v>109105.027</v>
      </c>
      <c r="Y31" s="1">
        <v>115423.193</v>
      </c>
      <c r="Z31" s="1">
        <v>122723.087</v>
      </c>
      <c r="AA31" s="1">
        <v>123399.436</v>
      </c>
      <c r="AB31" s="1">
        <v>124623.288</v>
      </c>
      <c r="AC31" s="1">
        <v>130147.531</v>
      </c>
    </row>
    <row r="32" spans="1:29">
      <c r="A32" s="1" t="s">
        <v>92</v>
      </c>
      <c r="F32" s="42">
        <v>28697.809000000001</v>
      </c>
      <c r="I32" s="1">
        <v>34933.987999999998</v>
      </c>
      <c r="K32" s="1">
        <v>38074.504000000001</v>
      </c>
      <c r="L32" s="1">
        <v>49076.836000000003</v>
      </c>
      <c r="M32" s="1">
        <v>56157.74</v>
      </c>
      <c r="N32" s="1">
        <v>70483.657999999996</v>
      </c>
      <c r="O32" s="1">
        <v>80323.557000000001</v>
      </c>
      <c r="P32" s="1">
        <v>86143.112999999998</v>
      </c>
      <c r="Q32" s="1">
        <v>86107.372000000003</v>
      </c>
      <c r="R32" s="1">
        <v>82952.466</v>
      </c>
      <c r="S32" s="1">
        <v>85257.438999999998</v>
      </c>
      <c r="T32" s="1">
        <v>91039.014999999999</v>
      </c>
      <c r="U32" s="1">
        <v>102239.481</v>
      </c>
      <c r="V32" s="1">
        <v>131588.065</v>
      </c>
      <c r="W32" s="1">
        <v>149995.02799999999</v>
      </c>
      <c r="X32" s="1">
        <v>148358.76199999999</v>
      </c>
      <c r="Y32" s="1">
        <v>143224.94200000001</v>
      </c>
      <c r="Z32" s="1">
        <v>138110.38</v>
      </c>
      <c r="AA32" s="1">
        <v>137788.266</v>
      </c>
      <c r="AB32" s="1">
        <v>135920.337</v>
      </c>
      <c r="AC32" s="1">
        <v>143845.11600000001</v>
      </c>
    </row>
    <row r="33" spans="1:29">
      <c r="A33" s="1" t="s">
        <v>100</v>
      </c>
      <c r="F33" s="42">
        <v>25096.7</v>
      </c>
      <c r="I33" s="1">
        <v>24870.455000000002</v>
      </c>
      <c r="K33" s="1">
        <v>36805.735000000001</v>
      </c>
      <c r="L33" s="1">
        <v>39575.921999999999</v>
      </c>
      <c r="M33" s="1">
        <v>44132.328000000001</v>
      </c>
      <c r="N33" s="1">
        <v>52915.817000000003</v>
      </c>
      <c r="O33" s="1">
        <v>62536.436000000002</v>
      </c>
      <c r="P33" s="1">
        <v>66336.581000000006</v>
      </c>
      <c r="Q33" s="1">
        <v>68421.244999999995</v>
      </c>
      <c r="R33" s="1">
        <v>71742.028000000006</v>
      </c>
      <c r="S33" s="1">
        <v>73601.676999999996</v>
      </c>
      <c r="T33" s="1">
        <v>78293.960999999996</v>
      </c>
      <c r="U33" s="1">
        <v>84146.854000000007</v>
      </c>
      <c r="V33" s="1">
        <v>103644.91800000001</v>
      </c>
      <c r="W33" s="1">
        <v>117837.067</v>
      </c>
      <c r="X33" s="1">
        <v>118700.265</v>
      </c>
      <c r="Y33" s="1">
        <v>117881.481</v>
      </c>
      <c r="Z33" s="1">
        <v>117526.007</v>
      </c>
      <c r="AA33" s="1">
        <v>117519.64</v>
      </c>
      <c r="AB33" s="1">
        <v>113453.57</v>
      </c>
      <c r="AC33" s="1">
        <v>114598.594</v>
      </c>
    </row>
    <row r="34" spans="1:29">
      <c r="A34" s="1" t="s">
        <v>102</v>
      </c>
      <c r="F34" s="42">
        <v>11420.107</v>
      </c>
      <c r="I34" s="1">
        <v>16015.73</v>
      </c>
      <c r="K34" s="1">
        <v>19200.348999999998</v>
      </c>
      <c r="L34" s="1">
        <v>27406.125</v>
      </c>
      <c r="M34" s="1">
        <v>36374.837</v>
      </c>
      <c r="N34" s="1">
        <v>47585.928999999996</v>
      </c>
      <c r="O34" s="1">
        <v>54943.233999999997</v>
      </c>
      <c r="P34" s="1">
        <v>81814.934999999998</v>
      </c>
      <c r="Q34" s="1">
        <v>85524.561000000002</v>
      </c>
      <c r="R34" s="1">
        <v>88606.812000000005</v>
      </c>
      <c r="S34" s="1">
        <v>91440.853000000003</v>
      </c>
      <c r="T34" s="1">
        <v>93024.536999999997</v>
      </c>
      <c r="U34" s="1">
        <v>84847.23</v>
      </c>
      <c r="V34" s="1">
        <v>104100.84699999999</v>
      </c>
      <c r="W34" s="1">
        <v>124188.202</v>
      </c>
      <c r="X34" s="1">
        <v>131164.09599999999</v>
      </c>
      <c r="Y34" s="1">
        <v>138061.038</v>
      </c>
      <c r="Z34" s="1">
        <v>142344.571</v>
      </c>
      <c r="AA34" s="1">
        <v>152949.511</v>
      </c>
      <c r="AB34" s="1">
        <v>165131.61600000001</v>
      </c>
      <c r="AC34" s="1">
        <v>169740.27499999999</v>
      </c>
    </row>
    <row r="35" spans="1:29">
      <c r="A35" s="1" t="s">
        <v>105</v>
      </c>
      <c r="F35" s="42">
        <v>55207.779000000002</v>
      </c>
      <c r="I35" s="1">
        <v>58194.207999999999</v>
      </c>
      <c r="K35" s="1">
        <v>63974.154999999999</v>
      </c>
      <c r="L35" s="1">
        <v>83813.278000000006</v>
      </c>
      <c r="M35" s="1">
        <v>90928.126999999993</v>
      </c>
      <c r="N35" s="1">
        <v>100034.73699999999</v>
      </c>
      <c r="O35" s="1">
        <v>112894.85</v>
      </c>
      <c r="P35" s="1">
        <v>126690.516</v>
      </c>
      <c r="Q35" s="1">
        <v>120428.80499999999</v>
      </c>
      <c r="R35" s="1">
        <v>126371.537</v>
      </c>
      <c r="S35" s="1">
        <v>138943.72399999999</v>
      </c>
      <c r="T35" s="1">
        <v>147944.929</v>
      </c>
      <c r="U35" s="1">
        <v>154660.636</v>
      </c>
      <c r="V35" s="1">
        <v>184863.19200000001</v>
      </c>
      <c r="W35" s="1">
        <v>207256.93400000001</v>
      </c>
      <c r="X35" s="1">
        <v>209194.60200000001</v>
      </c>
      <c r="Y35" s="1">
        <v>208353.391</v>
      </c>
      <c r="Z35" s="1">
        <v>217375.79300000001</v>
      </c>
      <c r="AA35" s="1">
        <v>214622.549</v>
      </c>
      <c r="AB35" s="1">
        <v>208871.76699999999</v>
      </c>
      <c r="AC35" s="1">
        <v>211889.05799999999</v>
      </c>
    </row>
    <row r="36" spans="1:29">
      <c r="A36" s="1" t="s">
        <v>109</v>
      </c>
      <c r="F36" s="42">
        <v>59051.656999999999</v>
      </c>
      <c r="I36" s="1">
        <v>59958.940999999999</v>
      </c>
      <c r="K36" s="1">
        <v>63781.262999999999</v>
      </c>
      <c r="L36" s="1">
        <v>82390.490000000005</v>
      </c>
      <c r="M36" s="1">
        <v>101013.371</v>
      </c>
      <c r="N36" s="1">
        <v>114025.746</v>
      </c>
      <c r="O36" s="1">
        <v>94376.773000000001</v>
      </c>
      <c r="P36" s="1">
        <v>105011.49800000001</v>
      </c>
      <c r="Q36" s="1">
        <v>113459.253</v>
      </c>
      <c r="R36" s="1">
        <v>107708.621</v>
      </c>
      <c r="S36" s="1">
        <v>113758.677</v>
      </c>
      <c r="T36" s="1">
        <v>128344.916</v>
      </c>
      <c r="U36" s="1">
        <v>142162.51</v>
      </c>
      <c r="V36" s="1">
        <v>250388.90599999999</v>
      </c>
      <c r="W36" s="1">
        <v>270610.31400000001</v>
      </c>
      <c r="X36" s="1">
        <v>293861.79599999997</v>
      </c>
      <c r="Y36" s="1">
        <v>316168.98100000003</v>
      </c>
      <c r="Z36" s="1">
        <v>323221.71600000001</v>
      </c>
      <c r="AA36" s="1">
        <v>328697.147</v>
      </c>
      <c r="AB36" s="1">
        <v>348328.51500000001</v>
      </c>
      <c r="AC36" s="1">
        <v>335410.24800000002</v>
      </c>
    </row>
    <row r="37" spans="1:29">
      <c r="A37" s="1" t="s">
        <v>113</v>
      </c>
      <c r="F37" s="42">
        <v>48905.79</v>
      </c>
      <c r="I37" s="1">
        <v>55671.696000000004</v>
      </c>
      <c r="K37" s="1">
        <v>58961.485000000001</v>
      </c>
      <c r="L37" s="1">
        <v>76264.047000000006</v>
      </c>
      <c r="M37" s="1">
        <v>85860.414000000004</v>
      </c>
      <c r="N37" s="1">
        <v>107820.442</v>
      </c>
      <c r="O37" s="1">
        <v>123665.019</v>
      </c>
      <c r="P37" s="1">
        <v>151884.247</v>
      </c>
      <c r="Q37" s="1">
        <v>159064.476</v>
      </c>
      <c r="R37" s="1">
        <v>161028.845</v>
      </c>
      <c r="S37" s="1">
        <v>171452.18900000001</v>
      </c>
      <c r="T37" s="1">
        <v>188003.46900000001</v>
      </c>
      <c r="U37" s="1">
        <v>208261.196</v>
      </c>
      <c r="V37" s="1">
        <v>270348.75699999998</v>
      </c>
      <c r="W37" s="1">
        <v>380628.39299999998</v>
      </c>
      <c r="X37" s="1">
        <v>356660.69300000003</v>
      </c>
      <c r="Y37" s="1">
        <v>342214.76</v>
      </c>
      <c r="Z37" s="1">
        <v>349776.21899999998</v>
      </c>
      <c r="AA37" s="1">
        <v>370513.20299999998</v>
      </c>
      <c r="AB37" s="1">
        <v>402923.359</v>
      </c>
      <c r="AC37" s="1">
        <v>382436.174</v>
      </c>
    </row>
    <row r="38" spans="1:29">
      <c r="A38" s="1" t="s">
        <v>115</v>
      </c>
      <c r="F38" s="42">
        <v>117628.264</v>
      </c>
      <c r="I38" s="1">
        <v>134400.47</v>
      </c>
      <c r="K38" s="1">
        <v>154439.465</v>
      </c>
      <c r="L38" s="1">
        <v>194384.492</v>
      </c>
      <c r="M38" s="1">
        <v>220885.98</v>
      </c>
      <c r="N38" s="1">
        <v>199976.30600000001</v>
      </c>
      <c r="O38" s="1">
        <v>213839.981</v>
      </c>
      <c r="P38" s="1">
        <v>261122.58300000001</v>
      </c>
      <c r="Q38" s="1">
        <v>260518.853</v>
      </c>
      <c r="R38" s="1">
        <v>280525.777</v>
      </c>
      <c r="S38" s="1">
        <v>327301.32500000001</v>
      </c>
      <c r="T38" s="1">
        <v>363563.88400000002</v>
      </c>
      <c r="U38" s="1">
        <v>374940.05200000003</v>
      </c>
      <c r="V38" s="1">
        <v>444998.92499999999</v>
      </c>
      <c r="W38" s="1">
        <v>490552.20600000001</v>
      </c>
      <c r="X38" s="1">
        <v>561718.42299999995</v>
      </c>
      <c r="Y38" s="1">
        <v>635540.71200000006</v>
      </c>
      <c r="Z38" s="1">
        <v>653788.75899999996</v>
      </c>
      <c r="AA38" s="1">
        <v>681538.27599999995</v>
      </c>
      <c r="AB38" s="1">
        <v>714690.43</v>
      </c>
      <c r="AC38" s="1">
        <v>688213.15700000001</v>
      </c>
    </row>
    <row r="39" spans="1:29">
      <c r="A39" s="24" t="s">
        <v>117</v>
      </c>
      <c r="B39" s="24"/>
      <c r="C39" s="24"/>
      <c r="D39" s="24"/>
      <c r="E39" s="24"/>
      <c r="F39" s="45">
        <v>15927.093999999999</v>
      </c>
      <c r="G39" s="24"/>
      <c r="H39" s="24"/>
      <c r="I39" s="24">
        <v>15045.852999999999</v>
      </c>
      <c r="J39" s="24"/>
      <c r="K39" s="24">
        <v>15871.183999999999</v>
      </c>
      <c r="L39" s="24">
        <v>20803.003000000001</v>
      </c>
      <c r="M39" s="24">
        <v>22438.906999999999</v>
      </c>
      <c r="N39" s="24">
        <v>21396.644</v>
      </c>
      <c r="O39" s="24">
        <v>22885.48</v>
      </c>
      <c r="P39" s="24">
        <v>23050.573</v>
      </c>
      <c r="Q39" s="24">
        <v>24065.538</v>
      </c>
      <c r="R39" s="24">
        <v>24518.171999999999</v>
      </c>
      <c r="S39" s="24">
        <v>27546.739000000001</v>
      </c>
      <c r="T39" s="24">
        <v>35938.730000000003</v>
      </c>
      <c r="U39" s="24">
        <v>39700.455999999998</v>
      </c>
      <c r="V39" s="24">
        <v>48369.536999999997</v>
      </c>
      <c r="W39" s="24">
        <v>52405.087</v>
      </c>
      <c r="X39" s="24">
        <v>52162.603000000003</v>
      </c>
      <c r="Y39" s="24">
        <v>51740.709000000003</v>
      </c>
      <c r="Z39" s="24">
        <v>52167.508000000002</v>
      </c>
      <c r="AA39" s="24">
        <v>57797.161999999997</v>
      </c>
      <c r="AB39" s="24">
        <v>58233.718000000001</v>
      </c>
      <c r="AC39" s="24">
        <v>57818.642</v>
      </c>
    </row>
    <row r="40" spans="1:29">
      <c r="A40" s="7" t="s">
        <v>121</v>
      </c>
      <c r="B40" s="48">
        <f>SUM(B42:B53)</f>
        <v>0</v>
      </c>
      <c r="C40" s="48">
        <f t="shared" ref="C40:AC40" si="11">SUM(C42:C53)</f>
        <v>0</v>
      </c>
      <c r="D40" s="48">
        <f t="shared" si="11"/>
        <v>0</v>
      </c>
      <c r="E40" s="48">
        <f t="shared" si="11"/>
        <v>0</v>
      </c>
      <c r="F40" s="48">
        <f t="shared" si="11"/>
        <v>1342619.4169999999</v>
      </c>
      <c r="G40" s="48">
        <f t="shared" si="11"/>
        <v>0</v>
      </c>
      <c r="H40" s="48">
        <f t="shared" si="11"/>
        <v>0</v>
      </c>
      <c r="I40" s="48">
        <f t="shared" si="11"/>
        <v>1517140.2580000001</v>
      </c>
      <c r="J40" s="48">
        <f t="shared" si="11"/>
        <v>0</v>
      </c>
      <c r="K40" s="48">
        <f t="shared" si="11"/>
        <v>1722094.67139</v>
      </c>
      <c r="L40" s="48">
        <f t="shared" si="11"/>
        <v>2023808.8709999998</v>
      </c>
      <c r="M40" s="48">
        <f t="shared" si="11"/>
        <v>2211274.9419999998</v>
      </c>
      <c r="N40" s="48">
        <f t="shared" si="11"/>
        <v>2504691.8739999994</v>
      </c>
      <c r="O40" s="48">
        <f t="shared" si="11"/>
        <v>2803857.7180000003</v>
      </c>
      <c r="P40" s="48">
        <f t="shared" si="11"/>
        <v>3058465.6849999996</v>
      </c>
      <c r="Q40" s="48">
        <f t="shared" si="11"/>
        <v>3342814.8650000002</v>
      </c>
      <c r="R40" s="48">
        <f t="shared" si="11"/>
        <v>3570354.4130000002</v>
      </c>
      <c r="S40" s="48">
        <f t="shared" si="11"/>
        <v>3835458.4590000003</v>
      </c>
      <c r="T40" s="48">
        <f t="shared" si="11"/>
        <v>4162900.9169999994</v>
      </c>
      <c r="U40" s="48">
        <f t="shared" si="11"/>
        <v>4458862.165</v>
      </c>
      <c r="V40" s="48">
        <f t="shared" si="11"/>
        <v>5332255.29</v>
      </c>
      <c r="W40" s="48">
        <f t="shared" si="11"/>
        <v>5825335.3010000009</v>
      </c>
      <c r="X40" s="48">
        <f t="shared" si="11"/>
        <v>5831669.5090000005</v>
      </c>
      <c r="Y40" s="48">
        <f t="shared" si="11"/>
        <v>5962538.5769999996</v>
      </c>
      <c r="Z40" s="48">
        <f t="shared" si="11"/>
        <v>6245223.4530000007</v>
      </c>
      <c r="AA40" s="48">
        <f t="shared" si="11"/>
        <v>6549798.8489999995</v>
      </c>
      <c r="AB40" s="48">
        <f t="shared" si="11"/>
        <v>6786943.0140000004</v>
      </c>
      <c r="AC40" s="48">
        <f t="shared" si="11"/>
        <v>7036523.2770000007</v>
      </c>
    </row>
    <row r="41" spans="1:29">
      <c r="A41" s="7" t="s">
        <v>119</v>
      </c>
      <c r="X41" s="1">
        <v>0</v>
      </c>
      <c r="Y41" s="1">
        <v>0</v>
      </c>
      <c r="AB41" s="1">
        <v>0</v>
      </c>
      <c r="AC41" s="1">
        <v>0</v>
      </c>
    </row>
    <row r="42" spans="1:29">
      <c r="A42" s="1" t="s">
        <v>93</v>
      </c>
      <c r="F42" s="42">
        <v>167788.36300000001</v>
      </c>
      <c r="I42" s="1">
        <v>207189.55300000001</v>
      </c>
      <c r="K42" s="1">
        <v>219156.14199999999</v>
      </c>
      <c r="L42" s="1">
        <v>259338.821</v>
      </c>
      <c r="M42" s="1">
        <v>276161.04200000002</v>
      </c>
      <c r="N42" s="1">
        <v>336446.76199999999</v>
      </c>
      <c r="O42" s="1">
        <v>385740.84</v>
      </c>
      <c r="P42" s="1">
        <v>415537.83</v>
      </c>
      <c r="Q42" s="1">
        <v>453118.48300000001</v>
      </c>
      <c r="R42" s="1">
        <v>484482.38299999997</v>
      </c>
      <c r="S42" s="1">
        <v>537512.51599999995</v>
      </c>
      <c r="T42" s="1">
        <v>575329.43900000001</v>
      </c>
      <c r="U42" s="1">
        <v>619633.24300000002</v>
      </c>
      <c r="V42" s="1">
        <v>728518.21200000006</v>
      </c>
      <c r="W42" s="1">
        <v>810721.05700000003</v>
      </c>
      <c r="X42" s="1">
        <v>831947.41399999999</v>
      </c>
      <c r="Y42" s="1">
        <v>880280.76199999999</v>
      </c>
      <c r="Z42" s="1">
        <v>983458.69799999997</v>
      </c>
      <c r="AA42" s="1">
        <v>1089861.7339999999</v>
      </c>
      <c r="AB42" s="1">
        <v>1080626.5830000001</v>
      </c>
      <c r="AC42" s="1">
        <v>1109487.064</v>
      </c>
    </row>
    <row r="43" spans="1:29">
      <c r="A43" s="1" t="s">
        <v>58</v>
      </c>
      <c r="F43" s="42">
        <v>133788.557</v>
      </c>
      <c r="I43" s="1">
        <v>145849.848</v>
      </c>
      <c r="K43" s="1">
        <v>157912.77600000001</v>
      </c>
      <c r="L43" s="1">
        <v>194085.73800000001</v>
      </c>
      <c r="M43" s="1">
        <v>212948.89499999999</v>
      </c>
      <c r="N43" s="1">
        <v>270881.03999999998</v>
      </c>
      <c r="O43" s="1">
        <v>309151.09000000003</v>
      </c>
      <c r="P43" s="1">
        <v>350669.19300000003</v>
      </c>
      <c r="Q43" s="1">
        <v>356208.02600000001</v>
      </c>
      <c r="R43" s="1">
        <v>389910.53700000001</v>
      </c>
      <c r="S43" s="1">
        <v>415190.37300000002</v>
      </c>
      <c r="T43" s="1">
        <v>448543.02799999999</v>
      </c>
      <c r="U43" s="1">
        <v>511427.47600000002</v>
      </c>
      <c r="V43" s="1">
        <v>636994.06000000006</v>
      </c>
      <c r="W43" s="1">
        <v>712389.81700000004</v>
      </c>
      <c r="X43" s="1">
        <v>717590.03799999994</v>
      </c>
      <c r="Y43" s="1">
        <v>704185.72199999995</v>
      </c>
      <c r="Z43" s="1">
        <v>746213.42299999995</v>
      </c>
      <c r="AA43" s="1">
        <v>775331.24899999995</v>
      </c>
      <c r="AB43" s="1">
        <v>821518.10199999996</v>
      </c>
      <c r="AC43" s="1">
        <v>852631.51699999999</v>
      </c>
    </row>
    <row r="44" spans="1:29">
      <c r="A44" s="1" t="s">
        <v>94</v>
      </c>
      <c r="F44" s="42">
        <v>66334.540999999997</v>
      </c>
      <c r="I44" s="1">
        <v>73444.881999999998</v>
      </c>
      <c r="K44" s="1">
        <v>80261.796000000002</v>
      </c>
      <c r="L44" s="1">
        <v>96397.906000000003</v>
      </c>
      <c r="M44" s="1">
        <v>103264.526</v>
      </c>
      <c r="N44" s="1">
        <v>122132.2</v>
      </c>
      <c r="O44" s="1">
        <v>137343.848</v>
      </c>
      <c r="P44" s="1">
        <v>160845.38800000001</v>
      </c>
      <c r="Q44" s="1">
        <v>162983.86600000001</v>
      </c>
      <c r="R44" s="1">
        <v>166803.99900000001</v>
      </c>
      <c r="S44" s="1">
        <v>180623.71900000001</v>
      </c>
      <c r="T44" s="1">
        <v>189814.93400000001</v>
      </c>
      <c r="U44" s="1">
        <v>204818.171</v>
      </c>
      <c r="V44" s="1">
        <v>234977.17800000001</v>
      </c>
      <c r="W44" s="1">
        <v>256649.33499999999</v>
      </c>
      <c r="X44" s="1">
        <v>258079.49600000001</v>
      </c>
      <c r="Y44" s="1">
        <v>282405.77100000001</v>
      </c>
      <c r="Z44" s="1">
        <v>298774.73100000003</v>
      </c>
      <c r="AA44" s="1">
        <v>314684.21899999998</v>
      </c>
      <c r="AB44" s="1">
        <v>335540.41200000001</v>
      </c>
      <c r="AC44" s="1">
        <v>357736.79100000003</v>
      </c>
    </row>
    <row r="45" spans="1:29">
      <c r="A45" s="1" t="s">
        <v>95</v>
      </c>
      <c r="F45" s="42">
        <v>61031.000999999997</v>
      </c>
      <c r="I45" s="1">
        <v>67557.573999999993</v>
      </c>
      <c r="K45" s="1">
        <v>67860.793999999994</v>
      </c>
      <c r="L45" s="1">
        <v>83655.221000000005</v>
      </c>
      <c r="M45" s="1">
        <v>92073.209000000003</v>
      </c>
      <c r="N45" s="1">
        <v>92897.107999999993</v>
      </c>
      <c r="O45" s="1">
        <v>103803.098</v>
      </c>
      <c r="P45" s="1">
        <v>124442.031</v>
      </c>
      <c r="Q45" s="1">
        <v>126974.352</v>
      </c>
      <c r="R45" s="1">
        <v>124443.936</v>
      </c>
      <c r="S45" s="1">
        <v>124978.22199999999</v>
      </c>
      <c r="T45" s="1">
        <v>133475.56899999999</v>
      </c>
      <c r="U45" s="1">
        <v>156625.674</v>
      </c>
      <c r="V45" s="1">
        <v>200261.859</v>
      </c>
      <c r="W45" s="1">
        <v>223132.42199999999</v>
      </c>
      <c r="X45" s="1">
        <v>215137.889</v>
      </c>
      <c r="Y45" s="1">
        <v>214827.223</v>
      </c>
      <c r="Z45" s="1">
        <v>216404.967</v>
      </c>
      <c r="AA45" s="1">
        <v>219566.45300000001</v>
      </c>
      <c r="AB45" s="1">
        <v>225736.19099999999</v>
      </c>
      <c r="AC45" s="1">
        <v>237934.92300000001</v>
      </c>
    </row>
    <row r="46" spans="1:29">
      <c r="A46" s="1" t="s">
        <v>98</v>
      </c>
      <c r="F46" s="42">
        <v>252504.39799999999</v>
      </c>
      <c r="I46" s="1">
        <v>288411.66700000002</v>
      </c>
      <c r="K46" s="1">
        <v>369120.30699999997</v>
      </c>
      <c r="L46" s="1">
        <v>393074.42200000002</v>
      </c>
      <c r="M46" s="1">
        <v>422996.16899999999</v>
      </c>
      <c r="N46" s="1">
        <v>495261.038</v>
      </c>
      <c r="O46" s="1">
        <v>552797.27800000005</v>
      </c>
      <c r="P46" s="1">
        <v>583760.52599999995</v>
      </c>
      <c r="Q46" s="1">
        <v>601809.08700000006</v>
      </c>
      <c r="R46" s="1">
        <v>663675.10900000005</v>
      </c>
      <c r="S46" s="1">
        <v>701577.44499999995</v>
      </c>
      <c r="T46" s="1">
        <v>780809.96600000001</v>
      </c>
      <c r="U46" s="1">
        <v>886324.071</v>
      </c>
      <c r="V46" s="1">
        <v>1062402.307</v>
      </c>
      <c r="W46" s="1">
        <v>1167198.7</v>
      </c>
      <c r="X46" s="1">
        <v>1195683.2879999999</v>
      </c>
      <c r="Y46" s="1">
        <v>1234918.784</v>
      </c>
      <c r="Z46" s="1">
        <v>1280542.0689999999</v>
      </c>
      <c r="AA46" s="1">
        <v>1345497.872</v>
      </c>
      <c r="AB46" s="1">
        <v>1411983.1669999999</v>
      </c>
      <c r="AC46" s="1">
        <v>1488670.602</v>
      </c>
    </row>
    <row r="47" spans="1:29">
      <c r="A47" s="1" t="s">
        <v>99</v>
      </c>
      <c r="F47" s="42">
        <v>96388.270999999993</v>
      </c>
      <c r="I47" s="1">
        <v>106324.44100000001</v>
      </c>
      <c r="K47" s="1">
        <v>134052.052</v>
      </c>
      <c r="L47" s="1">
        <v>141355.91399999999</v>
      </c>
      <c r="M47" s="1">
        <v>155790.476</v>
      </c>
      <c r="N47" s="1">
        <v>194699.70699999999</v>
      </c>
      <c r="O47" s="1">
        <v>228716.92</v>
      </c>
      <c r="P47" s="1">
        <v>230626.226</v>
      </c>
      <c r="Q47" s="1">
        <v>245356.99799999999</v>
      </c>
      <c r="R47" s="1">
        <v>249401.18599999999</v>
      </c>
      <c r="S47" s="1">
        <v>275366.05499999999</v>
      </c>
      <c r="T47" s="1">
        <v>300164.62199999997</v>
      </c>
      <c r="U47" s="1">
        <v>320254.495</v>
      </c>
      <c r="V47" s="1">
        <v>393253.15399999998</v>
      </c>
      <c r="W47" s="1">
        <v>421887.05599999998</v>
      </c>
      <c r="X47" s="1">
        <v>410279.40700000001</v>
      </c>
      <c r="Y47" s="1">
        <v>421227.70600000001</v>
      </c>
      <c r="Z47" s="1">
        <v>432384.07900000003</v>
      </c>
      <c r="AA47" s="1">
        <v>441201.10200000001</v>
      </c>
      <c r="AB47" s="1">
        <v>454926.76899999997</v>
      </c>
      <c r="AC47" s="1">
        <v>476600.28600000002</v>
      </c>
    </row>
    <row r="48" spans="1:29">
      <c r="A48" s="1" t="s">
        <v>59</v>
      </c>
      <c r="F48" s="42">
        <v>98852.516000000003</v>
      </c>
      <c r="I48" s="1">
        <v>115756.356</v>
      </c>
      <c r="K48" s="1">
        <v>141903.193</v>
      </c>
      <c r="L48" s="1">
        <v>175093.508</v>
      </c>
      <c r="M48" s="1">
        <v>190182.038</v>
      </c>
      <c r="N48" s="1">
        <v>231601.69500000001</v>
      </c>
      <c r="O48" s="1">
        <v>247651.06</v>
      </c>
      <c r="P48" s="1">
        <v>263613.03700000001</v>
      </c>
      <c r="Q48" s="1">
        <v>286536.163</v>
      </c>
      <c r="R48" s="1">
        <v>303159.54300000001</v>
      </c>
      <c r="S48" s="1">
        <v>325989.81900000002</v>
      </c>
      <c r="T48" s="1">
        <v>353151.42499999999</v>
      </c>
      <c r="U48" s="1">
        <v>386834.89199999999</v>
      </c>
      <c r="V48" s="1">
        <v>441257.109</v>
      </c>
      <c r="W48" s="1">
        <v>454152.86</v>
      </c>
      <c r="X48" s="1">
        <v>484042.25099999999</v>
      </c>
      <c r="Y48" s="1">
        <v>491029.49</v>
      </c>
      <c r="Z48" s="1">
        <v>510577.01299999998</v>
      </c>
      <c r="AA48" s="1">
        <v>535960.73199999996</v>
      </c>
      <c r="AB48" s="1">
        <v>568414.70200000005</v>
      </c>
      <c r="AC48" s="1">
        <v>565019.48499999999</v>
      </c>
    </row>
    <row r="49" spans="1:29">
      <c r="A49" s="1" t="s">
        <v>101</v>
      </c>
      <c r="F49" s="42">
        <v>45219.059000000001</v>
      </c>
      <c r="I49" s="1">
        <v>42007.108</v>
      </c>
      <c r="K49" s="1">
        <v>47324.51</v>
      </c>
      <c r="L49" s="1">
        <v>59081.936999999998</v>
      </c>
      <c r="M49" s="1">
        <v>65991.317999999999</v>
      </c>
      <c r="N49" s="1">
        <v>75264.528000000006</v>
      </c>
      <c r="O49" s="1">
        <v>81176.366999999998</v>
      </c>
      <c r="P49" s="1">
        <v>94751.013999999996</v>
      </c>
      <c r="Q49" s="1">
        <v>105283.899</v>
      </c>
      <c r="R49" s="1">
        <v>128999.10400000001</v>
      </c>
      <c r="S49" s="1">
        <v>139112.90900000001</v>
      </c>
      <c r="T49" s="1">
        <v>151497.78599999999</v>
      </c>
      <c r="U49" s="1">
        <v>127229.064</v>
      </c>
      <c r="V49" s="1">
        <v>164861.49299999999</v>
      </c>
      <c r="W49" s="1">
        <v>180072.565</v>
      </c>
      <c r="X49" s="1">
        <v>180838.101</v>
      </c>
      <c r="Y49" s="1">
        <v>191464.49799999999</v>
      </c>
      <c r="Z49" s="1">
        <v>200221.88200000001</v>
      </c>
      <c r="AA49" s="1">
        <v>206065.696</v>
      </c>
      <c r="AB49" s="1">
        <v>202630.58600000001</v>
      </c>
      <c r="AC49" s="1">
        <v>216495.05799999999</v>
      </c>
    </row>
    <row r="50" spans="1:29">
      <c r="A50" s="1" t="s">
        <v>107</v>
      </c>
      <c r="F50" s="42">
        <v>28262.006000000001</v>
      </c>
      <c r="I50" s="1">
        <v>25273.9</v>
      </c>
      <c r="K50" s="1">
        <v>24238.463</v>
      </c>
      <c r="L50" s="1">
        <v>28078.29</v>
      </c>
      <c r="M50" s="1">
        <v>31840.532999999999</v>
      </c>
      <c r="N50" s="1">
        <v>36161.68</v>
      </c>
      <c r="O50" s="1">
        <v>38861.603999999999</v>
      </c>
      <c r="P50" s="1">
        <v>46341.002</v>
      </c>
      <c r="Q50" s="1">
        <v>44136.366000000002</v>
      </c>
      <c r="R50" s="1">
        <v>47392.014000000003</v>
      </c>
      <c r="S50" s="1">
        <v>51321.442000000003</v>
      </c>
      <c r="T50" s="1">
        <v>58429.934000000001</v>
      </c>
      <c r="U50" s="1">
        <v>61730.601999999999</v>
      </c>
      <c r="V50" s="1">
        <v>65399.13</v>
      </c>
      <c r="W50" s="1">
        <v>73577.888000000006</v>
      </c>
      <c r="X50" s="1">
        <v>70033.057000000001</v>
      </c>
      <c r="Y50" s="1">
        <v>67077.322</v>
      </c>
      <c r="Z50" s="1">
        <v>62287.180999999997</v>
      </c>
      <c r="AA50" s="1">
        <v>61916.137000000002</v>
      </c>
      <c r="AB50" s="1">
        <v>63196.258000000002</v>
      </c>
      <c r="AC50" s="1">
        <v>67247.104999999996</v>
      </c>
    </row>
    <row r="51" spans="1:29">
      <c r="A51" s="1" t="s">
        <v>108</v>
      </c>
      <c r="F51" s="42">
        <v>227364.07</v>
      </c>
      <c r="I51" s="1">
        <v>278533.79300000001</v>
      </c>
      <c r="K51" s="1">
        <v>306488.18199999997</v>
      </c>
      <c r="L51" s="1">
        <v>358293.62300000002</v>
      </c>
      <c r="M51" s="1">
        <v>400191.28499999997</v>
      </c>
      <c r="N51" s="1">
        <v>491554.20600000001</v>
      </c>
      <c r="O51" s="1">
        <v>540152.88</v>
      </c>
      <c r="P51" s="1">
        <v>596992.348</v>
      </c>
      <c r="Q51" s="1">
        <v>762543.30599999998</v>
      </c>
      <c r="R51" s="1">
        <v>815925.65099999995</v>
      </c>
      <c r="S51" s="1">
        <v>865262.27599999995</v>
      </c>
      <c r="T51" s="1">
        <v>928943.94799999997</v>
      </c>
      <c r="U51" s="1">
        <v>920460.70900000003</v>
      </c>
      <c r="V51" s="1">
        <v>1060975.9310000001</v>
      </c>
      <c r="W51" s="1">
        <v>1127063.3759999999</v>
      </c>
      <c r="X51" s="1">
        <v>1065908.2549999999</v>
      </c>
      <c r="Y51" s="1">
        <v>1060244.31</v>
      </c>
      <c r="Z51" s="1">
        <v>1077367.1240000001</v>
      </c>
      <c r="AA51" s="1">
        <v>1118055.1329999999</v>
      </c>
      <c r="AB51" s="1">
        <v>1175452.328</v>
      </c>
      <c r="AC51" s="1">
        <v>1204239.476</v>
      </c>
    </row>
    <row r="52" spans="1:29">
      <c r="A52" s="1" t="s">
        <v>112</v>
      </c>
      <c r="F52" s="42">
        <v>21017.845000000001</v>
      </c>
      <c r="I52" s="1">
        <v>20930.627</v>
      </c>
      <c r="K52" s="1">
        <v>19777.67239</v>
      </c>
      <c r="L52" s="1">
        <v>26693.723000000002</v>
      </c>
      <c r="M52" s="1">
        <v>28409.198</v>
      </c>
      <c r="N52" s="1">
        <v>31917.164000000001</v>
      </c>
      <c r="O52" s="1">
        <v>36953.146000000001</v>
      </c>
      <c r="P52" s="1">
        <v>36063.300999999999</v>
      </c>
      <c r="Q52" s="1">
        <v>37866.987999999998</v>
      </c>
      <c r="R52" s="1">
        <v>38614.998</v>
      </c>
      <c r="S52" s="1">
        <v>42974.517999999996</v>
      </c>
      <c r="T52" s="1">
        <v>49358.472000000002</v>
      </c>
      <c r="U52" s="1">
        <v>49181.337</v>
      </c>
      <c r="V52" s="1">
        <v>70526.255000000005</v>
      </c>
      <c r="W52" s="1">
        <v>77289.16</v>
      </c>
      <c r="X52" s="1">
        <v>76639.573999999993</v>
      </c>
      <c r="Y52" s="1">
        <v>67493.599000000002</v>
      </c>
      <c r="Z52" s="1">
        <v>69597.735000000001</v>
      </c>
      <c r="AA52" s="1">
        <v>71041.664999999994</v>
      </c>
      <c r="AB52" s="1">
        <v>71332.554999999993</v>
      </c>
      <c r="AC52" s="1">
        <v>74483.286999999997</v>
      </c>
    </row>
    <row r="53" spans="1:29">
      <c r="A53" s="24" t="s">
        <v>116</v>
      </c>
      <c r="B53" s="24"/>
      <c r="C53" s="24"/>
      <c r="D53" s="24"/>
      <c r="E53" s="24"/>
      <c r="F53" s="45">
        <v>144068.79</v>
      </c>
      <c r="G53" s="24"/>
      <c r="H53" s="24"/>
      <c r="I53" s="24">
        <v>145860.50899999999</v>
      </c>
      <c r="J53" s="24"/>
      <c r="K53" s="24">
        <v>153998.78400000001</v>
      </c>
      <c r="L53" s="24">
        <v>208659.76800000001</v>
      </c>
      <c r="M53" s="24">
        <v>231426.253</v>
      </c>
      <c r="N53" s="24">
        <v>125874.746</v>
      </c>
      <c r="O53" s="24">
        <v>141509.587</v>
      </c>
      <c r="P53" s="24">
        <v>154823.78899999999</v>
      </c>
      <c r="Q53" s="24">
        <v>159997.33100000001</v>
      </c>
      <c r="R53" s="24">
        <v>157545.95300000001</v>
      </c>
      <c r="S53" s="24">
        <v>175549.16500000001</v>
      </c>
      <c r="T53" s="24">
        <v>193381.79399999999</v>
      </c>
      <c r="U53" s="24">
        <v>214342.43100000001</v>
      </c>
      <c r="V53" s="24">
        <v>272828.60200000001</v>
      </c>
      <c r="W53" s="24">
        <v>321201.065</v>
      </c>
      <c r="X53" s="24">
        <v>325490.739</v>
      </c>
      <c r="Y53" s="24">
        <v>347383.39</v>
      </c>
      <c r="Z53" s="24">
        <v>367394.55099999998</v>
      </c>
      <c r="AA53" s="24">
        <v>370616.85700000002</v>
      </c>
      <c r="AB53" s="24">
        <v>375585.36099999998</v>
      </c>
      <c r="AC53" s="24">
        <v>385977.68300000002</v>
      </c>
    </row>
    <row r="54" spans="1:29">
      <c r="A54" s="7" t="s">
        <v>122</v>
      </c>
      <c r="B54" s="48">
        <f>SUM(B56:B64)</f>
        <v>0</v>
      </c>
      <c r="C54" s="48">
        <f t="shared" ref="C54:AC54" si="12">SUM(C56:C64)</f>
        <v>0</v>
      </c>
      <c r="D54" s="48">
        <f t="shared" si="12"/>
        <v>0</v>
      </c>
      <c r="E54" s="48">
        <f t="shared" si="12"/>
        <v>0</v>
      </c>
      <c r="F54" s="48">
        <f t="shared" si="12"/>
        <v>793918.95899999992</v>
      </c>
      <c r="G54" s="48">
        <f t="shared" si="12"/>
        <v>0</v>
      </c>
      <c r="H54" s="48">
        <f t="shared" si="12"/>
        <v>0</v>
      </c>
      <c r="I54" s="48">
        <f t="shared" si="12"/>
        <v>993533.21600000001</v>
      </c>
      <c r="J54" s="48">
        <f t="shared" si="12"/>
        <v>0</v>
      </c>
      <c r="K54" s="48">
        <f t="shared" si="12"/>
        <v>1188113.3460000001</v>
      </c>
      <c r="L54" s="48">
        <f t="shared" si="12"/>
        <v>1289525.1509999998</v>
      </c>
      <c r="M54" s="48">
        <f t="shared" si="12"/>
        <v>1335270.5180000002</v>
      </c>
      <c r="N54" s="48">
        <f t="shared" si="12"/>
        <v>1392902.73</v>
      </c>
      <c r="O54" s="48">
        <f t="shared" si="12"/>
        <v>1429912.0959999999</v>
      </c>
      <c r="P54" s="48">
        <f t="shared" si="12"/>
        <v>1608350.9540000001</v>
      </c>
      <c r="Q54" s="48">
        <f t="shared" si="12"/>
        <v>1830559.1800000002</v>
      </c>
      <c r="R54" s="48">
        <f t="shared" si="12"/>
        <v>1894210.1240000003</v>
      </c>
      <c r="S54" s="48">
        <f t="shared" si="12"/>
        <v>2025835.4959999998</v>
      </c>
      <c r="T54" s="48">
        <f t="shared" si="12"/>
        <v>2195633.4189999998</v>
      </c>
      <c r="U54" s="48">
        <f t="shared" si="12"/>
        <v>2326404.8489999999</v>
      </c>
      <c r="V54" s="48">
        <f t="shared" si="12"/>
        <v>2976098.0460000001</v>
      </c>
      <c r="W54" s="48">
        <f t="shared" si="12"/>
        <v>3153144.0039999997</v>
      </c>
      <c r="X54" s="48">
        <f t="shared" si="12"/>
        <v>3233874.6320000002</v>
      </c>
      <c r="Y54" s="48">
        <f t="shared" si="12"/>
        <v>3265767.8720000004</v>
      </c>
      <c r="Z54" s="48">
        <f t="shared" si="12"/>
        <v>3480584.1069999998</v>
      </c>
      <c r="AA54" s="48">
        <f t="shared" si="12"/>
        <v>3729785.6129999999</v>
      </c>
      <c r="AB54" s="48">
        <f t="shared" si="12"/>
        <v>3984992.5920000002</v>
      </c>
      <c r="AC54" s="48">
        <f t="shared" si="12"/>
        <v>4140437.7880000002</v>
      </c>
    </row>
    <row r="55" spans="1:29">
      <c r="A55" s="7" t="s">
        <v>119</v>
      </c>
      <c r="X55" s="1">
        <v>0</v>
      </c>
      <c r="Y55" s="1">
        <v>0</v>
      </c>
      <c r="AB55" s="1">
        <v>0</v>
      </c>
      <c r="AC55" s="1">
        <v>0</v>
      </c>
    </row>
    <row r="56" spans="1:29">
      <c r="A56" s="1" t="s">
        <v>89</v>
      </c>
      <c r="F56" s="42">
        <v>29819.544000000002</v>
      </c>
      <c r="I56" s="1">
        <v>42809.95</v>
      </c>
      <c r="K56" s="1">
        <v>46699.906000000003</v>
      </c>
      <c r="L56" s="1">
        <v>64244.993000000002</v>
      </c>
      <c r="M56" s="1">
        <v>73389.324999999997</v>
      </c>
      <c r="N56" s="1">
        <v>77904.206999999995</v>
      </c>
      <c r="O56" s="1">
        <v>88851.971999999994</v>
      </c>
      <c r="P56" s="1">
        <v>104276.586</v>
      </c>
      <c r="Q56" s="1">
        <v>116915.291</v>
      </c>
      <c r="R56" s="1">
        <v>125834.51</v>
      </c>
      <c r="S56" s="1">
        <v>140637.84899999999</v>
      </c>
      <c r="T56" s="1">
        <v>190679.04500000001</v>
      </c>
      <c r="U56" s="1">
        <v>204389.36300000001</v>
      </c>
      <c r="V56" s="1">
        <v>234756.277</v>
      </c>
      <c r="W56" s="1">
        <v>260648.48300000001</v>
      </c>
      <c r="X56" s="1">
        <v>261935.342</v>
      </c>
      <c r="Y56" s="1">
        <v>265902.25900000002</v>
      </c>
      <c r="Z56" s="1">
        <v>286403.495</v>
      </c>
      <c r="AA56" s="1">
        <v>306339.984</v>
      </c>
      <c r="AB56" s="1">
        <v>323662.54499999998</v>
      </c>
      <c r="AC56" s="1">
        <v>334933.59700000001</v>
      </c>
    </row>
    <row r="57" spans="1:29">
      <c r="A57" s="1" t="s">
        <v>96</v>
      </c>
      <c r="F57" s="42">
        <v>30992.032999999999</v>
      </c>
      <c r="I57" s="1">
        <v>34347.837</v>
      </c>
      <c r="K57" s="1">
        <v>39219.696000000004</v>
      </c>
      <c r="L57" s="1">
        <v>48771.569000000003</v>
      </c>
      <c r="M57" s="1">
        <v>51461.892</v>
      </c>
      <c r="N57" s="1">
        <v>68793.274000000005</v>
      </c>
      <c r="O57" s="1">
        <v>71702.021999999997</v>
      </c>
      <c r="P57" s="1">
        <v>71700.695000000007</v>
      </c>
      <c r="Q57" s="1">
        <v>72726.789000000004</v>
      </c>
      <c r="R57" s="1">
        <v>74733.467999999993</v>
      </c>
      <c r="S57" s="1">
        <v>74035.188999999998</v>
      </c>
      <c r="T57" s="1">
        <v>78598.811000000002</v>
      </c>
      <c r="U57" s="1">
        <v>86190.76</v>
      </c>
      <c r="V57" s="1">
        <v>101013.726</v>
      </c>
      <c r="W57" s="1">
        <v>112118.825</v>
      </c>
      <c r="X57" s="1">
        <v>113246.58900000001</v>
      </c>
      <c r="Y57" s="1">
        <v>109650.489</v>
      </c>
      <c r="Z57" s="1">
        <v>112978.05499999999</v>
      </c>
      <c r="AA57" s="1">
        <v>118703.129</v>
      </c>
      <c r="AB57" s="1">
        <v>130313.66499999999</v>
      </c>
      <c r="AC57" s="1">
        <v>131125.10699999999</v>
      </c>
    </row>
    <row r="58" spans="1:29" s="11" customFormat="1">
      <c r="A58" s="1" t="s">
        <v>97</v>
      </c>
      <c r="B58" s="1"/>
      <c r="C58" s="1"/>
      <c r="D58" s="1"/>
      <c r="E58" s="1"/>
      <c r="F58" s="42">
        <v>74913.104999999996</v>
      </c>
      <c r="G58" s="1"/>
      <c r="H58" s="1"/>
      <c r="I58" s="1">
        <v>93468.286999999997</v>
      </c>
      <c r="J58" s="1"/>
      <c r="K58" s="1">
        <v>96714.94</v>
      </c>
      <c r="L58" s="1">
        <v>123410.80499999999</v>
      </c>
      <c r="M58" s="1">
        <v>122379.622</v>
      </c>
      <c r="N58" s="1">
        <v>126891.56</v>
      </c>
      <c r="O58" s="1">
        <v>116158.93799999999</v>
      </c>
      <c r="P58" s="1">
        <v>131106.32199999999</v>
      </c>
      <c r="Q58" s="1">
        <v>139349.155</v>
      </c>
      <c r="R58" s="1">
        <v>151318.28700000001</v>
      </c>
      <c r="S58" s="1">
        <v>169369.23</v>
      </c>
      <c r="T58" s="1">
        <v>185683.47700000001</v>
      </c>
      <c r="U58" s="1">
        <v>198724.166</v>
      </c>
      <c r="V58" s="1">
        <v>279856.70899999997</v>
      </c>
      <c r="W58" s="1">
        <v>285993.90500000003</v>
      </c>
      <c r="X58" s="1">
        <v>309101.33500000002</v>
      </c>
      <c r="Y58" s="1">
        <v>335275.69</v>
      </c>
      <c r="Z58" s="1">
        <v>352276.39799999999</v>
      </c>
      <c r="AA58" s="1">
        <v>371696.06599999999</v>
      </c>
      <c r="AB58" s="1">
        <v>400684.48800000001</v>
      </c>
      <c r="AC58" s="1">
        <v>451725.31199999998</v>
      </c>
    </row>
    <row r="59" spans="1:29">
      <c r="A59" s="1" t="s">
        <v>103</v>
      </c>
      <c r="F59" s="42">
        <v>23583.876</v>
      </c>
      <c r="I59" s="1">
        <v>35494.832000000002</v>
      </c>
      <c r="K59" s="1">
        <v>40593.877</v>
      </c>
      <c r="L59" s="1">
        <v>46614.044999999998</v>
      </c>
      <c r="M59" s="1">
        <v>50088.904000000002</v>
      </c>
      <c r="N59" s="1">
        <v>56162.245999999999</v>
      </c>
      <c r="O59" s="1">
        <v>56717.478999999999</v>
      </c>
      <c r="P59" s="1">
        <v>61202.300999999999</v>
      </c>
      <c r="Q59" s="1">
        <v>64254.09</v>
      </c>
      <c r="R59" s="1">
        <v>64905.53</v>
      </c>
      <c r="S59" s="1">
        <v>75152.241999999998</v>
      </c>
      <c r="T59" s="1">
        <v>84192.937999999995</v>
      </c>
      <c r="U59" s="1">
        <v>89257.18</v>
      </c>
      <c r="V59" s="1">
        <v>109271.841</v>
      </c>
      <c r="W59" s="1">
        <v>120707.57</v>
      </c>
      <c r="X59" s="1">
        <v>122023.712</v>
      </c>
      <c r="Y59" s="1">
        <v>131340.06899999999</v>
      </c>
      <c r="Z59" s="1">
        <v>139658.39199999999</v>
      </c>
      <c r="AA59" s="1">
        <v>144960.06</v>
      </c>
      <c r="AB59" s="1">
        <v>162503.52299999999</v>
      </c>
      <c r="AC59" s="1">
        <v>171601.97399999999</v>
      </c>
    </row>
    <row r="60" spans="1:29">
      <c r="A60" s="1" t="s">
        <v>104</v>
      </c>
      <c r="F60" s="42">
        <v>65051.341</v>
      </c>
      <c r="I60" s="1">
        <v>79604.705000000002</v>
      </c>
      <c r="K60" s="1">
        <v>169760.158</v>
      </c>
      <c r="L60" s="1">
        <v>118596.84</v>
      </c>
      <c r="M60" s="1">
        <v>126588.393</v>
      </c>
      <c r="N60" s="1">
        <v>141824.72</v>
      </c>
      <c r="O60" s="1">
        <v>162706.50399999999</v>
      </c>
      <c r="P60" s="1">
        <v>182186.84400000001</v>
      </c>
      <c r="Q60" s="1">
        <v>339473.37099999998</v>
      </c>
      <c r="R60" s="1">
        <v>352875.212</v>
      </c>
      <c r="S60" s="1">
        <v>374327.92</v>
      </c>
      <c r="T60" s="1">
        <v>397275.413</v>
      </c>
      <c r="U60" s="1">
        <v>442039.33399999997</v>
      </c>
      <c r="V60" s="1">
        <v>559402.74</v>
      </c>
      <c r="W60" s="1">
        <v>584830.353</v>
      </c>
      <c r="X60" s="1">
        <v>598765.99</v>
      </c>
      <c r="Y60" s="1">
        <v>608273.12300000002</v>
      </c>
      <c r="Z60" s="1">
        <v>656088.75100000005</v>
      </c>
      <c r="AA60" s="1">
        <v>696069.96799999999</v>
      </c>
      <c r="AB60" s="1">
        <v>738271.31299999997</v>
      </c>
      <c r="AC60" s="1">
        <v>783354.52300000004</v>
      </c>
    </row>
    <row r="61" spans="1:29">
      <c r="A61" s="1" t="s">
        <v>106</v>
      </c>
      <c r="F61" s="42">
        <v>323062.51699999999</v>
      </c>
      <c r="I61" s="1">
        <v>417485.19699999999</v>
      </c>
      <c r="K61" s="1">
        <v>463655.42800000001</v>
      </c>
      <c r="L61" s="1">
        <v>472724.07799999998</v>
      </c>
      <c r="M61" s="1">
        <v>526413.67000000004</v>
      </c>
      <c r="N61" s="1">
        <v>582362.18500000006</v>
      </c>
      <c r="O61" s="1">
        <v>661736.77800000005</v>
      </c>
      <c r="P61" s="1">
        <v>776447.72499999998</v>
      </c>
      <c r="Q61" s="1">
        <v>807106.41500000004</v>
      </c>
      <c r="R61" s="1">
        <v>820142.27500000002</v>
      </c>
      <c r="S61" s="1">
        <v>856576.304</v>
      </c>
      <c r="T61" s="1">
        <v>889614.17700000003</v>
      </c>
      <c r="U61" s="1">
        <v>925501.97499999998</v>
      </c>
      <c r="V61" s="1">
        <v>1209994.7579999999</v>
      </c>
      <c r="W61" s="1">
        <v>1269688.5160000001</v>
      </c>
      <c r="X61" s="1">
        <v>1290636.03</v>
      </c>
      <c r="Y61" s="1">
        <v>1286114.3740000001</v>
      </c>
      <c r="Z61" s="1">
        <v>1372267.25</v>
      </c>
      <c r="AA61" s="1">
        <v>1516853.997</v>
      </c>
      <c r="AB61" s="1">
        <v>1639089.764</v>
      </c>
      <c r="AC61" s="1">
        <v>1659394.2390000001</v>
      </c>
    </row>
    <row r="62" spans="1:29">
      <c r="A62" s="1" t="s">
        <v>110</v>
      </c>
      <c r="F62" s="42">
        <v>207067.39199999999</v>
      </c>
      <c r="I62" s="1">
        <v>241387.834</v>
      </c>
      <c r="K62" s="1">
        <v>273218.30699999997</v>
      </c>
      <c r="L62" s="1">
        <v>340221.74900000001</v>
      </c>
      <c r="M62" s="1">
        <v>304116.14799999999</v>
      </c>
      <c r="N62" s="1">
        <v>253318.31599999999</v>
      </c>
      <c r="O62" s="1">
        <v>173883.73300000001</v>
      </c>
      <c r="P62" s="1">
        <v>178125.215</v>
      </c>
      <c r="Q62" s="1">
        <v>178900.72500000001</v>
      </c>
      <c r="R62" s="1">
        <v>186774.72500000001</v>
      </c>
      <c r="S62" s="1">
        <v>206275.51199999999</v>
      </c>
      <c r="T62" s="1">
        <v>220824.36</v>
      </c>
      <c r="U62" s="1">
        <v>216484.34299999999</v>
      </c>
      <c r="V62" s="1">
        <v>277354.44300000003</v>
      </c>
      <c r="W62" s="1">
        <v>289960.70400000003</v>
      </c>
      <c r="X62" s="1">
        <v>301569.57400000002</v>
      </c>
      <c r="Y62" s="1">
        <v>287146.549</v>
      </c>
      <c r="Z62" s="1">
        <v>297130.04100000003</v>
      </c>
      <c r="AA62" s="1">
        <v>300451.90299999999</v>
      </c>
      <c r="AB62" s="1">
        <v>299376.67099999997</v>
      </c>
      <c r="AC62" s="1">
        <v>299880.52799999999</v>
      </c>
    </row>
    <row r="63" spans="1:29">
      <c r="A63" s="1" t="s">
        <v>111</v>
      </c>
      <c r="F63" s="42">
        <v>18846.61</v>
      </c>
      <c r="I63" s="1">
        <v>25702.088</v>
      </c>
      <c r="K63" s="1">
        <v>29729.465</v>
      </c>
      <c r="L63" s="1">
        <v>33581.868999999999</v>
      </c>
      <c r="M63" s="1">
        <v>35946.756999999998</v>
      </c>
      <c r="N63" s="1">
        <v>39269.033000000003</v>
      </c>
      <c r="O63" s="1">
        <v>43041.752999999997</v>
      </c>
      <c r="P63" s="1">
        <v>45538.284</v>
      </c>
      <c r="Q63" s="1">
        <v>49120.773000000001</v>
      </c>
      <c r="R63" s="1">
        <v>52668.067999999999</v>
      </c>
      <c r="S63" s="1">
        <v>60037.8</v>
      </c>
      <c r="T63" s="1">
        <v>70983.661999999997</v>
      </c>
      <c r="U63" s="1">
        <v>78879.072</v>
      </c>
      <c r="V63" s="1">
        <v>93476.437000000005</v>
      </c>
      <c r="W63" s="1">
        <v>110217.287</v>
      </c>
      <c r="X63" s="1">
        <v>118650.44100000001</v>
      </c>
      <c r="Y63" s="1">
        <v>123948.361</v>
      </c>
      <c r="Z63" s="1">
        <v>138127.152</v>
      </c>
      <c r="AA63" s="1">
        <v>145388.19099999999</v>
      </c>
      <c r="AB63" s="1">
        <v>151147.52299999999</v>
      </c>
      <c r="AC63" s="1">
        <v>156286.44899999999</v>
      </c>
    </row>
    <row r="64" spans="1:29">
      <c r="A64" s="24" t="s">
        <v>114</v>
      </c>
      <c r="B64" s="24"/>
      <c r="C64" s="24"/>
      <c r="D64" s="24"/>
      <c r="E64" s="24"/>
      <c r="F64" s="45">
        <v>20582.541000000001</v>
      </c>
      <c r="G64" s="24"/>
      <c r="H64" s="24"/>
      <c r="I64" s="24">
        <v>23232.486000000001</v>
      </c>
      <c r="J64" s="24"/>
      <c r="K64" s="24">
        <v>28521.569</v>
      </c>
      <c r="L64" s="24">
        <v>41359.203000000001</v>
      </c>
      <c r="M64" s="24">
        <v>44885.807000000001</v>
      </c>
      <c r="N64" s="24">
        <v>46377.188999999998</v>
      </c>
      <c r="O64" s="24">
        <v>55112.917000000001</v>
      </c>
      <c r="P64" s="24">
        <v>57766.982000000004</v>
      </c>
      <c r="Q64" s="24">
        <v>62712.571000000004</v>
      </c>
      <c r="R64" s="24">
        <v>64958.048999999999</v>
      </c>
      <c r="S64" s="24">
        <v>69423.45</v>
      </c>
      <c r="T64" s="24">
        <v>77781.535999999993</v>
      </c>
      <c r="U64" s="24">
        <v>84938.656000000003</v>
      </c>
      <c r="V64" s="24">
        <v>110971.11500000001</v>
      </c>
      <c r="W64" s="24">
        <v>118978.361</v>
      </c>
      <c r="X64" s="24">
        <v>117945.61900000001</v>
      </c>
      <c r="Y64" s="24">
        <v>118116.958</v>
      </c>
      <c r="Z64" s="24">
        <v>125654.573</v>
      </c>
      <c r="AA64" s="24">
        <v>129322.315</v>
      </c>
      <c r="AB64" s="24">
        <v>139943.1</v>
      </c>
      <c r="AC64" s="24">
        <v>152136.05900000001</v>
      </c>
    </row>
    <row r="65" spans="1:29">
      <c r="A65" s="46" t="s">
        <v>90</v>
      </c>
      <c r="B65" s="46"/>
      <c r="C65" s="46"/>
      <c r="D65" s="46"/>
      <c r="E65" s="46"/>
      <c r="F65" s="47">
        <v>3252.2139999999999</v>
      </c>
      <c r="G65" s="46"/>
      <c r="H65" s="46"/>
      <c r="I65" s="46">
        <v>3410.777</v>
      </c>
      <c r="J65" s="46"/>
      <c r="K65" s="46">
        <v>4125.33932</v>
      </c>
      <c r="L65" s="46">
        <v>3691.6880000000001</v>
      </c>
      <c r="M65" s="46">
        <v>7927.8969999999999</v>
      </c>
      <c r="N65" s="46">
        <v>7286.6719999999996</v>
      </c>
      <c r="O65" s="46">
        <v>6792.884</v>
      </c>
      <c r="P65" s="46">
        <v>7398.7250000000004</v>
      </c>
      <c r="Q65" s="46">
        <v>11067.237999999999</v>
      </c>
      <c r="R65" s="46">
        <v>9485.5339999999997</v>
      </c>
      <c r="S65" s="46">
        <v>9423.3019999999997</v>
      </c>
      <c r="T65" s="46">
        <v>11928.102000000001</v>
      </c>
      <c r="U65" s="46">
        <v>14240.303</v>
      </c>
      <c r="V65" s="46">
        <v>29079.039000000001</v>
      </c>
      <c r="W65" s="46">
        <v>27398.077000000001</v>
      </c>
      <c r="X65" s="24">
        <v>26061.366000000002</v>
      </c>
      <c r="Y65" s="24">
        <v>23277.508999999998</v>
      </c>
      <c r="Z65" s="24">
        <v>20455.456999999999</v>
      </c>
      <c r="AA65" s="24">
        <v>21676.45</v>
      </c>
      <c r="AB65" s="24">
        <v>22902.793000000001</v>
      </c>
      <c r="AC65" s="24">
        <v>21375.360000000001</v>
      </c>
    </row>
    <row r="67" spans="1:29">
      <c r="I67" s="20" t="s">
        <v>78</v>
      </c>
      <c r="J67" s="20" t="s">
        <v>75</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indexed="16"/>
  </sheetPr>
  <dimension ref="A1:AD84"/>
  <sheetViews>
    <sheetView showGridLines="0" view="pageBreakPreview" topLeftCell="A40" zoomScaleNormal="75" zoomScaleSheetLayoutView="100" workbookViewId="0">
      <selection activeCell="A71" sqref="A71:G71"/>
    </sheetView>
  </sheetViews>
  <sheetFormatPr defaultColWidth="12.42578125" defaultRowHeight="12.75"/>
  <cols>
    <col min="1" max="1" width="8.28515625" customWidth="1"/>
    <col min="3" max="3" width="10.140625" customWidth="1"/>
    <col min="4" max="4" width="10.28515625" customWidth="1"/>
    <col min="5" max="5" width="9.140625" customWidth="1"/>
    <col min="7" max="7" width="11.7109375" customWidth="1"/>
    <col min="8" max="8" width="9.85546875" customWidth="1"/>
    <col min="9" max="9" width="9.5703125" customWidth="1"/>
    <col min="10" max="10" width="10.140625" customWidth="1"/>
    <col min="11" max="11" width="9" customWidth="1"/>
    <col min="13" max="13" width="11.7109375" customWidth="1"/>
    <col min="14" max="14" width="8.7109375" customWidth="1"/>
    <col min="15" max="16" width="12.42578125" style="19"/>
    <col min="17" max="17" width="8.85546875" style="19" customWidth="1"/>
    <col min="18" max="18" width="9.5703125" style="19" customWidth="1"/>
    <col min="19" max="19" width="12.42578125" style="19"/>
    <col min="20" max="20" width="14.42578125" style="19" customWidth="1"/>
    <col min="21" max="21" width="12.42578125" style="19"/>
    <col min="22" max="22" width="8.85546875" style="19" customWidth="1"/>
    <col min="23" max="23" width="4" style="19" customWidth="1"/>
    <col min="24" max="24" width="8" customWidth="1"/>
    <col min="25" max="25" width="6.7109375" customWidth="1"/>
  </cols>
  <sheetData>
    <row r="1" spans="1:30">
      <c r="A1" s="7" t="s">
        <v>148</v>
      </c>
      <c r="B1" s="7"/>
      <c r="C1" s="2"/>
      <c r="D1" s="2"/>
      <c r="E1" s="2"/>
      <c r="F1" s="2"/>
      <c r="G1" s="2"/>
      <c r="H1" s="2"/>
      <c r="J1" s="2"/>
      <c r="K1" s="4"/>
      <c r="L1" s="4"/>
      <c r="M1" s="4"/>
      <c r="N1" s="4"/>
      <c r="O1" s="8"/>
      <c r="P1" s="8"/>
      <c r="Q1" s="8"/>
      <c r="R1" s="8"/>
      <c r="S1" s="8"/>
      <c r="T1" s="8"/>
      <c r="U1" s="8"/>
      <c r="V1" s="8"/>
      <c r="W1" s="8"/>
      <c r="X1" s="1"/>
      <c r="Y1" s="2"/>
      <c r="Z1" s="1"/>
      <c r="AA1" s="1"/>
      <c r="AB1" s="1"/>
      <c r="AC1" s="1"/>
      <c r="AD1" s="1"/>
    </row>
    <row r="2" spans="1:30" ht="14.25">
      <c r="A2" s="7" t="s">
        <v>126</v>
      </c>
      <c r="B2" s="7"/>
      <c r="C2" s="2"/>
      <c r="D2" s="2"/>
      <c r="E2" s="2"/>
      <c r="F2" s="2"/>
      <c r="G2" s="2"/>
      <c r="H2" s="2"/>
      <c r="I2" s="2"/>
      <c r="J2" s="2"/>
      <c r="K2" s="4"/>
      <c r="L2" s="4"/>
      <c r="M2" s="4"/>
      <c r="N2" s="4"/>
      <c r="O2" s="8"/>
      <c r="P2" s="8"/>
      <c r="Q2" s="8"/>
      <c r="R2" s="8"/>
      <c r="S2" s="8"/>
      <c r="T2" s="8"/>
      <c r="U2" s="8"/>
      <c r="V2" s="8"/>
      <c r="W2" s="8"/>
      <c r="X2" s="1"/>
      <c r="Y2" s="2"/>
      <c r="Z2" s="1"/>
      <c r="AA2" s="1"/>
      <c r="AB2" s="1"/>
      <c r="AC2" s="1"/>
      <c r="AD2" s="1"/>
    </row>
    <row r="3" spans="1:30">
      <c r="A3" s="1" t="s">
        <v>51</v>
      </c>
      <c r="B3" s="7"/>
      <c r="C3" s="2"/>
      <c r="D3" s="1"/>
      <c r="E3" s="1"/>
      <c r="F3" s="1"/>
      <c r="G3" s="2"/>
      <c r="H3" s="1"/>
      <c r="I3" s="1"/>
      <c r="J3" s="2"/>
      <c r="K3" s="4"/>
      <c r="L3" s="4"/>
      <c r="M3" s="4"/>
      <c r="N3" s="4"/>
      <c r="O3" s="8"/>
      <c r="P3" s="8"/>
      <c r="Q3" s="8"/>
      <c r="R3" s="8"/>
      <c r="S3" s="8"/>
      <c r="T3" s="8"/>
      <c r="U3" s="8"/>
      <c r="V3" s="8"/>
      <c r="W3" s="8"/>
      <c r="X3" s="1"/>
      <c r="Y3" s="1"/>
      <c r="Z3" s="1"/>
      <c r="AA3" s="1"/>
      <c r="AB3" s="1"/>
      <c r="AC3" s="1"/>
      <c r="AD3" s="1"/>
    </row>
    <row r="4" spans="1:30">
      <c r="A4" s="1"/>
      <c r="B4" s="1"/>
      <c r="C4" s="1"/>
      <c r="D4" s="1"/>
      <c r="E4" s="1"/>
      <c r="F4" s="1"/>
      <c r="G4" s="1"/>
      <c r="H4" s="1"/>
      <c r="I4" s="1"/>
      <c r="J4" s="1"/>
      <c r="K4" s="1"/>
      <c r="L4" s="1"/>
      <c r="M4" s="1"/>
      <c r="N4" s="1"/>
      <c r="O4" s="8"/>
      <c r="X4" s="1"/>
      <c r="Y4" s="1"/>
      <c r="Z4" s="1"/>
      <c r="AA4" s="1"/>
      <c r="AB4" s="1"/>
      <c r="AC4" s="1"/>
      <c r="AD4" s="1"/>
    </row>
    <row r="5" spans="1:30">
      <c r="A5" s="21"/>
      <c r="B5" s="21"/>
      <c r="C5" s="3" t="s">
        <v>151</v>
      </c>
      <c r="D5" s="3"/>
      <c r="E5" s="3"/>
      <c r="F5" s="3"/>
      <c r="G5" s="3"/>
      <c r="H5" s="3"/>
      <c r="I5" s="58" t="s">
        <v>152</v>
      </c>
      <c r="J5" s="3"/>
      <c r="K5" s="3"/>
      <c r="L5" s="3"/>
      <c r="M5" s="3"/>
      <c r="N5" s="3"/>
      <c r="O5" s="16"/>
      <c r="P5" s="3" t="s">
        <v>153</v>
      </c>
      <c r="Q5" s="3"/>
      <c r="R5" s="3"/>
      <c r="S5" s="3"/>
      <c r="T5" s="3"/>
      <c r="U5" s="3"/>
      <c r="V5" s="3"/>
      <c r="W5" s="2"/>
      <c r="X5" s="1" t="s">
        <v>50</v>
      </c>
      <c r="Y5" s="1"/>
      <c r="Z5" s="2"/>
      <c r="AA5" s="2"/>
      <c r="AB5" s="1"/>
      <c r="AC5" s="1"/>
      <c r="AD5" s="1"/>
    </row>
    <row r="6" spans="1:30" ht="51">
      <c r="A6" s="5"/>
      <c r="B6" s="5"/>
      <c r="C6" s="2"/>
      <c r="D6" s="2"/>
      <c r="E6" s="2" t="s">
        <v>43</v>
      </c>
      <c r="F6" s="79" t="s">
        <v>125</v>
      </c>
      <c r="G6" s="74" t="s">
        <v>124</v>
      </c>
      <c r="H6" s="4" t="s">
        <v>44</v>
      </c>
      <c r="I6" s="59"/>
      <c r="J6" s="2"/>
      <c r="K6" s="2" t="s">
        <v>43</v>
      </c>
      <c r="L6" s="79" t="s">
        <v>125</v>
      </c>
      <c r="M6" s="74" t="s">
        <v>124</v>
      </c>
      <c r="N6" s="4" t="s">
        <v>44</v>
      </c>
      <c r="O6" s="16"/>
      <c r="P6" s="2"/>
      <c r="Q6" s="2"/>
      <c r="R6" s="2" t="s">
        <v>43</v>
      </c>
      <c r="S6" s="79" t="s">
        <v>125</v>
      </c>
      <c r="T6" s="74" t="s">
        <v>135</v>
      </c>
      <c r="U6" s="74" t="s">
        <v>124</v>
      </c>
      <c r="V6" s="4" t="s">
        <v>44</v>
      </c>
      <c r="W6" s="4"/>
      <c r="X6" s="1"/>
      <c r="Y6" s="1"/>
      <c r="Z6" s="2"/>
      <c r="AA6" s="2"/>
      <c r="AB6" s="1"/>
      <c r="AC6" s="1"/>
      <c r="AD6" s="1"/>
    </row>
    <row r="7" spans="1:30" ht="14.25">
      <c r="A7" s="5"/>
      <c r="B7" s="5"/>
      <c r="C7" s="25" t="s">
        <v>128</v>
      </c>
      <c r="D7" s="25" t="s">
        <v>129</v>
      </c>
      <c r="E7" s="25" t="s">
        <v>130</v>
      </c>
      <c r="F7" s="25" t="s">
        <v>131</v>
      </c>
      <c r="G7" s="25" t="s">
        <v>49</v>
      </c>
      <c r="H7" s="26" t="s">
        <v>132</v>
      </c>
      <c r="I7" s="60" t="s">
        <v>128</v>
      </c>
      <c r="J7" s="25" t="s">
        <v>129</v>
      </c>
      <c r="K7" s="25" t="s">
        <v>130</v>
      </c>
      <c r="L7" s="25" t="s">
        <v>131</v>
      </c>
      <c r="M7" s="25" t="s">
        <v>49</v>
      </c>
      <c r="N7" s="26" t="s">
        <v>132</v>
      </c>
      <c r="O7" s="16"/>
      <c r="P7" s="25" t="s">
        <v>128</v>
      </c>
      <c r="Q7" s="25" t="s">
        <v>129</v>
      </c>
      <c r="R7" s="25" t="s">
        <v>130</v>
      </c>
      <c r="S7" s="25" t="s">
        <v>131</v>
      </c>
      <c r="T7" s="80" t="s">
        <v>136</v>
      </c>
      <c r="U7" s="25" t="s">
        <v>49</v>
      </c>
      <c r="V7" s="26" t="s">
        <v>132</v>
      </c>
      <c r="W7" s="4"/>
      <c r="X7" s="13" t="s">
        <v>77</v>
      </c>
      <c r="Y7" s="1"/>
      <c r="Z7" s="2"/>
      <c r="AA7" s="2"/>
      <c r="AB7" s="1"/>
      <c r="AC7" s="1"/>
      <c r="AD7" s="1"/>
    </row>
    <row r="8" spans="1:30">
      <c r="A8" s="55" t="s">
        <v>118</v>
      </c>
      <c r="B8" s="55"/>
      <c r="C8" s="61">
        <f>('INSTRUCTION-2YR'!AC6)/('T E&amp;G 2YR'!AC6)*100</f>
        <v>39.838537900866655</v>
      </c>
      <c r="D8" s="61" t="str">
        <f>IF((('RESEARCH 2yr'!AC6/'T E&amp;G 2YR'!AC6)*100)=0,('RESEARCH 2yr'!AC6/'T E&amp;G 2YR'!AC6)*100,IF((('RESEARCH 2yr'!AC6/'T E&amp;G 2YR'!AC6)*100)&gt;=0.05,('RESEARCH 2yr'!AC6/'T E&amp;G 2YR'!AC6)*100,"*"))</f>
        <v>*</v>
      </c>
      <c r="E8" s="61">
        <f>'PUBLIC SERVICE 2yr'!AC6/'T E&amp;G 2YR'!AC6*100</f>
        <v>1.3233000072134635</v>
      </c>
      <c r="F8" s="61">
        <f>'ASptISptSSv 2yr'!AC6/'T E&amp;G 2YR'!AC6*100</f>
        <v>33.297627596393191</v>
      </c>
      <c r="G8" s="61">
        <f>'SCHOLAR FELLOW 2yr'!AC6/'T E&amp;G 2YR'!AC6*100</f>
        <v>19.294050149634636</v>
      </c>
      <c r="H8" s="61">
        <f>('All Other 2yr'!AC6/'T E&amp;G 2YR'!AC6)*100</f>
        <v>6.1981993816339616</v>
      </c>
      <c r="I8" s="62">
        <f t="shared" ref="I8:L9" si="0">IF((C8-P8)=0,(C8-P8),IF((C8-P8)&gt;=0.05,(C8-P8),IF((C8-P8&lt;=-0.05),(C8-P8),"*")))</f>
        <v>0.37160452437306191</v>
      </c>
      <c r="J8" s="61" t="str">
        <f t="shared" si="0"/>
        <v>*</v>
      </c>
      <c r="K8" s="61">
        <f t="shared" si="0"/>
        <v>-0.14545017046963604</v>
      </c>
      <c r="L8" s="61">
        <f t="shared" si="0"/>
        <v>2.8016824591330902</v>
      </c>
      <c r="M8" s="61">
        <f>IF((G8-U8)=0,(G8-U8),IF((G8-U8)&gt;=0.05,(G8-U8),IF((G8-U8&lt;=-0.05),(G8-U8),"*")))</f>
        <v>-5.6182573772324176</v>
      </c>
      <c r="N8" s="61">
        <f>IF((H8-V8)=0,(H8-V8),IF((H8-V8)&gt;=0.05,(H8-V8),IF((H8-V8&lt;=-0.05),(H8-V8),"*")))</f>
        <v>2.5821880934864949</v>
      </c>
      <c r="O8" s="23"/>
      <c r="P8" s="38">
        <f>'INSTRUCTION-2YR'!X6/'T E&amp;G 2YR'!X6*100</f>
        <v>39.466933376493593</v>
      </c>
      <c r="Q8" s="38">
        <f>('RESEARCH 2yr'!X6/'T E&amp;G 2YR'!X6)*100</f>
        <v>4.0052493548684155E-2</v>
      </c>
      <c r="R8" s="38">
        <f>'PUBLIC SERVICE 2yr'!X6/'T E&amp;G 2YR'!X6*100</f>
        <v>1.4687501776830996</v>
      </c>
      <c r="S8" s="38">
        <f>'ASptISptSSv 2yr'!X6/'T E&amp;G 2YR'!X6*100</f>
        <v>30.495945137260101</v>
      </c>
      <c r="T8" s="39">
        <f>'PLANT OPER MAIN 2yr'!X6/'T E&amp;G 2YR'!X6*100</f>
        <v>0</v>
      </c>
      <c r="U8" s="38">
        <f>'SCHOLAR FELLOW 2yr'!X6/'T E&amp;G 2YR'!X6*100</f>
        <v>24.912307526867053</v>
      </c>
      <c r="V8" s="37">
        <f>IF((('All Other 2yr'!X6/'T E&amp;G 2YR'!X6)*100)&gt;=0.05,('All Other 2yr'!X6/'T E&amp;G 2YR'!X6)*100,"*")</f>
        <v>3.6160112881474666</v>
      </c>
      <c r="W8" s="37"/>
      <c r="X8" s="28">
        <f>SUM(P8:V8)</f>
        <v>99.999999999999986</v>
      </c>
      <c r="Y8" s="28">
        <f>SUM(C8:H8)</f>
        <v>99.951715035741913</v>
      </c>
      <c r="Z8" s="1"/>
      <c r="AA8" s="1"/>
      <c r="AB8" s="1"/>
      <c r="AC8" s="1"/>
      <c r="AD8" s="1"/>
    </row>
    <row r="9" spans="1:30">
      <c r="A9" s="54" t="s">
        <v>56</v>
      </c>
      <c r="B9" s="54"/>
      <c r="C9" s="63">
        <f>('INSTRUCTION-2YR'!AC7)/('T E&amp;G 2YR'!AC7)*100</f>
        <v>39.128190327404887</v>
      </c>
      <c r="D9" s="63" t="str">
        <f>IF((('RESEARCH 2yr'!AC7/'T E&amp;G 2YR'!AC7)*100)=0,('RESEARCH 2yr'!AC7/'T E&amp;G 2YR'!AC7)*100,IF((('RESEARCH 2yr'!AC7/'T E&amp;G 2YR'!AC7)*100)&gt;=0.05,('RESEARCH 2yr'!AC7/'T E&amp;G 2YR'!AC7)*100,"*"))</f>
        <v>*</v>
      </c>
      <c r="E9" s="63">
        <f>'PUBLIC SERVICE 2yr'!AC7/'T E&amp;G 2YR'!AC7*100</f>
        <v>1.024849660843747</v>
      </c>
      <c r="F9" s="63">
        <f>'ASptISptSSv 2yr'!AC7/'T E&amp;G 2YR'!AC7*100</f>
        <v>32.504242649788786</v>
      </c>
      <c r="G9" s="63">
        <f>'SCHOLAR FELLOW 2yr'!AC7/'T E&amp;G 2YR'!AC7*100</f>
        <v>22.766437962215296</v>
      </c>
      <c r="H9" s="63">
        <f>('All Other 2yr'!AC7/'T E&amp;G 2YR'!AC7)*100</f>
        <v>4.569061666541403</v>
      </c>
      <c r="I9" s="64">
        <f t="shared" si="0"/>
        <v>0.14381255490285838</v>
      </c>
      <c r="J9" s="63" t="str">
        <f t="shared" si="0"/>
        <v>*</v>
      </c>
      <c r="K9" s="63" t="str">
        <f t="shared" si="0"/>
        <v>*</v>
      </c>
      <c r="L9" s="63">
        <f t="shared" si="0"/>
        <v>3.2208969463508268</v>
      </c>
      <c r="M9" s="63">
        <f>IF((G9-U9)=0,(G9-U9),IF((G9-U9)&gt;=0.05,(G9-U9),IF((G9-U9&lt;=-0.05),(G9-U9),"*")))</f>
        <v>-5.7785549971908239</v>
      </c>
      <c r="N9" s="63">
        <f>IF((H9-V9)=0,(H9-V9),IF((H9-V9)&gt;=0.05,(H9-V9),IF((H9-V9&lt;=-0.05),(H9-V9),"*")))</f>
        <v>2.4255230653720234</v>
      </c>
      <c r="O9" s="23"/>
      <c r="P9" s="38">
        <f>'INSTRUCTION-2YR'!X7/'T E&amp;G 2YR'!X7*100</f>
        <v>38.984377772502029</v>
      </c>
      <c r="Q9" s="38">
        <f>('RESEARCH 2yr'!X7/'T E&amp;G 2YR'!X7)*100</f>
        <v>1.0413282074393727E-2</v>
      </c>
      <c r="R9" s="38">
        <f>'PUBLIC SERVICE 2yr'!X7/'T E&amp;G 2YR'!X7*100</f>
        <v>1.0333316814101077</v>
      </c>
      <c r="S9" s="38">
        <f>'ASptISptSSv 2yr'!X7/'T E&amp;G 2YR'!X7*100</f>
        <v>29.283345703437959</v>
      </c>
      <c r="T9" s="39">
        <f>'PLANT OPER MAIN 2yr'!X7/'T E&amp;G 2YR'!X7*100</f>
        <v>0</v>
      </c>
      <c r="U9" s="38">
        <f>'SCHOLAR FELLOW 2yr'!X7/'T E&amp;G 2YR'!X7*100</f>
        <v>28.54499295940612</v>
      </c>
      <c r="V9" s="37">
        <f>IF((('All Other 2yr'!X7/'T E&amp;G 2YR'!X7)*100)&gt;=0.05,('All Other 2yr'!X7/'T E&amp;G 2YR'!X7)*100,"*")</f>
        <v>2.1435386011693796</v>
      </c>
      <c r="W9" s="37"/>
      <c r="X9" s="28">
        <f t="shared" ref="X9:X66" si="1">SUM(P9:V9)</f>
        <v>99.999999999999986</v>
      </c>
      <c r="Y9" s="28">
        <f>SUM(C9:H9)</f>
        <v>99.992782266794123</v>
      </c>
      <c r="Z9" s="1"/>
      <c r="AA9" s="1"/>
      <c r="AB9" s="1"/>
      <c r="AC9" s="1"/>
      <c r="AD9" s="1"/>
    </row>
    <row r="10" spans="1:30">
      <c r="A10" s="54"/>
      <c r="B10" s="54"/>
      <c r="C10" s="63"/>
      <c r="D10" s="63"/>
      <c r="E10" s="63"/>
      <c r="F10" s="63"/>
      <c r="G10" s="63"/>
      <c r="H10" s="63"/>
      <c r="I10" s="64"/>
      <c r="J10" s="63"/>
      <c r="K10" s="63"/>
      <c r="L10" s="63"/>
      <c r="M10" s="63"/>
      <c r="N10" s="63"/>
      <c r="O10" s="8"/>
      <c r="P10" s="38"/>
      <c r="Q10" s="38"/>
      <c r="R10" s="38"/>
      <c r="S10" s="38"/>
      <c r="T10" s="39"/>
      <c r="U10" s="38"/>
      <c r="V10" s="37"/>
      <c r="W10" s="36"/>
      <c r="X10" s="28"/>
      <c r="Y10" s="28"/>
      <c r="Z10" s="1"/>
      <c r="AA10" s="1"/>
      <c r="AB10" s="1"/>
      <c r="AC10" s="1"/>
      <c r="AD10" s="1"/>
    </row>
    <row r="11" spans="1:30">
      <c r="A11" s="53" t="s">
        <v>3</v>
      </c>
      <c r="B11" s="53"/>
      <c r="C11" s="65">
        <f>('INSTRUCTION-2YR'!AC9)/('T E&amp;G 2YR'!AC9)*100</f>
        <v>36.491931328339817</v>
      </c>
      <c r="D11" s="65">
        <f>IF((('RESEARCH 2yr'!AC9/'T E&amp;G 2YR'!AC9)*100)=0,('RESEARCH 2yr'!AC9/'T E&amp;G 2YR'!AC9)*100,IF((('RESEARCH 2yr'!AC9/'T E&amp;G 2YR'!AC9)*100)&gt;=0.05,('RESEARCH 2yr'!AC9/'T E&amp;G 2YR'!AC9)*100,"*"))</f>
        <v>0</v>
      </c>
      <c r="E11" s="65">
        <f>'PUBLIC SERVICE 2yr'!AC9/'T E&amp;G 2YR'!AC9*100</f>
        <v>0.36616957240629106</v>
      </c>
      <c r="F11" s="65">
        <f>'ASptISptSSv 2yr'!AC9/'T E&amp;G 2YR'!AC9*100</f>
        <v>30.630281086718931</v>
      </c>
      <c r="G11" s="65">
        <f>'SCHOLAR FELLOW 2yr'!AC9/'T E&amp;G 2YR'!AC9*100</f>
        <v>23.876695862873728</v>
      </c>
      <c r="H11" s="65">
        <f>('All Other 2yr'!AC9/'T E&amp;G 2YR'!AC9)*100</f>
        <v>8.6349221496612358</v>
      </c>
      <c r="I11" s="66">
        <f t="shared" ref="I11:I42" si="2">IF((C11-P11)=0,(C11-P11),IF((C11-P11)&gt;=0.05,(C11-P11),IF((C11-P11&lt;=-0.05),(C11-P11),"*")))</f>
        <v>-1.1475784611916424</v>
      </c>
      <c r="J11" s="65">
        <f t="shared" ref="J11:J42" si="3">IF((D11-Q11)=0,(D11-Q11),IF((D11-Q11)&gt;=0.05,(D11-Q11),IF((D11-Q11&lt;=-0.05),(D11-Q11),"*")))</f>
        <v>0</v>
      </c>
      <c r="K11" s="65">
        <f t="shared" ref="K11:K42" si="4">IF((E11-R11)=0,(E11-R11),IF((E11-R11)&gt;=0.05,(E11-R11),IF((E11-R11&lt;=-0.05),(E11-R11),"*")))</f>
        <v>-0.95900802456051193</v>
      </c>
      <c r="L11" s="65">
        <f t="shared" ref="L11:L42" si="5">IF((F11-S11)=0,(F11-S11),IF((F11-S11)&gt;=0.05,(F11-S11),IF((F11-S11&lt;=-0.05),(F11-S11),"*")))</f>
        <v>0.94723358737481789</v>
      </c>
      <c r="M11" s="65">
        <f t="shared" ref="M11:M42" si="6">IF((G11-U11)=0,(G11-U11),IF((G11-U11)&gt;=0.05,(G11-U11),IF((G11-U11&lt;=-0.05),(G11-U11),"*")))</f>
        <v>-6.9354257256343566</v>
      </c>
      <c r="N11" s="65">
        <f t="shared" ref="N11:N42" si="7">IF((H11-V11)=0,(H11-V11),IF((H11-V11)&gt;=0.05,(H11-V11),IF((H11-V11&lt;=-0.05),(H11-V11),"*")))</f>
        <v>8.0947786240116919</v>
      </c>
      <c r="O11" s="8"/>
      <c r="P11" s="38">
        <f>'INSTRUCTION-2YR'!X9/'T E&amp;G 2YR'!X9*100</f>
        <v>37.639509789531459</v>
      </c>
      <c r="Q11" s="38">
        <f>('RESEARCH 2yr'!X9/'T E&amp;G 2YR'!X9)*100</f>
        <v>0</v>
      </c>
      <c r="R11" s="38">
        <f>'PUBLIC SERVICE 2yr'!X9/'T E&amp;G 2YR'!X9*100</f>
        <v>1.3251775969668029</v>
      </c>
      <c r="S11" s="38">
        <f>'ASptISptSSv 2yr'!X9/'T E&amp;G 2YR'!X9*100</f>
        <v>29.683047499344113</v>
      </c>
      <c r="T11" s="39">
        <f>'PLANT OPER MAIN 2yr'!X9/'T E&amp;G 2YR'!X9*100</f>
        <v>0</v>
      </c>
      <c r="U11" s="38">
        <f>'SCHOLAR FELLOW 2yr'!X9/'T E&amp;G 2YR'!X9*100</f>
        <v>30.812121588508084</v>
      </c>
      <c r="V11" s="37">
        <f>IF((('All Other 2yr'!X9/'T E&amp;G 2YR'!X9)*100)&gt;=0.05,('All Other 2yr'!X9/'T E&amp;G 2YR'!X9)*100,"*")</f>
        <v>0.54014352564954482</v>
      </c>
      <c r="W11" s="36"/>
      <c r="X11" s="28">
        <f t="shared" si="1"/>
        <v>100</v>
      </c>
      <c r="Y11" s="28">
        <f t="shared" ref="Y11:Y27" si="8">SUM(C11:H11)</f>
        <v>100</v>
      </c>
      <c r="Z11" s="1"/>
      <c r="AA11" s="1"/>
      <c r="AB11" s="1"/>
      <c r="AC11" s="1"/>
      <c r="AD11" s="1"/>
    </row>
    <row r="12" spans="1:30">
      <c r="A12" s="53" t="s">
        <v>4</v>
      </c>
      <c r="B12" s="53"/>
      <c r="C12" s="65">
        <f>('INSTRUCTION-2YR'!AC10)/('T E&amp;G 2YR'!AC10)*100</f>
        <v>35.040619749626408</v>
      </c>
      <c r="D12" s="65">
        <f>IF((('RESEARCH 2yr'!AC10/'T E&amp;G 2YR'!AC10)*100)=0,('RESEARCH 2yr'!AC10/'T E&amp;G 2YR'!AC10)*100,IF((('RESEARCH 2yr'!AC10/'T E&amp;G 2YR'!AC10)*100)&gt;=0.05,('RESEARCH 2yr'!AC10/'T E&amp;G 2YR'!AC10)*100,"*"))</f>
        <v>0</v>
      </c>
      <c r="E12" s="65">
        <f>'PUBLIC SERVICE 2yr'!AC10/'T E&amp;G 2YR'!AC10*100</f>
        <v>1.4508295486046465</v>
      </c>
      <c r="F12" s="65">
        <f>'ASptISptSSv 2yr'!AC10/'T E&amp;G 2YR'!AC10*100</f>
        <v>32.813904649689654</v>
      </c>
      <c r="G12" s="65">
        <f>'SCHOLAR FELLOW 2yr'!AC10/'T E&amp;G 2YR'!AC10*100</f>
        <v>22.809941084785955</v>
      </c>
      <c r="H12" s="65">
        <f>('All Other 2yr'!AC10/'T E&amp;G 2YR'!AC10)*100</f>
        <v>7.8847049672933336</v>
      </c>
      <c r="I12" s="66">
        <f t="shared" si="2"/>
        <v>-0.15861730693195852</v>
      </c>
      <c r="J12" s="65">
        <f t="shared" si="3"/>
        <v>0</v>
      </c>
      <c r="K12" s="65">
        <f t="shared" si="4"/>
        <v>0.31776465780214225</v>
      </c>
      <c r="L12" s="65">
        <f t="shared" si="5"/>
        <v>1.9591827542403877</v>
      </c>
      <c r="M12" s="65">
        <f t="shared" si="6"/>
        <v>-7.6049131562669849</v>
      </c>
      <c r="N12" s="65">
        <f t="shared" si="7"/>
        <v>5.4865830511564111</v>
      </c>
      <c r="O12" s="8"/>
      <c r="P12" s="38">
        <f>'INSTRUCTION-2YR'!X10/'T E&amp;G 2YR'!X10*100</f>
        <v>35.199237056558367</v>
      </c>
      <c r="Q12" s="38">
        <f>('RESEARCH 2yr'!X10/'T E&amp;G 2YR'!X10)*100</f>
        <v>0</v>
      </c>
      <c r="R12" s="38">
        <f>'PUBLIC SERVICE 2yr'!X10/'T E&amp;G 2YR'!X10*100</f>
        <v>1.1330648908025043</v>
      </c>
      <c r="S12" s="38">
        <f>'ASptISptSSv 2yr'!X10/'T E&amp;G 2YR'!X10*100</f>
        <v>30.854721895449266</v>
      </c>
      <c r="T12" s="39">
        <f>'PLANT OPER MAIN 2yr'!X10/'T E&amp;G 2YR'!X10*100</f>
        <v>0</v>
      </c>
      <c r="U12" s="38">
        <f>'SCHOLAR FELLOW 2yr'!X10/'T E&amp;G 2YR'!X10*100</f>
        <v>30.414854241052939</v>
      </c>
      <c r="V12" s="37">
        <f>IF((('All Other 2yr'!X10/'T E&amp;G 2YR'!X10)*100)&gt;=0.05,('All Other 2yr'!X10/'T E&amp;G 2YR'!X10)*100,"*")</f>
        <v>2.3981219161369225</v>
      </c>
      <c r="W12" s="36"/>
      <c r="X12" s="28">
        <f t="shared" si="1"/>
        <v>100</v>
      </c>
      <c r="Y12" s="28">
        <f t="shared" si="8"/>
        <v>99.999999999999986</v>
      </c>
      <c r="Z12" s="1"/>
      <c r="AA12" s="1"/>
      <c r="AB12" s="1"/>
      <c r="AC12" s="1"/>
      <c r="AD12" s="1"/>
    </row>
    <row r="13" spans="1:30">
      <c r="A13" s="53" t="s">
        <v>52</v>
      </c>
      <c r="B13" s="53"/>
      <c r="C13" s="65">
        <f>('INSTRUCTION-2YR'!AC11)/('T E&amp;G 2YR'!AC11)*100</f>
        <v>52.531529240209352</v>
      </c>
      <c r="D13" s="65">
        <f>IF((('RESEARCH 2yr'!AC11/'T E&amp;G 2YR'!AC11)*100)=0,('RESEARCH 2yr'!AC11/'T E&amp;G 2YR'!AC11)*100,IF((('RESEARCH 2yr'!AC11/'T E&amp;G 2YR'!AC11)*100)&gt;=0.05,('RESEARCH 2yr'!AC11/'T E&amp;G 2YR'!AC11)*100,"*"))</f>
        <v>0</v>
      </c>
      <c r="E13" s="65">
        <f>'PUBLIC SERVICE 2yr'!AC11/'T E&amp;G 2YR'!AC11*100</f>
        <v>2.628976299359743</v>
      </c>
      <c r="F13" s="65">
        <f>'ASptISptSSv 2yr'!AC11/'T E&amp;G 2YR'!AC11*100</f>
        <v>31.327917098547214</v>
      </c>
      <c r="G13" s="65">
        <f>'SCHOLAR FELLOW 2yr'!AC11/'T E&amp;G 2YR'!AC11*100</f>
        <v>13.511577361883697</v>
      </c>
      <c r="H13" s="65">
        <f>('All Other 2yr'!AC11/'T E&amp;G 2YR'!AC11)*100</f>
        <v>0</v>
      </c>
      <c r="I13" s="66">
        <f t="shared" si="2"/>
        <v>0.4122228781110806</v>
      </c>
      <c r="J13" s="65">
        <f t="shared" si="3"/>
        <v>0</v>
      </c>
      <c r="K13" s="65">
        <f t="shared" si="4"/>
        <v>0.36431526163564731</v>
      </c>
      <c r="L13" s="65">
        <f t="shared" si="5"/>
        <v>1.8307979865323283</v>
      </c>
      <c r="M13" s="65">
        <f t="shared" si="6"/>
        <v>-2.6073361262790495</v>
      </c>
      <c r="N13" s="65">
        <f t="shared" si="7"/>
        <v>0</v>
      </c>
      <c r="O13" s="8"/>
      <c r="P13" s="38">
        <f>'INSTRUCTION-2YR'!X11/'T E&amp;G 2YR'!X11*100</f>
        <v>52.119306362098271</v>
      </c>
      <c r="Q13" s="38">
        <f>('RESEARCH 2yr'!X11/'T E&amp;G 2YR'!X11)*100</f>
        <v>0</v>
      </c>
      <c r="R13" s="38">
        <f>'PUBLIC SERVICE 2yr'!X11/'T E&amp;G 2YR'!X11*100</f>
        <v>2.2646610377240957</v>
      </c>
      <c r="S13" s="38">
        <f>'ASptISptSSv 2yr'!X11/'T E&amp;G 2YR'!X11*100</f>
        <v>29.497119112014886</v>
      </c>
      <c r="T13" s="39">
        <f>'PLANT OPER MAIN 2yr'!X11/'T E&amp;G 2YR'!X11*100</f>
        <v>0</v>
      </c>
      <c r="U13" s="38">
        <f>'SCHOLAR FELLOW 2yr'!X11/'T E&amp;G 2YR'!X11*100</f>
        <v>16.118913488162747</v>
      </c>
      <c r="V13" s="37" t="str">
        <f>IF((('All Other 2yr'!X11/'T E&amp;G 2YR'!X11)*100)&gt;=0.05,('All Other 2yr'!X11/'T E&amp;G 2YR'!X11)*100,"*")</f>
        <v>*</v>
      </c>
      <c r="W13" s="36"/>
      <c r="X13" s="28">
        <f t="shared" si="1"/>
        <v>100</v>
      </c>
      <c r="Y13" s="28">
        <f t="shared" si="8"/>
        <v>100</v>
      </c>
      <c r="Z13" s="1"/>
      <c r="AA13" s="1"/>
      <c r="AB13" s="1"/>
      <c r="AC13" s="1"/>
      <c r="AD13" s="1"/>
    </row>
    <row r="14" spans="1:30">
      <c r="A14" s="53" t="s">
        <v>5</v>
      </c>
      <c r="B14" s="53"/>
      <c r="C14" s="65">
        <f>('INSTRUCTION-2YR'!AC12)/('T E&amp;G 2YR'!AC12)*100</f>
        <v>36.928593836392778</v>
      </c>
      <c r="D14" s="65">
        <f>IF((('RESEARCH 2yr'!AC12/'T E&amp;G 2YR'!AC12)*100)=0,('RESEARCH 2yr'!AC12/'T E&amp;G 2YR'!AC12)*100,IF((('RESEARCH 2yr'!AC12/'T E&amp;G 2YR'!AC12)*100)&gt;=0.05,('RESEARCH 2yr'!AC12/'T E&amp;G 2YR'!AC12)*100,"*"))</f>
        <v>0</v>
      </c>
      <c r="E14" s="65">
        <f>'PUBLIC SERVICE 2yr'!AC12/'T E&amp;G 2YR'!AC12*100</f>
        <v>0.9352795226109476</v>
      </c>
      <c r="F14" s="65">
        <f>'ASptISptSSv 2yr'!AC12/'T E&amp;G 2YR'!AC12*100</f>
        <v>36.845877730631777</v>
      </c>
      <c r="G14" s="65">
        <f>'SCHOLAR FELLOW 2yr'!AC12/'T E&amp;G 2YR'!AC12*100</f>
        <v>25.09206167492335</v>
      </c>
      <c r="H14" s="65">
        <f>('All Other 2yr'!AC12/'T E&amp;G 2YR'!AC12)*100</f>
        <v>0.1981872354411521</v>
      </c>
      <c r="I14" s="66">
        <f t="shared" si="2"/>
        <v>2.2352425639559215</v>
      </c>
      <c r="J14" s="65" t="str">
        <f t="shared" si="3"/>
        <v>*</v>
      </c>
      <c r="K14" s="65">
        <f t="shared" si="4"/>
        <v>-0.12025512410893313</v>
      </c>
      <c r="L14" s="65">
        <f t="shared" si="5"/>
        <v>4.8607942448070318</v>
      </c>
      <c r="M14" s="65">
        <f t="shared" si="6"/>
        <v>-6.9301824767715701</v>
      </c>
      <c r="N14" s="65" t="str">
        <f t="shared" si="7"/>
        <v>*</v>
      </c>
      <c r="O14" s="8"/>
      <c r="P14" s="38">
        <f>'INSTRUCTION-2YR'!X12/'T E&amp;G 2YR'!X12*100</f>
        <v>34.693351272436857</v>
      </c>
      <c r="Q14" s="38">
        <f>('RESEARCH 2yr'!X12/'T E&amp;G 2YR'!X12)*100</f>
        <v>1.5616342022791743E-2</v>
      </c>
      <c r="R14" s="38">
        <f>'PUBLIC SERVICE 2yr'!X12/'T E&amp;G 2YR'!X12*100</f>
        <v>1.0555346467198807</v>
      </c>
      <c r="S14" s="38">
        <f>'ASptISptSSv 2yr'!X12/'T E&amp;G 2YR'!X12*100</f>
        <v>31.985083485824745</v>
      </c>
      <c r="T14" s="39">
        <f>'PLANT OPER MAIN 2yr'!X12/'T E&amp;G 2YR'!X12*100</f>
        <v>0</v>
      </c>
      <c r="U14" s="38">
        <f>'SCHOLAR FELLOW 2yr'!X12/'T E&amp;G 2YR'!X12*100</f>
        <v>32.02224415169492</v>
      </c>
      <c r="V14" s="37">
        <f>IF((('All Other 2yr'!X12/'T E&amp;G 2YR'!X12)*100)&gt;=0.05,('All Other 2yr'!X12/'T E&amp;G 2YR'!X12)*100,"*")</f>
        <v>0.2281701013008024</v>
      </c>
      <c r="W14" s="36"/>
      <c r="X14" s="28">
        <f t="shared" si="1"/>
        <v>99.999999999999986</v>
      </c>
      <c r="Y14" s="28">
        <f t="shared" si="8"/>
        <v>100.00000000000001</v>
      </c>
      <c r="Z14" s="1"/>
      <c r="AA14" s="1"/>
      <c r="AB14" s="1"/>
      <c r="AC14" s="1"/>
      <c r="AD14" s="1"/>
    </row>
    <row r="15" spans="1:30">
      <c r="A15" s="54" t="s">
        <v>6</v>
      </c>
      <c r="B15" s="54"/>
      <c r="C15" s="63">
        <f>('INSTRUCTION-2YR'!AC13)/('T E&amp;G 2YR'!AC13)*100</f>
        <v>33.073953431284458</v>
      </c>
      <c r="D15" s="63" t="str">
        <f>IF((('RESEARCH 2yr'!AC13/'T E&amp;G 2YR'!AC13)*100)=0,('RESEARCH 2yr'!AC13/'T E&amp;G 2YR'!AC13)*100,IF((('RESEARCH 2yr'!AC13/'T E&amp;G 2YR'!AC13)*100)&gt;=0.05,('RESEARCH 2yr'!AC13/'T E&amp;G 2YR'!AC13)*100,"*"))</f>
        <v>*</v>
      </c>
      <c r="E15" s="63">
        <f>'PUBLIC SERVICE 2yr'!AC13/'T E&amp;G 2YR'!AC13*100</f>
        <v>0.58520165347405007</v>
      </c>
      <c r="F15" s="63">
        <f>'ASptISptSSv 2yr'!AC13/'T E&amp;G 2YR'!AC13*100</f>
        <v>31.679368909894379</v>
      </c>
      <c r="G15" s="63">
        <f>'SCHOLAR FELLOW 2yr'!AC13/'T E&amp;G 2YR'!AC13*100</f>
        <v>28.810230264454624</v>
      </c>
      <c r="H15" s="63">
        <f>('All Other 2yr'!AC13/'T E&amp;G 2YR'!AC13)*100</f>
        <v>5.8416513368019265</v>
      </c>
      <c r="I15" s="64">
        <f t="shared" si="2"/>
        <v>-2.8899460588370758</v>
      </c>
      <c r="J15" s="63" t="str">
        <f t="shared" si="3"/>
        <v>*</v>
      </c>
      <c r="K15" s="63">
        <f t="shared" si="4"/>
        <v>0.27713085351585776</v>
      </c>
      <c r="L15" s="63">
        <f t="shared" si="5"/>
        <v>0.85701071349795299</v>
      </c>
      <c r="M15" s="63">
        <f t="shared" si="6"/>
        <v>-0.53864224066384736</v>
      </c>
      <c r="N15" s="63">
        <f t="shared" si="7"/>
        <v>2.2971432318644749</v>
      </c>
      <c r="O15" s="23"/>
      <c r="P15" s="38">
        <f>'INSTRUCTION-2YR'!X13/'T E&amp;G 2YR'!X13*100</f>
        <v>35.963899490121534</v>
      </c>
      <c r="Q15" s="38">
        <f>('RESEARCH 2yr'!X13/'T E&amp;G 2YR'!X13)*100</f>
        <v>1.2290903467920408E-2</v>
      </c>
      <c r="R15" s="38">
        <f>'PUBLIC SERVICE 2yr'!X13/'T E&amp;G 2YR'!X13*100</f>
        <v>0.30807079995819231</v>
      </c>
      <c r="S15" s="38">
        <f>'ASptISptSSv 2yr'!X13/'T E&amp;G 2YR'!X13*100</f>
        <v>30.822358196396426</v>
      </c>
      <c r="T15" s="39">
        <f>'PLANT OPER MAIN 2yr'!X13/'T E&amp;G 2YR'!X13*100</f>
        <v>0</v>
      </c>
      <c r="U15" s="38">
        <f>'SCHOLAR FELLOW 2yr'!X13/'T E&amp;G 2YR'!X13*100</f>
        <v>29.348872505118472</v>
      </c>
      <c r="V15" s="37">
        <f>IF((('All Other 2yr'!X13/'T E&amp;G 2YR'!X13)*100)&gt;=0.05,('All Other 2yr'!X13/'T E&amp;G 2YR'!X13)*100,"*")</f>
        <v>3.5445081049374516</v>
      </c>
      <c r="W15" s="37"/>
      <c r="X15" s="28">
        <f t="shared" si="1"/>
        <v>100</v>
      </c>
      <c r="Y15" s="28">
        <f t="shared" si="8"/>
        <v>99.990405595909436</v>
      </c>
      <c r="Z15" s="1"/>
      <c r="AA15" s="1"/>
      <c r="AB15" s="1"/>
      <c r="AC15" s="1"/>
      <c r="AD15" s="1"/>
    </row>
    <row r="16" spans="1:30">
      <c r="A16" s="54" t="s">
        <v>7</v>
      </c>
      <c r="B16" s="54"/>
      <c r="C16" s="63">
        <f>('INSTRUCTION-2YR'!AC14)/('T E&amp;G 2YR'!AC14)*100</f>
        <v>36.568511760745814</v>
      </c>
      <c r="D16" s="63">
        <f>IF((('RESEARCH 2yr'!AC14/'T E&amp;G 2YR'!AC14)*100)=0,('RESEARCH 2yr'!AC14/'T E&amp;G 2YR'!AC14)*100,IF((('RESEARCH 2yr'!AC14/'T E&amp;G 2YR'!AC14)*100)&gt;=0.05,('RESEARCH 2yr'!AC14/'T E&amp;G 2YR'!AC14)*100,"*"))</f>
        <v>0</v>
      </c>
      <c r="E16" s="63">
        <f>'PUBLIC SERVICE 2yr'!AC14/'T E&amp;G 2YR'!AC14*100</f>
        <v>1.0366453074206627</v>
      </c>
      <c r="F16" s="63">
        <f>'ASptISptSSv 2yr'!AC14/'T E&amp;G 2YR'!AC14*100</f>
        <v>25.452009487983517</v>
      </c>
      <c r="G16" s="63">
        <f>'SCHOLAR FELLOW 2yr'!AC14/'T E&amp;G 2YR'!AC14*100</f>
        <v>33.55001386593468</v>
      </c>
      <c r="H16" s="63">
        <f>('All Other 2yr'!AC14/'T E&amp;G 2YR'!AC14)*100</f>
        <v>3.3928195779153345</v>
      </c>
      <c r="I16" s="64">
        <f t="shared" si="2"/>
        <v>-1.0099098733656717</v>
      </c>
      <c r="J16" s="63">
        <f t="shared" si="3"/>
        <v>0</v>
      </c>
      <c r="K16" s="63">
        <f t="shared" si="4"/>
        <v>-0.23401349852409115</v>
      </c>
      <c r="L16" s="63">
        <f t="shared" si="5"/>
        <v>0.21558384017532717</v>
      </c>
      <c r="M16" s="63">
        <f t="shared" si="6"/>
        <v>-2.2840491053782941</v>
      </c>
      <c r="N16" s="63">
        <f t="shared" si="7"/>
        <v>3.3123886370927398</v>
      </c>
      <c r="O16" s="23"/>
      <c r="P16" s="38">
        <f>'INSTRUCTION-2YR'!X14/'T E&amp;G 2YR'!X14*100</f>
        <v>37.578421634111486</v>
      </c>
      <c r="Q16" s="38">
        <f>('RESEARCH 2yr'!X14/'T E&amp;G 2YR'!X14)*100</f>
        <v>0</v>
      </c>
      <c r="R16" s="38">
        <f>'PUBLIC SERVICE 2yr'!X14/'T E&amp;G 2YR'!X14*100</f>
        <v>1.2706588059447539</v>
      </c>
      <c r="S16" s="38">
        <f>'ASptISptSSv 2yr'!X14/'T E&amp;G 2YR'!X14*100</f>
        <v>25.23642564780819</v>
      </c>
      <c r="T16" s="39">
        <f>'PLANT OPER MAIN 2yr'!X14/'T E&amp;G 2YR'!X14*100</f>
        <v>0</v>
      </c>
      <c r="U16" s="38">
        <f>'SCHOLAR FELLOW 2yr'!X14/'T E&amp;G 2YR'!X14*100</f>
        <v>35.834062971312974</v>
      </c>
      <c r="V16" s="37">
        <f>IF((('All Other 2yr'!X14/'T E&amp;G 2YR'!X14)*100)&gt;=0.05,('All Other 2yr'!X14/'T E&amp;G 2YR'!X14)*100,"*")</f>
        <v>8.0430940822594832E-2</v>
      </c>
      <c r="W16" s="37"/>
      <c r="X16" s="28">
        <f t="shared" si="1"/>
        <v>100</v>
      </c>
      <c r="Y16" s="28">
        <f t="shared" si="8"/>
        <v>100</v>
      </c>
      <c r="Z16" s="1"/>
      <c r="AA16" s="1"/>
      <c r="AB16" s="1"/>
      <c r="AC16" s="1"/>
      <c r="AD16" s="1"/>
    </row>
    <row r="17" spans="1:30">
      <c r="A17" s="54" t="s">
        <v>8</v>
      </c>
      <c r="B17" s="54"/>
      <c r="C17" s="63">
        <f>('INSTRUCTION-2YR'!AC15)/('T E&amp;G 2YR'!AC15)*100</f>
        <v>33.730747999705919</v>
      </c>
      <c r="D17" s="63" t="str">
        <f>IF((('RESEARCH 2yr'!AC15/'T E&amp;G 2YR'!AC15)*100)=0,('RESEARCH 2yr'!AC15/'T E&amp;G 2YR'!AC15)*100,IF((('RESEARCH 2yr'!AC15/'T E&amp;G 2YR'!AC15)*100)&gt;=0.05,('RESEARCH 2yr'!AC15/'T E&amp;G 2YR'!AC15)*100,"*"))</f>
        <v>*</v>
      </c>
      <c r="E17" s="63">
        <f>'PUBLIC SERVICE 2yr'!AC15/'T E&amp;G 2YR'!AC15*100</f>
        <v>0.61757675498087106</v>
      </c>
      <c r="F17" s="63">
        <f>'ASptISptSSv 2yr'!AC15/'T E&amp;G 2YR'!AC15*100</f>
        <v>28.939462982266896</v>
      </c>
      <c r="G17" s="63">
        <f>'SCHOLAR FELLOW 2yr'!AC15/'T E&amp;G 2YR'!AC15*100</f>
        <v>26.685488211359477</v>
      </c>
      <c r="H17" s="63">
        <f>('All Other 2yr'!AC15/'T E&amp;G 2YR'!AC15)*100</f>
        <v>10.016460768546432</v>
      </c>
      <c r="I17" s="64">
        <f t="shared" si="2"/>
        <v>-4.6869476987831007</v>
      </c>
      <c r="J17" s="63">
        <f t="shared" si="3"/>
        <v>-9.3963531199640016E-2</v>
      </c>
      <c r="K17" s="63">
        <f t="shared" si="4"/>
        <v>0.25083459790284635</v>
      </c>
      <c r="L17" s="63">
        <f t="shared" si="5"/>
        <v>1.8118555702636563</v>
      </c>
      <c r="M17" s="63">
        <f t="shared" si="6"/>
        <v>-3.5639546837958171</v>
      </c>
      <c r="N17" s="63">
        <f t="shared" si="7"/>
        <v>6.2719124624716418</v>
      </c>
      <c r="O17" s="23"/>
      <c r="P17" s="38">
        <f>'INSTRUCTION-2YR'!X15/'T E&amp;G 2YR'!X15*100</f>
        <v>38.41769569848902</v>
      </c>
      <c r="Q17" s="38">
        <f>('RESEARCH 2yr'!X15/'T E&amp;G 2YR'!X15)*100</f>
        <v>9.3963531199640016E-2</v>
      </c>
      <c r="R17" s="38">
        <f>'PUBLIC SERVICE 2yr'!X15/'T E&amp;G 2YR'!X15*100</f>
        <v>0.36674215707802471</v>
      </c>
      <c r="S17" s="38">
        <f>'ASptISptSSv 2yr'!X15/'T E&amp;G 2YR'!X15*100</f>
        <v>27.12760741200324</v>
      </c>
      <c r="T17" s="39">
        <f>'PLANT OPER MAIN 2yr'!X15/'T E&amp;G 2YR'!X15*100</f>
        <v>0</v>
      </c>
      <c r="U17" s="38">
        <f>'SCHOLAR FELLOW 2yr'!X15/'T E&amp;G 2YR'!X15*100</f>
        <v>30.249442895155294</v>
      </c>
      <c r="V17" s="37">
        <f>IF((('All Other 2yr'!X15/'T E&amp;G 2YR'!X15)*100)&gt;=0.05,('All Other 2yr'!X15/'T E&amp;G 2YR'!X15)*100,"*")</f>
        <v>3.7445483060747899</v>
      </c>
      <c r="W17" s="37"/>
      <c r="X17" s="28">
        <f t="shared" si="1"/>
        <v>100.00000000000001</v>
      </c>
      <c r="Y17" s="28">
        <f t="shared" si="8"/>
        <v>99.989736716859596</v>
      </c>
      <c r="Z17" s="1"/>
      <c r="AA17" s="1"/>
      <c r="AB17" s="1"/>
      <c r="AC17" s="1"/>
      <c r="AD17" s="1"/>
    </row>
    <row r="18" spans="1:30">
      <c r="A18" s="54" t="s">
        <v>9</v>
      </c>
      <c r="B18" s="54"/>
      <c r="C18" s="63">
        <f>('INSTRUCTION-2YR'!AC16)/('T E&amp;G 2YR'!AC16)*100</f>
        <v>40.160364285478963</v>
      </c>
      <c r="D18" s="63" t="str">
        <f>IF((('RESEARCH 2yr'!AC16/'T E&amp;G 2YR'!AC16)*100)=0,('RESEARCH 2yr'!AC16/'T E&amp;G 2YR'!AC16)*100,IF((('RESEARCH 2yr'!AC16/'T E&amp;G 2YR'!AC16)*100)&gt;=0.05,('RESEARCH 2yr'!AC16/'T E&amp;G 2YR'!AC16)*100,"*"))</f>
        <v>*</v>
      </c>
      <c r="E18" s="63">
        <f>'PUBLIC SERVICE 2yr'!AC16/'T E&amp;G 2YR'!AC16*100</f>
        <v>0.37814326377638419</v>
      </c>
      <c r="F18" s="63">
        <f>'ASptISptSSv 2yr'!AC16/'T E&amp;G 2YR'!AC16*100</f>
        <v>38.343308034548649</v>
      </c>
      <c r="G18" s="63">
        <f>'SCHOLAR FELLOW 2yr'!AC16/'T E&amp;G 2YR'!AC16*100</f>
        <v>12.065278259848524</v>
      </c>
      <c r="H18" s="63">
        <f>('All Other 2yr'!AC16/'T E&amp;G 2YR'!AC16)*100</f>
        <v>9.0305620562087547</v>
      </c>
      <c r="I18" s="64">
        <f t="shared" si="2"/>
        <v>-2.1534049732526199</v>
      </c>
      <c r="J18" s="63" t="str">
        <f t="shared" si="3"/>
        <v>*</v>
      </c>
      <c r="K18" s="63" t="str">
        <f t="shared" si="4"/>
        <v>*</v>
      </c>
      <c r="L18" s="63">
        <f t="shared" si="5"/>
        <v>2.0518442844555267</v>
      </c>
      <c r="M18" s="63">
        <f t="shared" si="6"/>
        <v>-4.1806323664771288</v>
      </c>
      <c r="N18" s="63">
        <f t="shared" si="7"/>
        <v>4.2876685344038821</v>
      </c>
      <c r="O18" s="23"/>
      <c r="P18" s="38">
        <f>'INSTRUCTION-2YR'!X16/'T E&amp;G 2YR'!X16*100</f>
        <v>42.313769258731583</v>
      </c>
      <c r="Q18" s="38">
        <f>('RESEARCH 2yr'!X16/'T E&amp;G 2YR'!X16)*100</f>
        <v>1.4683972223232863E-3</v>
      </c>
      <c r="R18" s="38">
        <f>'PUBLIC SERVICE 2yr'!X16/'T E&amp;G 2YR'!X16*100</f>
        <v>0.4044944458224482</v>
      </c>
      <c r="S18" s="38">
        <f>'ASptISptSSv 2yr'!X16/'T E&amp;G 2YR'!X16*100</f>
        <v>36.291463750093122</v>
      </c>
      <c r="T18" s="39">
        <f>'PLANT OPER MAIN 2yr'!X16/'T E&amp;G 2YR'!X16*100</f>
        <v>0</v>
      </c>
      <c r="U18" s="38">
        <f>'SCHOLAR FELLOW 2yr'!X16/'T E&amp;G 2YR'!X16*100</f>
        <v>16.245910626325653</v>
      </c>
      <c r="V18" s="37">
        <f>IF((('All Other 2yr'!X16/'T E&amp;G 2YR'!X16)*100)&gt;=0.05,('All Other 2yr'!X16/'T E&amp;G 2YR'!X16)*100,"*")</f>
        <v>4.7428935218048727</v>
      </c>
      <c r="W18" s="37"/>
      <c r="X18" s="28">
        <f t="shared" si="1"/>
        <v>100</v>
      </c>
      <c r="Y18" s="28">
        <f t="shared" si="8"/>
        <v>99.977655899861276</v>
      </c>
      <c r="Z18" s="1"/>
      <c r="AA18" s="1"/>
      <c r="AB18" s="1"/>
      <c r="AC18" s="1"/>
      <c r="AD18" s="1"/>
    </row>
    <row r="19" spans="1:30">
      <c r="A19" s="53" t="s">
        <v>10</v>
      </c>
      <c r="B19" s="53"/>
      <c r="C19" s="65">
        <f>('INSTRUCTION-2YR'!AC17)/('T E&amp;G 2YR'!AC17)*100</f>
        <v>41.101316760332395</v>
      </c>
      <c r="D19" s="65">
        <f>IF((('RESEARCH 2yr'!AC17/'T E&amp;G 2YR'!AC17)*100)=0,('RESEARCH 2yr'!AC17/'T E&amp;G 2YR'!AC17)*100,IF((('RESEARCH 2yr'!AC17/'T E&amp;G 2YR'!AC17)*100)&gt;=0.05,('RESEARCH 2yr'!AC17/'T E&amp;G 2YR'!AC17)*100,"*"))</f>
        <v>0</v>
      </c>
      <c r="E19" s="65">
        <f>'PUBLIC SERVICE 2yr'!AC17/'T E&amp;G 2YR'!AC17*100</f>
        <v>0.1066451079325213</v>
      </c>
      <c r="F19" s="65">
        <f>'ASptISptSSv 2yr'!AC17/'T E&amp;G 2YR'!AC17*100</f>
        <v>25.615224754216232</v>
      </c>
      <c r="G19" s="65">
        <f>'SCHOLAR FELLOW 2yr'!AC17/'T E&amp;G 2YR'!AC17*100</f>
        <v>26.474561528491446</v>
      </c>
      <c r="H19" s="65">
        <f>('All Other 2yr'!AC17/'T E&amp;G 2YR'!AC17)*100</f>
        <v>6.7022518490274106</v>
      </c>
      <c r="I19" s="66">
        <f t="shared" si="2"/>
        <v>0.62559184391813005</v>
      </c>
      <c r="J19" s="65">
        <f t="shared" si="3"/>
        <v>0</v>
      </c>
      <c r="K19" s="65" t="str">
        <f t="shared" si="4"/>
        <v>*</v>
      </c>
      <c r="L19" s="65">
        <f t="shared" si="5"/>
        <v>3.8142092213859087</v>
      </c>
      <c r="M19" s="65">
        <f t="shared" si="6"/>
        <v>-6.5674112051988978</v>
      </c>
      <c r="N19" s="65">
        <f t="shared" si="7"/>
        <v>2.1739340677792232</v>
      </c>
      <c r="O19" s="8"/>
      <c r="P19" s="38">
        <f>'INSTRUCTION-2YR'!X17/'T E&amp;G 2YR'!X17*100</f>
        <v>40.475724916414265</v>
      </c>
      <c r="Q19" s="38">
        <f>('RESEARCH 2yr'!X17/'T E&amp;G 2YR'!X17)*100</f>
        <v>0</v>
      </c>
      <c r="R19" s="38">
        <f>'PUBLIC SERVICE 2yr'!X17/'T E&amp;G 2YR'!X17*100</f>
        <v>0.1529690358168794</v>
      </c>
      <c r="S19" s="38">
        <f>'ASptISptSSv 2yr'!X17/'T E&amp;G 2YR'!X17*100</f>
        <v>21.801015532830323</v>
      </c>
      <c r="T19" s="39">
        <f>'PLANT OPER MAIN 2yr'!X17/'T E&amp;G 2YR'!X17*100</f>
        <v>0</v>
      </c>
      <c r="U19" s="38">
        <f>'SCHOLAR FELLOW 2yr'!X17/'T E&amp;G 2YR'!X17*100</f>
        <v>33.041972733690343</v>
      </c>
      <c r="V19" s="37">
        <f>IF((('All Other 2yr'!X17/'T E&amp;G 2YR'!X17)*100)&gt;=0.05,('All Other 2yr'!X17/'T E&amp;G 2YR'!X17)*100,"*")</f>
        <v>4.5283177812481874</v>
      </c>
      <c r="W19" s="36"/>
      <c r="X19" s="28">
        <f t="shared" si="1"/>
        <v>100</v>
      </c>
      <c r="Y19" s="28">
        <f t="shared" si="8"/>
        <v>100</v>
      </c>
      <c r="Z19" s="1"/>
      <c r="AA19" s="1"/>
      <c r="AB19" s="1"/>
      <c r="AC19" s="1"/>
      <c r="AD19" s="1"/>
    </row>
    <row r="20" spans="1:30">
      <c r="A20" s="53" t="s">
        <v>11</v>
      </c>
      <c r="B20" s="53"/>
      <c r="C20" s="65">
        <f>('INSTRUCTION-2YR'!AC18)/('T E&amp;G 2YR'!AC18)*100</f>
        <v>42.035819565601862</v>
      </c>
      <c r="D20" s="65" t="str">
        <f>IF((('RESEARCH 2yr'!AC18/'T E&amp;G 2YR'!AC18)*100)=0,('RESEARCH 2yr'!AC18/'T E&amp;G 2YR'!AC18)*100,IF((('RESEARCH 2yr'!AC18/'T E&amp;G 2YR'!AC18)*100)&gt;=0.05,('RESEARCH 2yr'!AC18/'T E&amp;G 2YR'!AC18)*100,"*"))</f>
        <v>*</v>
      </c>
      <c r="E20" s="65">
        <f>'PUBLIC SERVICE 2yr'!AC18/'T E&amp;G 2YR'!AC18*100</f>
        <v>0.3010616731497216</v>
      </c>
      <c r="F20" s="65">
        <f>'ASptISptSSv 2yr'!AC18/'T E&amp;G 2YR'!AC18*100</f>
        <v>30.490304976685479</v>
      </c>
      <c r="G20" s="65">
        <f>'SCHOLAR FELLOW 2yr'!AC18/'T E&amp;G 2YR'!AC18*100</f>
        <v>18.189260538916653</v>
      </c>
      <c r="H20" s="65">
        <f>('All Other 2yr'!AC18/'T E&amp;G 2YR'!AC18)*100</f>
        <v>8.98192252148365</v>
      </c>
      <c r="I20" s="66">
        <f t="shared" si="2"/>
        <v>-1.4876033796297463</v>
      </c>
      <c r="J20" s="65" t="str">
        <f t="shared" si="3"/>
        <v>*</v>
      </c>
      <c r="K20" s="65" t="str">
        <f t="shared" si="4"/>
        <v>*</v>
      </c>
      <c r="L20" s="65">
        <f t="shared" si="5"/>
        <v>3.6748747973908031</v>
      </c>
      <c r="M20" s="65">
        <f t="shared" si="6"/>
        <v>-7.461464040934441</v>
      </c>
      <c r="N20" s="65">
        <f t="shared" si="7"/>
        <v>5.2609863772016263</v>
      </c>
      <c r="O20" s="8"/>
      <c r="P20" s="38">
        <f>'INSTRUCTION-2YR'!X18/'T E&amp;G 2YR'!X18*100</f>
        <v>43.523422945231609</v>
      </c>
      <c r="Q20" s="38">
        <f>('RESEARCH 2yr'!X18/'T E&amp;G 2YR'!X18)*100</f>
        <v>9.5614529995168723E-4</v>
      </c>
      <c r="R20" s="38">
        <f>'PUBLIC SERVICE 2yr'!X18/'T E&amp;G 2YR'!X18*100</f>
        <v>0.28853000604066148</v>
      </c>
      <c r="S20" s="38">
        <f>'ASptISptSSv 2yr'!X18/'T E&amp;G 2YR'!X18*100</f>
        <v>26.815430179294676</v>
      </c>
      <c r="T20" s="39">
        <f>'PLANT OPER MAIN 2yr'!X18/'T E&amp;G 2YR'!X18*100</f>
        <v>0</v>
      </c>
      <c r="U20" s="38">
        <f>'SCHOLAR FELLOW 2yr'!X18/'T E&amp;G 2YR'!X18*100</f>
        <v>25.650724579851094</v>
      </c>
      <c r="V20" s="37">
        <f>IF((('All Other 2yr'!X18/'T E&amp;G 2YR'!X18)*100)&gt;=0.05,('All Other 2yr'!X18/'T E&amp;G 2YR'!X18)*100,"*")</f>
        <v>3.7209361442820237</v>
      </c>
      <c r="W20" s="36"/>
      <c r="X20" s="28">
        <f t="shared" si="1"/>
        <v>100.00000000000001</v>
      </c>
      <c r="Y20" s="28">
        <f t="shared" si="8"/>
        <v>99.998369275837376</v>
      </c>
      <c r="Z20" s="1"/>
      <c r="AA20" s="1"/>
      <c r="AB20" s="1"/>
      <c r="AC20" s="1"/>
      <c r="AD20" s="1"/>
    </row>
    <row r="21" spans="1:30">
      <c r="A21" s="53" t="s">
        <v>12</v>
      </c>
      <c r="B21" s="53"/>
      <c r="C21" s="65">
        <f>('INSTRUCTION-2YR'!AC19)/('T E&amp;G 2YR'!AC19)*100</f>
        <v>41.499010114981601</v>
      </c>
      <c r="D21" s="65" t="str">
        <f>IF((('RESEARCH 2yr'!AC19/'T E&amp;G 2YR'!AC19)*100)=0,('RESEARCH 2yr'!AC19/'T E&amp;G 2YR'!AC19)*100,IF((('RESEARCH 2yr'!AC19/'T E&amp;G 2YR'!AC19)*100)&gt;=0.05,('RESEARCH 2yr'!AC19/'T E&amp;G 2YR'!AC19)*100,"*"))</f>
        <v>*</v>
      </c>
      <c r="E21" s="65">
        <f>'PUBLIC SERVICE 2yr'!AC19/'T E&amp;G 2YR'!AC19*100</f>
        <v>0.77775605037942552</v>
      </c>
      <c r="F21" s="65">
        <f>'ASptISptSSv 2yr'!AC19/'T E&amp;G 2YR'!AC19*100</f>
        <v>26.391804648375306</v>
      </c>
      <c r="G21" s="65">
        <f>'SCHOLAR FELLOW 2yr'!AC19/'T E&amp;G 2YR'!AC19*100</f>
        <v>25.515933604344447</v>
      </c>
      <c r="H21" s="65">
        <f>('All Other 2yr'!AC19/'T E&amp;G 2YR'!AC19)*100</f>
        <v>5.7894742771668231</v>
      </c>
      <c r="I21" s="66">
        <f t="shared" si="2"/>
        <v>-1.362871080558385</v>
      </c>
      <c r="J21" s="65" t="str">
        <f t="shared" si="3"/>
        <v>*</v>
      </c>
      <c r="K21" s="65">
        <f t="shared" si="4"/>
        <v>9.7080079020395504E-2</v>
      </c>
      <c r="L21" s="65">
        <f t="shared" si="5"/>
        <v>4.1827202717564091</v>
      </c>
      <c r="M21" s="65">
        <f t="shared" si="6"/>
        <v>-4.0679514874725378</v>
      </c>
      <c r="N21" s="65">
        <f t="shared" si="7"/>
        <v>1.1732198687574309</v>
      </c>
      <c r="O21" s="8"/>
      <c r="P21" s="38">
        <f>'INSTRUCTION-2YR'!X19/'T E&amp;G 2YR'!X19*100</f>
        <v>42.861881195539986</v>
      </c>
      <c r="Q21" s="38">
        <f>('RESEARCH 2yr'!X19/'T E&amp;G 2YR'!X19)*100</f>
        <v>4.8218956255706338E-2</v>
      </c>
      <c r="R21" s="38">
        <f>'PUBLIC SERVICE 2yr'!X19/'T E&amp;G 2YR'!X19*100</f>
        <v>0.68067597135903002</v>
      </c>
      <c r="S21" s="38">
        <f>'ASptISptSSv 2yr'!X19/'T E&amp;G 2YR'!X19*100</f>
        <v>22.209084376618897</v>
      </c>
      <c r="T21" s="39">
        <f>'PLANT OPER MAIN 2yr'!X19/'T E&amp;G 2YR'!X19*100</f>
        <v>0</v>
      </c>
      <c r="U21" s="38">
        <f>'SCHOLAR FELLOW 2yr'!X19/'T E&amp;G 2YR'!X19*100</f>
        <v>29.583885091816985</v>
      </c>
      <c r="V21" s="37">
        <f>IF((('All Other 2yr'!X19/'T E&amp;G 2YR'!X19)*100)&gt;=0.05,('All Other 2yr'!X19/'T E&amp;G 2YR'!X19)*100,"*")</f>
        <v>4.6162544084093922</v>
      </c>
      <c r="W21" s="36"/>
      <c r="X21" s="28">
        <f t="shared" si="1"/>
        <v>99.999999999999986</v>
      </c>
      <c r="Y21" s="28">
        <f t="shared" si="8"/>
        <v>99.973978695247581</v>
      </c>
      <c r="Z21" s="1"/>
      <c r="AA21" s="1"/>
      <c r="AB21" s="1"/>
      <c r="AC21" s="1"/>
      <c r="AD21" s="1"/>
    </row>
    <row r="22" spans="1:30">
      <c r="A22" s="53" t="s">
        <v>13</v>
      </c>
      <c r="B22" s="53"/>
      <c r="C22" s="65">
        <f>('INSTRUCTION-2YR'!AC20)/('T E&amp;G 2YR'!AC20)*100</f>
        <v>38.851564864867981</v>
      </c>
      <c r="D22" s="65" t="str">
        <f>IF((('RESEARCH 2yr'!AC20/'T E&amp;G 2YR'!AC20)*100)=0,('RESEARCH 2yr'!AC20/'T E&amp;G 2YR'!AC20)*100,IF((('RESEARCH 2yr'!AC20/'T E&amp;G 2YR'!AC20)*100)&gt;=0.05,('RESEARCH 2yr'!AC20/'T E&amp;G 2YR'!AC20)*100,"*"))</f>
        <v>*</v>
      </c>
      <c r="E22" s="65">
        <f>'PUBLIC SERVICE 2yr'!AC20/'T E&amp;G 2YR'!AC20*100</f>
        <v>7.108533894440984E-2</v>
      </c>
      <c r="F22" s="65">
        <f>'ASptISptSSv 2yr'!AC20/'T E&amp;G 2YR'!AC20*100</f>
        <v>30.536352784324677</v>
      </c>
      <c r="G22" s="65">
        <f>'SCHOLAR FELLOW 2yr'!AC20/'T E&amp;G 2YR'!AC20*100</f>
        <v>29.342672110606511</v>
      </c>
      <c r="H22" s="65">
        <f>('All Other 2yr'!AC20/'T E&amp;G 2YR'!AC20)*100</f>
        <v>1.156297013806338</v>
      </c>
      <c r="I22" s="66">
        <f t="shared" si="2"/>
        <v>2.6886381774174879</v>
      </c>
      <c r="J22" s="65" t="str">
        <f t="shared" si="3"/>
        <v>*</v>
      </c>
      <c r="K22" s="65">
        <f t="shared" si="4"/>
        <v>-0.13549863383846239</v>
      </c>
      <c r="L22" s="65">
        <f t="shared" si="5"/>
        <v>4.1184783312053774</v>
      </c>
      <c r="M22" s="65">
        <f t="shared" si="6"/>
        <v>-7.0257761849200868</v>
      </c>
      <c r="N22" s="65">
        <f t="shared" si="7"/>
        <v>0.34535851652060978</v>
      </c>
      <c r="O22" s="8"/>
      <c r="P22" s="38">
        <f>'INSTRUCTION-2YR'!X20/'T E&amp;G 2YR'!X20*100</f>
        <v>36.162926687450494</v>
      </c>
      <c r="Q22" s="38">
        <f>('RESEARCH 2yr'!X20/'T E&amp;G 2YR'!X20)*100</f>
        <v>3.3228093835003795E-2</v>
      </c>
      <c r="R22" s="38">
        <f>'PUBLIC SERVICE 2yr'!X20/'T E&amp;G 2YR'!X20*100</f>
        <v>0.20658397278287222</v>
      </c>
      <c r="S22" s="38">
        <f>'ASptISptSSv 2yr'!X20/'T E&amp;G 2YR'!X20*100</f>
        <v>26.4178744531193</v>
      </c>
      <c r="T22" s="39">
        <f>'PLANT OPER MAIN 2yr'!X20/'T E&amp;G 2YR'!X20*100</f>
        <v>0</v>
      </c>
      <c r="U22" s="38">
        <f>'SCHOLAR FELLOW 2yr'!X20/'T E&amp;G 2YR'!X20*100</f>
        <v>36.368448295526598</v>
      </c>
      <c r="V22" s="37">
        <f>IF((('All Other 2yr'!X20/'T E&amp;G 2YR'!X20)*100)&gt;=0.05,('All Other 2yr'!X20/'T E&amp;G 2YR'!X20)*100,"*")</f>
        <v>0.8109384972857282</v>
      </c>
      <c r="W22" s="36"/>
      <c r="X22" s="28">
        <f t="shared" si="1"/>
        <v>100.00000000000001</v>
      </c>
      <c r="Y22" s="28">
        <f t="shared" si="8"/>
        <v>99.957972112549911</v>
      </c>
      <c r="Z22" s="1"/>
      <c r="AA22" s="1"/>
      <c r="AB22" s="1"/>
      <c r="AC22" s="1"/>
      <c r="AD22" s="1"/>
    </row>
    <row r="23" spans="1:30">
      <c r="A23" s="54" t="s">
        <v>14</v>
      </c>
      <c r="B23" s="54"/>
      <c r="C23" s="63">
        <f>('INSTRUCTION-2YR'!AC21)/('T E&amp;G 2YR'!AC21)*100</f>
        <v>36.740999645365406</v>
      </c>
      <c r="D23" s="63">
        <f>IF((('RESEARCH 2yr'!AC21/'T E&amp;G 2YR'!AC21)*100)=0,('RESEARCH 2yr'!AC21/'T E&amp;G 2YR'!AC21)*100,IF((('RESEARCH 2yr'!AC21/'T E&amp;G 2YR'!AC21)*100)&gt;=0.05,('RESEARCH 2yr'!AC21/'T E&amp;G 2YR'!AC21)*100,"*"))</f>
        <v>0</v>
      </c>
      <c r="E23" s="63">
        <f>'PUBLIC SERVICE 2yr'!AC21/'T E&amp;G 2YR'!AC21*100</f>
        <v>1.6058141780963771</v>
      </c>
      <c r="F23" s="63">
        <f>'ASptISptSSv 2yr'!AC21/'T E&amp;G 2YR'!AC21*100</f>
        <v>25.467316859757862</v>
      </c>
      <c r="G23" s="63">
        <f>'SCHOLAR FELLOW 2yr'!AC21/'T E&amp;G 2YR'!AC21*100</f>
        <v>30.69680791288517</v>
      </c>
      <c r="H23" s="63">
        <f>('All Other 2yr'!AC21/'T E&amp;G 2YR'!AC21)*100</f>
        <v>5.4890614038951862</v>
      </c>
      <c r="I23" s="64">
        <f t="shared" si="2"/>
        <v>-1.7588056464635713</v>
      </c>
      <c r="J23" s="63">
        <f t="shared" si="3"/>
        <v>0</v>
      </c>
      <c r="K23" s="63">
        <f t="shared" si="4"/>
        <v>-0.51166025923343139</v>
      </c>
      <c r="L23" s="63">
        <f t="shared" si="5"/>
        <v>-0.50238626489956673</v>
      </c>
      <c r="M23" s="63">
        <f t="shared" si="6"/>
        <v>-1.7824019367472914</v>
      </c>
      <c r="N23" s="63">
        <f t="shared" si="7"/>
        <v>4.5552541073438659</v>
      </c>
      <c r="O23" s="23"/>
      <c r="P23" s="38">
        <f>'INSTRUCTION-2YR'!X21/'T E&amp;G 2YR'!X21*100</f>
        <v>38.499805291828977</v>
      </c>
      <c r="Q23" s="38">
        <f>('RESEARCH 2yr'!X21/'T E&amp;G 2YR'!X21)*100</f>
        <v>0</v>
      </c>
      <c r="R23" s="38">
        <f>'PUBLIC SERVICE 2yr'!X21/'T E&amp;G 2YR'!X21*100</f>
        <v>2.1174744373298084</v>
      </c>
      <c r="S23" s="38">
        <f>'ASptISptSSv 2yr'!X21/'T E&amp;G 2YR'!X21*100</f>
        <v>25.969703124657428</v>
      </c>
      <c r="T23" s="39">
        <f>'PLANT OPER MAIN 2yr'!X21/'T E&amp;G 2YR'!X21*100</f>
        <v>0</v>
      </c>
      <c r="U23" s="38">
        <f>'SCHOLAR FELLOW 2yr'!X21/'T E&amp;G 2YR'!X21*100</f>
        <v>32.479209849632461</v>
      </c>
      <c r="V23" s="37">
        <f>IF((('All Other 2yr'!X21/'T E&amp;G 2YR'!X21)*100)&gt;=0.05,('All Other 2yr'!X21/'T E&amp;G 2YR'!X21)*100,"*")</f>
        <v>0.93380729655132033</v>
      </c>
      <c r="W23" s="37"/>
      <c r="X23" s="28">
        <f t="shared" si="1"/>
        <v>100</v>
      </c>
      <c r="Y23" s="28">
        <f t="shared" si="8"/>
        <v>100</v>
      </c>
      <c r="Z23" s="1"/>
      <c r="AA23" s="1"/>
      <c r="AB23" s="1"/>
      <c r="AC23" s="1"/>
      <c r="AD23" s="1"/>
    </row>
    <row r="24" spans="1:30">
      <c r="A24" s="54" t="s">
        <v>15</v>
      </c>
      <c r="B24" s="54"/>
      <c r="C24" s="63">
        <f>('INSTRUCTION-2YR'!AC22)/('T E&amp;G 2YR'!AC22)*100</f>
        <v>39.710296011925003</v>
      </c>
      <c r="D24" s="63" t="str">
        <f>IF((('RESEARCH 2yr'!AC22/'T E&amp;G 2YR'!AC22)*100)=0,('RESEARCH 2yr'!AC22/'T E&amp;G 2YR'!AC22)*100,IF((('RESEARCH 2yr'!AC22/'T E&amp;G 2YR'!AC22)*100)&gt;=0.05,('RESEARCH 2yr'!AC22/'T E&amp;G 2YR'!AC22)*100,"*"))</f>
        <v>*</v>
      </c>
      <c r="E24" s="63">
        <f>'PUBLIC SERVICE 2yr'!AC22/'T E&amp;G 2YR'!AC22*100</f>
        <v>1.7121045815291762</v>
      </c>
      <c r="F24" s="63">
        <f>'ASptISptSSv 2yr'!AC22/'T E&amp;G 2YR'!AC22*100</f>
        <v>33.182821602169135</v>
      </c>
      <c r="G24" s="63">
        <f>'SCHOLAR FELLOW 2yr'!AC22/'T E&amp;G 2YR'!AC22*100</f>
        <v>21.382060464383819</v>
      </c>
      <c r="H24" s="63">
        <f>('All Other 2yr'!AC22/'T E&amp;G 2YR'!AC22)*100</f>
        <v>4.0048308844529528</v>
      </c>
      <c r="I24" s="64" t="str">
        <f t="shared" si="2"/>
        <v>*</v>
      </c>
      <c r="J24" s="63" t="str">
        <f t="shared" si="3"/>
        <v>*</v>
      </c>
      <c r="K24" s="63">
        <f t="shared" si="4"/>
        <v>-0.16008277093411971</v>
      </c>
      <c r="L24" s="63">
        <f t="shared" si="5"/>
        <v>3.5171108051011508</v>
      </c>
      <c r="M24" s="63">
        <f t="shared" si="6"/>
        <v>-5.3134095849423275</v>
      </c>
      <c r="N24" s="63">
        <f t="shared" si="7"/>
        <v>1.91783118077264</v>
      </c>
      <c r="O24" s="23"/>
      <c r="P24" s="38">
        <f>'INSTRUCTION-2YR'!X22/'T E&amp;G 2YR'!X22*100</f>
        <v>39.673969799378597</v>
      </c>
      <c r="Q24" s="38">
        <f>('RESEARCH 2yr'!X22/'T E&amp;G 2YR'!X22)*100</f>
        <v>5.6622980836560132E-3</v>
      </c>
      <c r="R24" s="38">
        <f>'PUBLIC SERVICE 2yr'!X22/'T E&amp;G 2YR'!X22*100</f>
        <v>1.8721873524632959</v>
      </c>
      <c r="S24" s="38">
        <f>'ASptISptSSv 2yr'!X22/'T E&amp;G 2YR'!X22*100</f>
        <v>29.665710797067984</v>
      </c>
      <c r="T24" s="39">
        <f>'PLANT OPER MAIN 2yr'!X22/'T E&amp;G 2YR'!X22*100</f>
        <v>0</v>
      </c>
      <c r="U24" s="38">
        <f>'SCHOLAR FELLOW 2yr'!X22/'T E&amp;G 2YR'!X22*100</f>
        <v>26.695470049326147</v>
      </c>
      <c r="V24" s="37">
        <f>IF((('All Other 2yr'!X22/'T E&amp;G 2YR'!X22)*100)&gt;=0.05,('All Other 2yr'!X22/'T E&amp;G 2YR'!X22)*100,"*")</f>
        <v>2.0869997036803127</v>
      </c>
      <c r="W24" s="37"/>
      <c r="X24" s="28">
        <f t="shared" si="1"/>
        <v>100</v>
      </c>
      <c r="Y24" s="28">
        <f t="shared" si="8"/>
        <v>99.992113544460096</v>
      </c>
      <c r="Z24" s="1"/>
      <c r="AA24" s="1"/>
      <c r="AB24" s="1"/>
      <c r="AC24" s="1"/>
      <c r="AD24" s="1"/>
    </row>
    <row r="25" spans="1:30">
      <c r="A25" s="54" t="s">
        <v>16</v>
      </c>
      <c r="B25" s="54"/>
      <c r="C25" s="63">
        <f>('INSTRUCTION-2YR'!AC23)/('T E&amp;G 2YR'!AC23)*100</f>
        <v>42.908642244785725</v>
      </c>
      <c r="D25" s="63">
        <f>IF((('RESEARCH 2yr'!AC23/'T E&amp;G 2YR'!AC23)*100)=0,('RESEARCH 2yr'!AC23/'T E&amp;G 2YR'!AC23)*100,IF((('RESEARCH 2yr'!AC23/'T E&amp;G 2YR'!AC23)*100)&gt;=0.05,('RESEARCH 2yr'!AC23/'T E&amp;G 2YR'!AC23)*100,"*"))</f>
        <v>0</v>
      </c>
      <c r="E25" s="63">
        <f>'PUBLIC SERVICE 2yr'!AC23/'T E&amp;G 2YR'!AC23*100</f>
        <v>1.5735503581779231</v>
      </c>
      <c r="F25" s="63">
        <f>'ASptISptSSv 2yr'!AC23/'T E&amp;G 2YR'!AC23*100</f>
        <v>33.816850604772284</v>
      </c>
      <c r="G25" s="63">
        <f>'SCHOLAR FELLOW 2yr'!AC23/'T E&amp;G 2YR'!AC23*100</f>
        <v>21.280298378657903</v>
      </c>
      <c r="H25" s="63">
        <f>('All Other 2yr'!AC23/'T E&amp;G 2YR'!AC23)*100</f>
        <v>0.42065841360616368</v>
      </c>
      <c r="I25" s="64">
        <f t="shared" si="2"/>
        <v>-0.31987783578120599</v>
      </c>
      <c r="J25" s="63">
        <f t="shared" si="3"/>
        <v>0</v>
      </c>
      <c r="K25" s="63">
        <f t="shared" si="4"/>
        <v>0.73054655846372807</v>
      </c>
      <c r="L25" s="63">
        <f t="shared" si="5"/>
        <v>3.6940604872448191</v>
      </c>
      <c r="M25" s="63">
        <f t="shared" si="6"/>
        <v>-4.4105074722332596</v>
      </c>
      <c r="N25" s="63">
        <f t="shared" si="7"/>
        <v>0.30577826230590816</v>
      </c>
      <c r="O25" s="23"/>
      <c r="P25" s="38">
        <f>'INSTRUCTION-2YR'!X23/'T E&amp;G 2YR'!X23*100</f>
        <v>43.228520080566931</v>
      </c>
      <c r="Q25" s="38">
        <f>('RESEARCH 2yr'!X23/'T E&amp;G 2YR'!X23)*100</f>
        <v>0</v>
      </c>
      <c r="R25" s="38">
        <f>'PUBLIC SERVICE 2yr'!X23/'T E&amp;G 2YR'!X23*100</f>
        <v>0.84300379971419503</v>
      </c>
      <c r="S25" s="38">
        <f>'ASptISptSSv 2yr'!X23/'T E&amp;G 2YR'!X23*100</f>
        <v>30.122790117527465</v>
      </c>
      <c r="T25" s="39">
        <f>'PLANT OPER MAIN 2yr'!X23/'T E&amp;G 2YR'!X23*100</f>
        <v>0</v>
      </c>
      <c r="U25" s="38">
        <f>'SCHOLAR FELLOW 2yr'!X23/'T E&amp;G 2YR'!X23*100</f>
        <v>25.690805850891163</v>
      </c>
      <c r="V25" s="37">
        <f>IF((('All Other 2yr'!X23/'T E&amp;G 2YR'!X23)*100)&gt;=0.05,('All Other 2yr'!X23/'T E&amp;G 2YR'!X23)*100,"*")</f>
        <v>0.11488015130025554</v>
      </c>
      <c r="W25" s="37"/>
      <c r="X25" s="28">
        <f t="shared" si="1"/>
        <v>100.00000000000001</v>
      </c>
      <c r="Y25" s="28">
        <f t="shared" si="8"/>
        <v>100</v>
      </c>
      <c r="Z25" s="1"/>
      <c r="AA25" s="1"/>
      <c r="AB25" s="1"/>
      <c r="AC25" s="1"/>
      <c r="AD25" s="1"/>
    </row>
    <row r="26" spans="1:30">
      <c r="A26" s="55" t="s">
        <v>17</v>
      </c>
      <c r="B26" s="55"/>
      <c r="C26" s="61">
        <f>('INSTRUCTION-2YR'!AC24)/('T E&amp;G 2YR'!AC24)*100</f>
        <v>34.790635982495253</v>
      </c>
      <c r="D26" s="61" t="str">
        <f>IF((('RESEARCH 2yr'!AC24/'T E&amp;G 2YR'!AC24)*100)=0,('RESEARCH 2yr'!AC24/'T E&amp;G 2YR'!AC24)*100,IF((('RESEARCH 2yr'!AC24/'T E&amp;G 2YR'!AC24)*100)&gt;=0.05,('RESEARCH 2yr'!AC24/'T E&amp;G 2YR'!AC24)*100,"*"))</f>
        <v>*</v>
      </c>
      <c r="E26" s="61">
        <f>'PUBLIC SERVICE 2yr'!AC24/'T E&amp;G 2YR'!AC24*100</f>
        <v>1.5532318455518734</v>
      </c>
      <c r="F26" s="61">
        <f>'ASptISptSSv 2yr'!AC24/'T E&amp;G 2YR'!AC24*100</f>
        <v>29.102776696537632</v>
      </c>
      <c r="G26" s="61">
        <f>'SCHOLAR FELLOW 2yr'!AC24/'T E&amp;G 2YR'!AC24*100</f>
        <v>25.855275847259218</v>
      </c>
      <c r="H26" s="98">
        <f>('All Other 2yr'!AC24/'T E&amp;G 2YR'!AC24)*100</f>
        <v>8.6841254584169842</v>
      </c>
      <c r="I26" s="62">
        <f t="shared" si="2"/>
        <v>2.6138046419323331</v>
      </c>
      <c r="J26" s="61">
        <f t="shared" si="3"/>
        <v>0</v>
      </c>
      <c r="K26" s="61">
        <f t="shared" si="4"/>
        <v>-0.63888790963949638</v>
      </c>
      <c r="L26" s="61">
        <f t="shared" si="5"/>
        <v>1.9511244250954967</v>
      </c>
      <c r="M26" s="61">
        <f t="shared" si="6"/>
        <v>-6.3704555178046824</v>
      </c>
      <c r="N26" s="61">
        <f t="shared" si="7"/>
        <v>2.4304601906773042</v>
      </c>
      <c r="O26" s="23"/>
      <c r="P26" s="38">
        <f>'INSTRUCTION-2YR'!X24/'T E&amp;G 2YR'!X24*100</f>
        <v>32.17683134056292</v>
      </c>
      <c r="Q26" s="38">
        <f>('RESEARCH 2yr'!X24/'T E&amp;G 2YR'!X24)*100</f>
        <v>0</v>
      </c>
      <c r="R26" s="38">
        <f>'PUBLIC SERVICE 2yr'!X24/'T E&amp;G 2YR'!X24*100</f>
        <v>2.1921197551913698</v>
      </c>
      <c r="S26" s="38">
        <f>'ASptISptSSv 2yr'!X24/'T E&amp;G 2YR'!X24*100</f>
        <v>27.151652271442135</v>
      </c>
      <c r="T26" s="39">
        <f>'PLANT OPER MAIN 2yr'!X24/'T E&amp;G 2YR'!X24*100</f>
        <v>0</v>
      </c>
      <c r="U26" s="38">
        <f>'SCHOLAR FELLOW 2yr'!X24/'T E&amp;G 2YR'!X24*100</f>
        <v>32.225731365063901</v>
      </c>
      <c r="V26" s="37">
        <f>IF((('All Other 2yr'!X24/'T E&amp;G 2YR'!X24)*100)&gt;=0.05,('All Other 2yr'!X24/'T E&amp;G 2YR'!X24)*100,"*")</f>
        <v>6.25366526773968</v>
      </c>
      <c r="W26" s="37"/>
      <c r="X26" s="28">
        <f t="shared" si="1"/>
        <v>100</v>
      </c>
      <c r="Y26" s="28">
        <f t="shared" si="8"/>
        <v>99.986045830260963</v>
      </c>
      <c r="Z26" s="1"/>
      <c r="AA26" s="1"/>
      <c r="AB26" s="1"/>
      <c r="AC26" s="1"/>
      <c r="AD26" s="1"/>
    </row>
    <row r="27" spans="1:30">
      <c r="A27" s="54" t="s">
        <v>120</v>
      </c>
      <c r="B27" s="54"/>
      <c r="C27" s="63">
        <f>('INSTRUCTION-2YR'!AC25)/('T E&amp;G 2YR'!AC25)*100</f>
        <v>38.811839643326238</v>
      </c>
      <c r="D27" s="63">
        <f>IF((('RESEARCH 2yr'!AC25/'T E&amp;G 2YR'!AC25)*100)=0,('RESEARCH 2yr'!AC25/'T E&amp;G 2YR'!AC25)*100,IF((('RESEARCH 2yr'!AC25/'T E&amp;G 2YR'!AC25)*100)&gt;=0.05,('RESEARCH 2yr'!AC25/'T E&amp;G 2YR'!AC25)*100,"*"))</f>
        <v>7.1844422407144407E-2</v>
      </c>
      <c r="E27" s="63">
        <f>'PUBLIC SERVICE 2yr'!AC25/'T E&amp;G 2YR'!AC25*100</f>
        <v>1.342702274487297</v>
      </c>
      <c r="F27" s="63">
        <f>'ASptISptSSv 2yr'!AC25/'T E&amp;G 2YR'!AC25*100</f>
        <v>33.190288257071416</v>
      </c>
      <c r="G27" s="63">
        <f>'SCHOLAR FELLOW 2yr'!AC25/'T E&amp;G 2YR'!AC25*100</f>
        <v>18.294624007120039</v>
      </c>
      <c r="H27" s="63">
        <f>('All Other 2yr'!AC25/'T E&amp;G 2YR'!AC25)*100</f>
        <v>8.2887013955878572</v>
      </c>
      <c r="I27" s="64">
        <f t="shared" si="2"/>
        <v>-0.14480532539647584</v>
      </c>
      <c r="J27" s="63" t="str">
        <f t="shared" si="3"/>
        <v>*</v>
      </c>
      <c r="K27" s="63">
        <f t="shared" si="4"/>
        <v>-0.32335251137650123</v>
      </c>
      <c r="L27" s="63">
        <f t="shared" si="5"/>
        <v>3.1487456414334751</v>
      </c>
      <c r="M27" s="63">
        <f t="shared" si="6"/>
        <v>-4.7028614422344397</v>
      </c>
      <c r="N27" s="63">
        <f t="shared" si="7"/>
        <v>2.0068824698092032</v>
      </c>
      <c r="O27" s="8"/>
      <c r="P27" s="38">
        <f>'INSTRUCTION-2YR'!X25/'T E&amp;G 2YR'!X25*100</f>
        <v>38.956644968722713</v>
      </c>
      <c r="Q27" s="38">
        <f>('RESEARCH 2yr'!X25/'T E&amp;G 2YR'!X25)*100</f>
        <v>5.6453254642422748E-2</v>
      </c>
      <c r="R27" s="38">
        <f>'PUBLIC SERVICE 2yr'!X25/'T E&amp;G 2YR'!X25*100</f>
        <v>1.6660547858637982</v>
      </c>
      <c r="S27" s="38">
        <f>'ASptISptSSv 2yr'!X25/'T E&amp;G 2YR'!X25*100</f>
        <v>30.04154261563794</v>
      </c>
      <c r="T27" s="39">
        <f>'PLANT OPER MAIN 2yr'!X25/'T E&amp;G 2YR'!X25*100</f>
        <v>0</v>
      </c>
      <c r="U27" s="38">
        <f>'SCHOLAR FELLOW 2yr'!X25/'T E&amp;G 2YR'!X25*100</f>
        <v>22.997485449354478</v>
      </c>
      <c r="V27" s="37">
        <f>IF((('All Other 2yr'!X25/'T E&amp;G 2YR'!X25)*100)&gt;=0.05,('All Other 2yr'!X25/'T E&amp;G 2YR'!X25)*100,"*")</f>
        <v>6.2818189257786541</v>
      </c>
      <c r="W27" s="8"/>
      <c r="X27" s="28">
        <f t="shared" si="1"/>
        <v>100</v>
      </c>
      <c r="Y27" s="28">
        <f t="shared" si="8"/>
        <v>99.999999999999972</v>
      </c>
      <c r="Z27" s="1"/>
      <c r="AA27" s="1"/>
      <c r="AB27" s="1"/>
      <c r="AC27" s="1"/>
      <c r="AD27" s="1"/>
    </row>
    <row r="28" spans="1:30" s="31" customFormat="1">
      <c r="A28" s="54"/>
      <c r="B28" s="54"/>
      <c r="C28" s="63"/>
      <c r="D28" s="63"/>
      <c r="E28" s="63"/>
      <c r="F28" s="63"/>
      <c r="G28" s="63"/>
      <c r="H28" s="63"/>
      <c r="I28" s="64">
        <f t="shared" si="2"/>
        <v>0</v>
      </c>
      <c r="J28" s="63">
        <f t="shared" si="3"/>
        <v>0</v>
      </c>
      <c r="K28" s="63">
        <f t="shared" si="4"/>
        <v>0</v>
      </c>
      <c r="L28" s="63">
        <f t="shared" si="5"/>
        <v>0</v>
      </c>
      <c r="M28" s="63">
        <f t="shared" si="6"/>
        <v>0</v>
      </c>
      <c r="N28" s="63">
        <f t="shared" si="7"/>
        <v>0</v>
      </c>
      <c r="O28" s="17"/>
      <c r="P28" s="38"/>
      <c r="Q28" s="38"/>
      <c r="R28" s="38"/>
      <c r="S28" s="38"/>
      <c r="T28" s="39"/>
      <c r="U28" s="38"/>
      <c r="V28" s="37"/>
      <c r="W28" s="17"/>
      <c r="X28" s="28"/>
      <c r="Y28" s="28"/>
      <c r="Z28" s="30"/>
    </row>
    <row r="29" spans="1:30" s="31" customFormat="1">
      <c r="A29" s="53" t="s">
        <v>85</v>
      </c>
      <c r="B29" s="53"/>
      <c r="C29" s="65" t="s">
        <v>145</v>
      </c>
      <c r="D29" s="65" t="s">
        <v>145</v>
      </c>
      <c r="E29" s="65" t="s">
        <v>145</v>
      </c>
      <c r="F29" s="65" t="s">
        <v>145</v>
      </c>
      <c r="G29" s="65" t="s">
        <v>145</v>
      </c>
      <c r="H29" s="65" t="s">
        <v>145</v>
      </c>
      <c r="I29" s="66" t="s">
        <v>145</v>
      </c>
      <c r="J29" s="65" t="s">
        <v>145</v>
      </c>
      <c r="K29" s="65" t="s">
        <v>145</v>
      </c>
      <c r="L29" s="65" t="s">
        <v>145</v>
      </c>
      <c r="M29" s="65" t="s">
        <v>145</v>
      </c>
      <c r="N29" s="65" t="s">
        <v>145</v>
      </c>
      <c r="O29" s="17"/>
      <c r="P29" s="38">
        <f>'INSTRUCTION-2YR'!X27/'T E&amp;G 2YR'!X27*100</f>
        <v>39.382328820137673</v>
      </c>
      <c r="Q29" s="38">
        <f>('RESEARCH 2yr'!X27/'T E&amp;G 2YR'!X27)*100</f>
        <v>0</v>
      </c>
      <c r="R29" s="38">
        <f>'PUBLIC SERVICE 2yr'!X27/'T E&amp;G 2YR'!X27*100</f>
        <v>1.486863019319048</v>
      </c>
      <c r="S29" s="38">
        <f>'ASptISptSSv 2yr'!X27/'T E&amp;G 2YR'!X27*100</f>
        <v>46.814166339505384</v>
      </c>
      <c r="T29" s="39">
        <f>'PLANT OPER MAIN 2yr'!X27/'T E&amp;G 2YR'!X27*100</f>
        <v>0</v>
      </c>
      <c r="U29" s="38">
        <f>'SCHOLAR FELLOW 2yr'!X27/'T E&amp;G 2YR'!X27*100</f>
        <v>1.0078150795968255</v>
      </c>
      <c r="V29" s="37">
        <f>IF((('All Other 2yr'!X27/'T E&amp;G 2YR'!X27)*100)&gt;=0.05,('All Other 2yr'!X27/'T E&amp;G 2YR'!X27)*100,"*")</f>
        <v>11.308826741441063</v>
      </c>
      <c r="W29" s="17"/>
      <c r="X29" s="28">
        <f t="shared" si="1"/>
        <v>99.999999999999986</v>
      </c>
      <c r="Y29" s="28">
        <f t="shared" ref="Y29:Y42" si="9">SUM(C29:H29)</f>
        <v>0</v>
      </c>
      <c r="Z29" s="30"/>
    </row>
    <row r="30" spans="1:30" s="31" customFormat="1">
      <c r="A30" s="53" t="s">
        <v>86</v>
      </c>
      <c r="B30" s="53"/>
      <c r="C30" s="65">
        <f>('INSTRUCTION-2YR'!AC28)/('T E&amp;G 2YR'!AC28)*100</f>
        <v>39.848551125733003</v>
      </c>
      <c r="D30" s="65">
        <f>IF((('RESEARCH 2yr'!AC28/'T E&amp;G 2YR'!AC28)*100)=0,('RESEARCH 2yr'!AC28/'T E&amp;G 2YR'!AC28)*100,IF((('RESEARCH 2yr'!AC28/'T E&amp;G 2YR'!AC28)*100)&gt;=0.05,('RESEARCH 2yr'!AC28/'T E&amp;G 2YR'!AC28)*100,"*"))</f>
        <v>5.6589203532841872E-2</v>
      </c>
      <c r="E30" s="65">
        <f>'PUBLIC SERVICE 2yr'!AC28/'T E&amp;G 2YR'!AC28*100</f>
        <v>1.5175051067272429</v>
      </c>
      <c r="F30" s="65">
        <f>'ASptISptSSv 2yr'!AC28/'T E&amp;G 2YR'!AC28*100</f>
        <v>37.327736074380432</v>
      </c>
      <c r="G30" s="65">
        <f>'SCHOLAR FELLOW 2yr'!AC28/'T E&amp;G 2YR'!AC28*100</f>
        <v>19.63178327011121</v>
      </c>
      <c r="H30" s="65">
        <f>('All Other 2yr'!AC28/'T E&amp;G 2YR'!AC28)*100</f>
        <v>1.6178352195152754</v>
      </c>
      <c r="I30" s="66">
        <f t="shared" si="2"/>
        <v>1.2995255622456696</v>
      </c>
      <c r="J30" s="65" t="str">
        <f t="shared" si="3"/>
        <v>*</v>
      </c>
      <c r="K30" s="65">
        <f t="shared" si="4"/>
        <v>0.39868852816394806</v>
      </c>
      <c r="L30" s="65">
        <f t="shared" si="5"/>
        <v>4.165623261783864</v>
      </c>
      <c r="M30" s="65">
        <f t="shared" si="6"/>
        <v>-6.8937910112631258</v>
      </c>
      <c r="N30" s="65">
        <f t="shared" si="7"/>
        <v>1.0001259499634676</v>
      </c>
      <c r="O30" s="17"/>
      <c r="P30" s="38">
        <f>'INSTRUCTION-2YR'!X28/'T E&amp;G 2YR'!X28*100</f>
        <v>38.549025563487334</v>
      </c>
      <c r="Q30" s="38">
        <f>('RESEARCH 2yr'!X28/'T E&amp;G 2YR'!X28)*100</f>
        <v>2.6761494426652641E-2</v>
      </c>
      <c r="R30" s="38">
        <f>'PUBLIC SERVICE 2yr'!X28/'T E&amp;G 2YR'!X28*100</f>
        <v>1.1188165785632949</v>
      </c>
      <c r="S30" s="38">
        <f>'ASptISptSSv 2yr'!X28/'T E&amp;G 2YR'!X28*100</f>
        <v>33.162112812596568</v>
      </c>
      <c r="T30" s="39">
        <f>'PLANT OPER MAIN 2yr'!X28/'T E&amp;G 2YR'!X28*100</f>
        <v>0</v>
      </c>
      <c r="U30" s="38">
        <f>'SCHOLAR FELLOW 2yr'!X28/'T E&amp;G 2YR'!X28*100</f>
        <v>26.525574281374336</v>
      </c>
      <c r="V30" s="37">
        <f>IF((('All Other 2yr'!X28/'T E&amp;G 2YR'!X28)*100)&gt;=0.05,('All Other 2yr'!X28/'T E&amp;G 2YR'!X28)*100,"*")</f>
        <v>0.61770926955180794</v>
      </c>
      <c r="W30" s="17"/>
      <c r="X30" s="28">
        <f t="shared" si="1"/>
        <v>99.999999999999986</v>
      </c>
      <c r="Y30" s="28">
        <f t="shared" si="9"/>
        <v>100.00000000000001</v>
      </c>
      <c r="Z30" s="30"/>
    </row>
    <row r="31" spans="1:30" s="31" customFormat="1">
      <c r="A31" s="53" t="s">
        <v>87</v>
      </c>
      <c r="B31" s="53"/>
      <c r="C31" s="65">
        <f>('INSTRUCTION-2YR'!AC29)/('T E&amp;G 2YR'!AC29)*100</f>
        <v>37.662566273487215</v>
      </c>
      <c r="D31" s="65">
        <f>IF((('RESEARCH 2yr'!AC29/'T E&amp;G 2YR'!AC29)*100)=0,('RESEARCH 2yr'!AC29/'T E&amp;G 2YR'!AC29)*100,IF((('RESEARCH 2yr'!AC29/'T E&amp;G 2YR'!AC29)*100)&gt;=0.05,('RESEARCH 2yr'!AC29/'T E&amp;G 2YR'!AC29)*100,"*"))</f>
        <v>6.5526948863742634E-2</v>
      </c>
      <c r="E31" s="65">
        <f>'PUBLIC SERVICE 2yr'!AC29/'T E&amp;G 2YR'!AC29*100</f>
        <v>1.1154042058619185</v>
      </c>
      <c r="F31" s="65">
        <f>'ASptISptSSv 2yr'!AC29/'T E&amp;G 2YR'!AC29*100</f>
        <v>32.840106665867204</v>
      </c>
      <c r="G31" s="65">
        <f>'SCHOLAR FELLOW 2yr'!AC29/'T E&amp;G 2YR'!AC29*100</f>
        <v>18.794315440380249</v>
      </c>
      <c r="H31" s="65">
        <f>('All Other 2yr'!AC29/'T E&amp;G 2YR'!AC29)*100</f>
        <v>9.5220804655396698</v>
      </c>
      <c r="I31" s="66">
        <f t="shared" si="2"/>
        <v>0.12193192337842618</v>
      </c>
      <c r="J31" s="65" t="str">
        <f t="shared" si="3"/>
        <v>*</v>
      </c>
      <c r="K31" s="65">
        <f t="shared" si="4"/>
        <v>-0.51197227767820253</v>
      </c>
      <c r="L31" s="65">
        <f t="shared" si="5"/>
        <v>2.121431209009522</v>
      </c>
      <c r="M31" s="65">
        <f t="shared" si="6"/>
        <v>-3.686209428491992</v>
      </c>
      <c r="N31" s="65">
        <f t="shared" si="7"/>
        <v>1.9479673162222069</v>
      </c>
      <c r="O31" s="17"/>
      <c r="P31" s="38">
        <f>'INSTRUCTION-2YR'!X29/'T E&amp;G 2YR'!X29*100</f>
        <v>37.540634350108789</v>
      </c>
      <c r="Q31" s="38">
        <f>('RESEARCH 2yr'!X29/'T E&amp;G 2YR'!X29)*100</f>
        <v>5.8675691303710351E-2</v>
      </c>
      <c r="R31" s="38">
        <f>'PUBLIC SERVICE 2yr'!X29/'T E&amp;G 2YR'!X29*100</f>
        <v>1.627376483540121</v>
      </c>
      <c r="S31" s="38">
        <f>'ASptISptSSv 2yr'!X29/'T E&amp;G 2YR'!X29*100</f>
        <v>30.718675456857682</v>
      </c>
      <c r="T31" s="39">
        <f>'PLANT OPER MAIN 2yr'!X29/'T E&amp;G 2YR'!X29*100</f>
        <v>0</v>
      </c>
      <c r="U31" s="38">
        <f>'SCHOLAR FELLOW 2yr'!X29/'T E&amp;G 2YR'!X29*100</f>
        <v>22.480524868872241</v>
      </c>
      <c r="V31" s="37">
        <f>IF((('All Other 2yr'!X29/'T E&amp;G 2YR'!X29)*100)&gt;=0.05,('All Other 2yr'!X29/'T E&amp;G 2YR'!X29)*100,"*")</f>
        <v>7.5741131493174629</v>
      </c>
      <c r="W31" s="17"/>
      <c r="X31" s="28">
        <f t="shared" si="1"/>
        <v>100</v>
      </c>
      <c r="Y31" s="28">
        <f t="shared" si="9"/>
        <v>100</v>
      </c>
      <c r="Z31" s="30"/>
    </row>
    <row r="32" spans="1:30" s="31" customFormat="1">
      <c r="A32" s="53" t="s">
        <v>88</v>
      </c>
      <c r="B32" s="53"/>
      <c r="C32" s="65">
        <f>('INSTRUCTION-2YR'!AC30)/('T E&amp;G 2YR'!AC30)*100</f>
        <v>38.704798572979513</v>
      </c>
      <c r="D32" s="65">
        <f>IF((('RESEARCH 2yr'!AC30/'T E&amp;G 2YR'!AC30)*100)=0,('RESEARCH 2yr'!AC30/'T E&amp;G 2YR'!AC30)*100,IF((('RESEARCH 2yr'!AC30/'T E&amp;G 2YR'!AC30)*100)&gt;=0.05,('RESEARCH 2yr'!AC30/'T E&amp;G 2YR'!AC30)*100,"*"))</f>
        <v>0</v>
      </c>
      <c r="E32" s="65">
        <f>'PUBLIC SERVICE 2yr'!AC30/'T E&amp;G 2YR'!AC30*100</f>
        <v>0.68693967185609917</v>
      </c>
      <c r="F32" s="65">
        <f>'ASptISptSSv 2yr'!AC30/'T E&amp;G 2YR'!AC30*100</f>
        <v>28.902262274108807</v>
      </c>
      <c r="G32" s="65">
        <f>'SCHOLAR FELLOW 2yr'!AC30/'T E&amp;G 2YR'!AC30*100</f>
        <v>19.982586897126481</v>
      </c>
      <c r="H32" s="65">
        <f>('All Other 2yr'!AC30/'T E&amp;G 2YR'!AC30)*100</f>
        <v>11.723412583929097</v>
      </c>
      <c r="I32" s="66">
        <f t="shared" si="2"/>
        <v>2.044195484475587</v>
      </c>
      <c r="J32" s="65">
        <f t="shared" si="3"/>
        <v>0</v>
      </c>
      <c r="K32" s="65" t="str">
        <f t="shared" si="4"/>
        <v>*</v>
      </c>
      <c r="L32" s="65">
        <f t="shared" si="5"/>
        <v>0.9668104326448983</v>
      </c>
      <c r="M32" s="65">
        <f t="shared" si="6"/>
        <v>-9.5655249794697461</v>
      </c>
      <c r="N32" s="65">
        <f t="shared" si="7"/>
        <v>6.5218480368306606</v>
      </c>
      <c r="O32" s="17"/>
      <c r="P32" s="38">
        <f>'INSTRUCTION-2YR'!X30/'T E&amp;G 2YR'!X30*100</f>
        <v>36.660603088503926</v>
      </c>
      <c r="Q32" s="38">
        <f>('RESEARCH 2yr'!X30/'T E&amp;G 2YR'!X30)*100</f>
        <v>0</v>
      </c>
      <c r="R32" s="38">
        <f>'PUBLIC SERVICE 2yr'!X30/'T E&amp;G 2YR'!X30*100</f>
        <v>0.65426864633749959</v>
      </c>
      <c r="S32" s="38">
        <f>'ASptISptSSv 2yr'!X30/'T E&amp;G 2YR'!X30*100</f>
        <v>27.935451841463909</v>
      </c>
      <c r="T32" s="39">
        <f>'PLANT OPER MAIN 2yr'!X30/'T E&amp;G 2YR'!X30*100</f>
        <v>0</v>
      </c>
      <c r="U32" s="38">
        <f>'SCHOLAR FELLOW 2yr'!X30/'T E&amp;G 2YR'!X30*100</f>
        <v>29.548111876596227</v>
      </c>
      <c r="V32" s="37">
        <f>IF((('All Other 2yr'!X30/'T E&amp;G 2YR'!X30)*100)&gt;=0.05,('All Other 2yr'!X30/'T E&amp;G 2YR'!X30)*100,"*")</f>
        <v>5.2015645470984362</v>
      </c>
      <c r="W32" s="17"/>
      <c r="X32" s="28">
        <f t="shared" si="1"/>
        <v>100</v>
      </c>
      <c r="Y32" s="28">
        <f t="shared" si="9"/>
        <v>100</v>
      </c>
      <c r="Z32" s="30"/>
    </row>
    <row r="33" spans="1:26" s="31" customFormat="1">
      <c r="A33" s="54" t="s">
        <v>91</v>
      </c>
      <c r="B33" s="54"/>
      <c r="C33" s="63">
        <f>('INSTRUCTION-2YR'!AC31)/('T E&amp;G 2YR'!AC31)*100</f>
        <v>49.796198308048325</v>
      </c>
      <c r="D33" s="63">
        <f>IF((('RESEARCH 2yr'!AC31/'T E&amp;G 2YR'!AC31)*100)=0,('RESEARCH 2yr'!AC31/'T E&amp;G 2YR'!AC31)*100,IF((('RESEARCH 2yr'!AC31/'T E&amp;G 2YR'!AC31)*100)&gt;=0.05,('RESEARCH 2yr'!AC31/'T E&amp;G 2YR'!AC31)*100,"*"))</f>
        <v>0.23833659956020628</v>
      </c>
      <c r="E33" s="63">
        <f>'PUBLIC SERVICE 2yr'!AC31/'T E&amp;G 2YR'!AC31*100</f>
        <v>4.5724878433529819</v>
      </c>
      <c r="F33" s="63">
        <f>'ASptISptSSv 2yr'!AC31/'T E&amp;G 2YR'!AC31*100</f>
        <v>24.927955234611339</v>
      </c>
      <c r="G33" s="63">
        <f>'SCHOLAR FELLOW 2yr'!AC31/'T E&amp;G 2YR'!AC31*100</f>
        <v>11.099883831363277</v>
      </c>
      <c r="H33" s="63">
        <f>('All Other 2yr'!AC31/'T E&amp;G 2YR'!AC31)*100</f>
        <v>9.3651381830638751</v>
      </c>
      <c r="I33" s="64">
        <f t="shared" si="2"/>
        <v>2.6841785812036463</v>
      </c>
      <c r="J33" s="63" t="str">
        <f t="shared" si="3"/>
        <v>*</v>
      </c>
      <c r="K33" s="63">
        <f t="shared" si="4"/>
        <v>-2.0443486021280597</v>
      </c>
      <c r="L33" s="63">
        <f t="shared" si="5"/>
        <v>-3.1693628040724775</v>
      </c>
      <c r="M33" s="63">
        <f t="shared" si="6"/>
        <v>-5.2927027551824093</v>
      </c>
      <c r="N33" s="63">
        <f t="shared" si="7"/>
        <v>7.8264460122041664</v>
      </c>
      <c r="O33" s="17"/>
      <c r="P33" s="38">
        <f>'INSTRUCTION-2YR'!X31/'T E&amp;G 2YR'!X31*100</f>
        <v>47.112019726844679</v>
      </c>
      <c r="Q33" s="38">
        <f>('RESEARCH 2yr'!X31/'T E&amp;G 2YR'!X31)*100</f>
        <v>0.24254703158506161</v>
      </c>
      <c r="R33" s="38">
        <f>'PUBLIC SERVICE 2yr'!X31/'T E&amp;G 2YR'!X31*100</f>
        <v>6.6168364454810416</v>
      </c>
      <c r="S33" s="38">
        <f>'ASptISptSSv 2yr'!X31/'T E&amp;G 2YR'!X31*100</f>
        <v>28.097318038683817</v>
      </c>
      <c r="T33" s="39">
        <f>'PLANT OPER MAIN 2yr'!X31/'T E&amp;G 2YR'!X31*100</f>
        <v>0</v>
      </c>
      <c r="U33" s="38">
        <f>'SCHOLAR FELLOW 2yr'!X31/'T E&amp;G 2YR'!X31*100</f>
        <v>16.392586586545686</v>
      </c>
      <c r="V33" s="37">
        <f>IF((('All Other 2yr'!X31/'T E&amp;G 2YR'!X31)*100)&gt;=0.05,('All Other 2yr'!X31/'T E&amp;G 2YR'!X31)*100,"*")</f>
        <v>1.5386921708597086</v>
      </c>
      <c r="W33" s="17"/>
      <c r="X33" s="28">
        <f t="shared" si="1"/>
        <v>99.999999999999986</v>
      </c>
      <c r="Y33" s="28">
        <f t="shared" si="9"/>
        <v>100</v>
      </c>
      <c r="Z33" s="30"/>
    </row>
    <row r="34" spans="1:26" s="31" customFormat="1">
      <c r="A34" s="54" t="s">
        <v>92</v>
      </c>
      <c r="B34" s="54"/>
      <c r="C34" s="63">
        <f>('INSTRUCTION-2YR'!AC32)/('T E&amp;G 2YR'!AC32)*100</f>
        <v>37.952440052720235</v>
      </c>
      <c r="D34" s="63">
        <f>IF((('RESEARCH 2yr'!AC32/'T E&amp;G 2YR'!AC32)*100)=0,('RESEARCH 2yr'!AC32/'T E&amp;G 2YR'!AC32)*100,IF((('RESEARCH 2yr'!AC32/'T E&amp;G 2YR'!AC32)*100)&gt;=0.05,('RESEARCH 2yr'!AC32/'T E&amp;G 2YR'!AC32)*100,"*"))</f>
        <v>0</v>
      </c>
      <c r="E34" s="63">
        <f>'PUBLIC SERVICE 2yr'!AC32/'T E&amp;G 2YR'!AC32*100</f>
        <v>9.4138678923009138</v>
      </c>
      <c r="F34" s="63">
        <f>'ASptISptSSv 2yr'!AC32/'T E&amp;G 2YR'!AC32*100</f>
        <v>29.734481845302469</v>
      </c>
      <c r="G34" s="63">
        <f>'SCHOLAR FELLOW 2yr'!AC32/'T E&amp;G 2YR'!AC32*100</f>
        <v>14.386376928939926</v>
      </c>
      <c r="H34" s="63">
        <f>('All Other 2yr'!AC32/'T E&amp;G 2YR'!AC32)*100</f>
        <v>8.5128332807364586</v>
      </c>
      <c r="I34" s="64">
        <f t="shared" si="2"/>
        <v>14.570338812836635</v>
      </c>
      <c r="J34" s="63">
        <f t="shared" si="3"/>
        <v>0</v>
      </c>
      <c r="K34" s="63">
        <f t="shared" si="4"/>
        <v>1.7876751008767116</v>
      </c>
      <c r="L34" s="63">
        <f t="shared" si="5"/>
        <v>9.8708241952135829</v>
      </c>
      <c r="M34" s="63">
        <f t="shared" si="6"/>
        <v>-3.7090865156927446</v>
      </c>
      <c r="N34" s="63">
        <f t="shared" si="7"/>
        <v>-22.519751593234172</v>
      </c>
      <c r="O34" s="17"/>
      <c r="P34" s="38">
        <f>'INSTRUCTION-2YR'!X32/'T E&amp;G 2YR'!X32*100</f>
        <v>23.3821012398836</v>
      </c>
      <c r="Q34" s="38">
        <f>('RESEARCH 2yr'!X32/'T E&amp;G 2YR'!X32)*100</f>
        <v>0</v>
      </c>
      <c r="R34" s="38">
        <f>'PUBLIC SERVICE 2yr'!X32/'T E&amp;G 2YR'!X32*100</f>
        <v>7.6261927914242023</v>
      </c>
      <c r="S34" s="38">
        <f>'ASptISptSSv 2yr'!X32/'T E&amp;G 2YR'!X32*100</f>
        <v>19.863657650088886</v>
      </c>
      <c r="T34" s="39">
        <f>'PLANT OPER MAIN 2yr'!X32/'T E&amp;G 2YR'!X32*100</f>
        <v>0</v>
      </c>
      <c r="U34" s="38">
        <f>'SCHOLAR FELLOW 2yr'!X32/'T E&amp;G 2YR'!X32*100</f>
        <v>18.095463444632671</v>
      </c>
      <c r="V34" s="37">
        <f>IF((('All Other 2yr'!X32/'T E&amp;G 2YR'!X32)*100)&gt;=0.05,('All Other 2yr'!X32/'T E&amp;G 2YR'!X32)*100,"*")</f>
        <v>31.032584873970631</v>
      </c>
      <c r="W34" s="17"/>
      <c r="X34" s="28">
        <f t="shared" si="1"/>
        <v>99.999999999999986</v>
      </c>
      <c r="Y34" s="28">
        <f t="shared" si="9"/>
        <v>100</v>
      </c>
      <c r="Z34" s="30"/>
    </row>
    <row r="35" spans="1:26" s="31" customFormat="1">
      <c r="A35" s="54" t="s">
        <v>100</v>
      </c>
      <c r="B35" s="54"/>
      <c r="C35" s="63">
        <f>('INSTRUCTION-2YR'!AC33)/('T E&amp;G 2YR'!AC33)*100</f>
        <v>35.95709168240856</v>
      </c>
      <c r="D35" s="63">
        <f>IF((('RESEARCH 2yr'!AC33/'T E&amp;G 2YR'!AC33)*100)=0,('RESEARCH 2yr'!AC33/'T E&amp;G 2YR'!AC33)*100,IF((('RESEARCH 2yr'!AC33/'T E&amp;G 2YR'!AC33)*100)&gt;=0.05,('RESEARCH 2yr'!AC33/'T E&amp;G 2YR'!AC33)*100,"*"))</f>
        <v>0.52607462230966751</v>
      </c>
      <c r="E35" s="63">
        <f>'PUBLIC SERVICE 2yr'!AC33/'T E&amp;G 2YR'!AC33*100</f>
        <v>2.0709968704166779</v>
      </c>
      <c r="F35" s="63">
        <f>'ASptISptSSv 2yr'!AC33/'T E&amp;G 2YR'!AC33*100</f>
        <v>37.060994868818703</v>
      </c>
      <c r="G35" s="63">
        <f>'SCHOLAR FELLOW 2yr'!AC33/'T E&amp;G 2YR'!AC33*100</f>
        <v>13.792218618888013</v>
      </c>
      <c r="H35" s="63">
        <f>('All Other 2yr'!AC33/'T E&amp;G 2YR'!AC33)*100</f>
        <v>10.592623337158388</v>
      </c>
      <c r="I35" s="64">
        <f t="shared" si="2"/>
        <v>6.8956448599039035</v>
      </c>
      <c r="J35" s="63">
        <f t="shared" si="3"/>
        <v>-0.49161759995950294</v>
      </c>
      <c r="K35" s="63">
        <f t="shared" si="4"/>
        <v>0.25661891415678539</v>
      </c>
      <c r="L35" s="63">
        <f t="shared" si="5"/>
        <v>0.47725926507693117</v>
      </c>
      <c r="M35" s="63">
        <f t="shared" si="6"/>
        <v>-7.6057186185914158</v>
      </c>
      <c r="N35" s="63">
        <f t="shared" si="7"/>
        <v>0.46781317941330514</v>
      </c>
      <c r="O35" s="17"/>
      <c r="P35" s="38">
        <f>'INSTRUCTION-2YR'!X33/'T E&amp;G 2YR'!X33*100</f>
        <v>29.061446822504656</v>
      </c>
      <c r="Q35" s="38">
        <f>('RESEARCH 2yr'!X33/'T E&amp;G 2YR'!X33)*100</f>
        <v>1.0176922222691704</v>
      </c>
      <c r="R35" s="38">
        <f>'PUBLIC SERVICE 2yr'!X33/'T E&amp;G 2YR'!X33*100</f>
        <v>1.8143779562598925</v>
      </c>
      <c r="S35" s="38">
        <f>'ASptISptSSv 2yr'!X33/'T E&amp;G 2YR'!X33*100</f>
        <v>36.583735603741772</v>
      </c>
      <c r="T35" s="39">
        <f>'PLANT OPER MAIN 2yr'!X33/'T E&amp;G 2YR'!X33*100</f>
        <v>0</v>
      </c>
      <c r="U35" s="38">
        <f>'SCHOLAR FELLOW 2yr'!X33/'T E&amp;G 2YR'!X33*100</f>
        <v>21.397937237479429</v>
      </c>
      <c r="V35" s="37">
        <f>IF((('All Other 2yr'!X33/'T E&amp;G 2YR'!X33)*100)&gt;=0.05,('All Other 2yr'!X33/'T E&amp;G 2YR'!X33)*100,"*")</f>
        <v>10.124810157745083</v>
      </c>
      <c r="W35" s="17"/>
      <c r="X35" s="28">
        <f t="shared" si="1"/>
        <v>100</v>
      </c>
      <c r="Y35" s="28">
        <f t="shared" si="9"/>
        <v>100.00000000000001</v>
      </c>
      <c r="Z35" s="30"/>
    </row>
    <row r="36" spans="1:26" s="31" customFormat="1">
      <c r="A36" s="54" t="s">
        <v>102</v>
      </c>
      <c r="B36" s="54"/>
      <c r="C36" s="63">
        <f>('INSTRUCTION-2YR'!AC34)/('T E&amp;G 2YR'!AC34)*100</f>
        <v>47.784104279035603</v>
      </c>
      <c r="D36" s="63" t="str">
        <f>IF((('RESEARCH 2yr'!AC34/'T E&amp;G 2YR'!AC34)*100)=0,('RESEARCH 2yr'!AC34/'T E&amp;G 2YR'!AC34)*100,IF((('RESEARCH 2yr'!AC34/'T E&amp;G 2YR'!AC34)*100)&gt;=0.05,('RESEARCH 2yr'!AC34/'T E&amp;G 2YR'!AC34)*100,"*"))</f>
        <v>*</v>
      </c>
      <c r="E36" s="63">
        <f>'PUBLIC SERVICE 2yr'!AC34/'T E&amp;G 2YR'!AC34*100</f>
        <v>0.28206123419890056</v>
      </c>
      <c r="F36" s="63">
        <f>'ASptISptSSv 2yr'!AC34/'T E&amp;G 2YR'!AC34*100</f>
        <v>28.1829279257169</v>
      </c>
      <c r="G36" s="63">
        <f>'SCHOLAR FELLOW 2yr'!AC34/'T E&amp;G 2YR'!AC34*100</f>
        <v>19.489184584710188</v>
      </c>
      <c r="H36" s="63">
        <f>('All Other 2yr'!AC34/'T E&amp;G 2YR'!AC34)*100</f>
        <v>4.2122520470523224</v>
      </c>
      <c r="I36" s="64">
        <f t="shared" si="2"/>
        <v>0.69284676224700803</v>
      </c>
      <c r="J36" s="63" t="str">
        <f t="shared" si="3"/>
        <v>*</v>
      </c>
      <c r="K36" s="63">
        <f t="shared" si="4"/>
        <v>0.14166220112713096</v>
      </c>
      <c r="L36" s="63">
        <f t="shared" si="5"/>
        <v>-7.3283905678149353E-2</v>
      </c>
      <c r="M36" s="63">
        <f t="shared" si="6"/>
        <v>-3.6421213265289403</v>
      </c>
      <c r="N36" s="63">
        <f t="shared" si="7"/>
        <v>2.8506537754911401</v>
      </c>
      <c r="O36" s="17"/>
      <c r="P36" s="38">
        <f>'INSTRUCTION-2YR'!X34/'T E&amp;G 2YR'!X34*100</f>
        <v>47.091257516788595</v>
      </c>
      <c r="Q36" s="38">
        <f>('RESEARCH 2yr'!X34/'T E&amp;G 2YR'!X34)*100</f>
        <v>1.9227435944270441E-2</v>
      </c>
      <c r="R36" s="38">
        <f>'PUBLIC SERVICE 2yr'!X34/'T E&amp;G 2YR'!X34*100</f>
        <v>0.1403990330717696</v>
      </c>
      <c r="S36" s="38">
        <f>'ASptISptSSv 2yr'!X34/'T E&amp;G 2YR'!X34*100</f>
        <v>28.256211831395049</v>
      </c>
      <c r="T36" s="39">
        <f>'PLANT OPER MAIN 2yr'!X34/'T E&amp;G 2YR'!X34*100</f>
        <v>0</v>
      </c>
      <c r="U36" s="38">
        <f>'SCHOLAR FELLOW 2yr'!X34/'T E&amp;G 2YR'!X34*100</f>
        <v>23.131305911239128</v>
      </c>
      <c r="V36" s="37">
        <f>IF((('All Other 2yr'!X34/'T E&amp;G 2YR'!X34)*100)&gt;=0.05,('All Other 2yr'!X34/'T E&amp;G 2YR'!X34)*100,"*")</f>
        <v>1.3615982715611823</v>
      </c>
      <c r="W36" s="17"/>
      <c r="X36" s="28">
        <f t="shared" si="1"/>
        <v>99.999999999999986</v>
      </c>
      <c r="Y36" s="28">
        <f t="shared" si="9"/>
        <v>99.95053007071391</v>
      </c>
      <c r="Z36" s="30"/>
    </row>
    <row r="37" spans="1:26" s="31" customFormat="1">
      <c r="A37" s="53" t="s">
        <v>105</v>
      </c>
      <c r="B37" s="53"/>
      <c r="C37" s="65">
        <f>('INSTRUCTION-2YR'!AC35)/('T E&amp;G 2YR'!AC35)*100</f>
        <v>39.988016750892456</v>
      </c>
      <c r="D37" s="65" t="str">
        <f>IF((('RESEARCH 2yr'!AC35/'T E&amp;G 2YR'!AC35)*100)=0,('RESEARCH 2yr'!AC35/'T E&amp;G 2YR'!AC35)*100,IF((('RESEARCH 2yr'!AC35/'T E&amp;G 2YR'!AC35)*100)&gt;=0.05,('RESEARCH 2yr'!AC35/'T E&amp;G 2YR'!AC35)*100,"*"))</f>
        <v>*</v>
      </c>
      <c r="E37" s="65">
        <f>'PUBLIC SERVICE 2yr'!AC35/'T E&amp;G 2YR'!AC35*100</f>
        <v>4.107066817833525</v>
      </c>
      <c r="F37" s="65">
        <f>'ASptISptSSv 2yr'!AC35/'T E&amp;G 2YR'!AC35*100</f>
        <v>33.518497249002891</v>
      </c>
      <c r="G37" s="65">
        <f>'SCHOLAR FELLOW 2yr'!AC35/'T E&amp;G 2YR'!AC35*100</f>
        <v>16.502396652826469</v>
      </c>
      <c r="H37" s="65">
        <f>('All Other 2yr'!AC35/'T E&amp;G 2YR'!AC35)*100</f>
        <v>5.8464065046070077</v>
      </c>
      <c r="I37" s="66">
        <f t="shared" si="2"/>
        <v>2.1092383529707561</v>
      </c>
      <c r="J37" s="65">
        <f t="shared" si="3"/>
        <v>-9.5548791602384803E-2</v>
      </c>
      <c r="K37" s="65" t="str">
        <f t="shared" si="4"/>
        <v>*</v>
      </c>
      <c r="L37" s="65">
        <f t="shared" si="5"/>
        <v>4.8869049856004452</v>
      </c>
      <c r="M37" s="65">
        <f t="shared" si="6"/>
        <v>-7.7311781695410247</v>
      </c>
      <c r="N37" s="65">
        <f t="shared" si="7"/>
        <v>0.74813506688872433</v>
      </c>
      <c r="O37" s="17"/>
      <c r="P37" s="38">
        <f>'INSTRUCTION-2YR'!X35/'T E&amp;G 2YR'!X35*100</f>
        <v>37.8787783979217</v>
      </c>
      <c r="Q37" s="38">
        <f>('RESEARCH 2yr'!X35/'T E&amp;G 2YR'!X35)*100</f>
        <v>9.5548791602384803E-2</v>
      </c>
      <c r="R37" s="38">
        <f>'PUBLIC SERVICE 2yr'!X35/'T E&amp;G 2YR'!X35*100</f>
        <v>4.0622342869877022</v>
      </c>
      <c r="S37" s="38">
        <f>'ASptISptSSv 2yr'!X35/'T E&amp;G 2YR'!X35*100</f>
        <v>28.631592263402446</v>
      </c>
      <c r="T37" s="39">
        <f>'PLANT OPER MAIN 2yr'!X35/'T E&amp;G 2YR'!X35*100</f>
        <v>0</v>
      </c>
      <c r="U37" s="38">
        <f>'SCHOLAR FELLOW 2yr'!X35/'T E&amp;G 2YR'!X35*100</f>
        <v>24.233574822367494</v>
      </c>
      <c r="V37" s="37">
        <f>IF((('All Other 2yr'!X35/'T E&amp;G 2YR'!X35)*100)&gt;=0.05,('All Other 2yr'!X35/'T E&amp;G 2YR'!X35)*100,"*")</f>
        <v>5.0982714377182834</v>
      </c>
      <c r="W37" s="17"/>
      <c r="X37" s="28">
        <f t="shared" si="1"/>
        <v>100.00000000000001</v>
      </c>
      <c r="Y37" s="28">
        <f t="shared" si="9"/>
        <v>99.962383975162354</v>
      </c>
      <c r="Z37" s="30"/>
    </row>
    <row r="38" spans="1:26" s="31" customFormat="1">
      <c r="A38" s="53" t="s">
        <v>109</v>
      </c>
      <c r="B38" s="53"/>
      <c r="C38" s="65">
        <f>('INSTRUCTION-2YR'!AC36)/('T E&amp;G 2YR'!AC36)*100</f>
        <v>39.765306132966856</v>
      </c>
      <c r="D38" s="65">
        <f>IF((('RESEARCH 2yr'!AC36/'T E&amp;G 2YR'!AC36)*100)=0,('RESEARCH 2yr'!AC36/'T E&amp;G 2YR'!AC36)*100,IF((('RESEARCH 2yr'!AC36/'T E&amp;G 2YR'!AC36)*100)&gt;=0.05,('RESEARCH 2yr'!AC36/'T E&amp;G 2YR'!AC36)*100,"*"))</f>
        <v>0.25951498451896288</v>
      </c>
      <c r="E38" s="65">
        <f>'PUBLIC SERVICE 2yr'!AC36/'T E&amp;G 2YR'!AC36*100</f>
        <v>2.7483091875695118</v>
      </c>
      <c r="F38" s="65">
        <f>'ASptISptSSv 2yr'!AC36/'T E&amp;G 2YR'!AC36*100</f>
        <v>33.519190233597335</v>
      </c>
      <c r="G38" s="65">
        <f>'SCHOLAR FELLOW 2yr'!AC36/'T E&amp;G 2YR'!AC36*100</f>
        <v>16.309460482898796</v>
      </c>
      <c r="H38" s="65">
        <f>('All Other 2yr'!AC36/'T E&amp;G 2YR'!AC36)*100</f>
        <v>7.3982189784485302</v>
      </c>
      <c r="I38" s="66">
        <f t="shared" si="2"/>
        <v>-0.55206459847251921</v>
      </c>
      <c r="J38" s="65">
        <f t="shared" si="3"/>
        <v>0.18687377631612936</v>
      </c>
      <c r="K38" s="65">
        <f t="shared" si="4"/>
        <v>0.1686565537696616</v>
      </c>
      <c r="L38" s="65">
        <f t="shared" si="5"/>
        <v>3.2615948200860281</v>
      </c>
      <c r="M38" s="65">
        <f t="shared" si="6"/>
        <v>-5.929982586502863</v>
      </c>
      <c r="N38" s="65">
        <f t="shared" si="7"/>
        <v>2.8649220348035618</v>
      </c>
      <c r="O38" s="17"/>
      <c r="P38" s="38">
        <f>'INSTRUCTION-2YR'!X36/'T E&amp;G 2YR'!X36*100</f>
        <v>40.317370731439375</v>
      </c>
      <c r="Q38" s="38">
        <f>('RESEARCH 2yr'!X36/'T E&amp;G 2YR'!X36)*100</f>
        <v>7.2641208202833513E-2</v>
      </c>
      <c r="R38" s="38">
        <f>'PUBLIC SERVICE 2yr'!X36/'T E&amp;G 2YR'!X36*100</f>
        <v>2.5796526337998502</v>
      </c>
      <c r="S38" s="38">
        <f>'ASptISptSSv 2yr'!X36/'T E&amp;G 2YR'!X36*100</f>
        <v>30.257595413511307</v>
      </c>
      <c r="T38" s="39">
        <f>'PLANT OPER MAIN 2yr'!X36/'T E&amp;G 2YR'!X36*100</f>
        <v>0</v>
      </c>
      <c r="U38" s="38">
        <f>'SCHOLAR FELLOW 2yr'!X36/'T E&amp;G 2YR'!X36*100</f>
        <v>22.239443069401659</v>
      </c>
      <c r="V38" s="37">
        <f>IF((('All Other 2yr'!X36/'T E&amp;G 2YR'!X36)*100)&gt;=0.05,('All Other 2yr'!X36/'T E&amp;G 2YR'!X36)*100,"*")</f>
        <v>4.5332969436449684</v>
      </c>
      <c r="W38" s="17"/>
      <c r="X38" s="28">
        <f t="shared" si="1"/>
        <v>100</v>
      </c>
      <c r="Y38" s="28">
        <f t="shared" si="9"/>
        <v>99.999999999999986</v>
      </c>
      <c r="Z38" s="30"/>
    </row>
    <row r="39" spans="1:26" s="31" customFormat="1">
      <c r="A39" s="53" t="s">
        <v>113</v>
      </c>
      <c r="B39" s="53"/>
      <c r="C39" s="65">
        <f>('INSTRUCTION-2YR'!AC37)/('T E&amp;G 2YR'!AC37)*100</f>
        <v>44.747253713959225</v>
      </c>
      <c r="D39" s="65" t="str">
        <f>IF((('RESEARCH 2yr'!AC37/'T E&amp;G 2YR'!AC37)*100)=0,('RESEARCH 2yr'!AC37/'T E&amp;G 2YR'!AC37)*100,IF((('RESEARCH 2yr'!AC37/'T E&amp;G 2YR'!AC37)*100)&gt;=0.05,('RESEARCH 2yr'!AC37/'T E&amp;G 2YR'!AC37)*100,"*"))</f>
        <v>*</v>
      </c>
      <c r="E39" s="65">
        <f>'PUBLIC SERVICE 2yr'!AC37/'T E&amp;G 2YR'!AC37*100</f>
        <v>0.88705014887288169</v>
      </c>
      <c r="F39" s="65">
        <f>'ASptISptSSv 2yr'!AC37/'T E&amp;G 2YR'!AC37*100</f>
        <v>38.760716651508574</v>
      </c>
      <c r="G39" s="65">
        <f>'SCHOLAR FELLOW 2yr'!AC37/'T E&amp;G 2YR'!AC37*100</f>
        <v>15.586464698288685</v>
      </c>
      <c r="H39" s="65">
        <f>('All Other 2yr'!AC37/'T E&amp;G 2YR'!AC37)*100</f>
        <v>0</v>
      </c>
      <c r="I39" s="66">
        <f t="shared" si="2"/>
        <v>-0.55646841099189714</v>
      </c>
      <c r="J39" s="65" t="str">
        <f t="shared" si="3"/>
        <v>*</v>
      </c>
      <c r="K39" s="65">
        <f t="shared" si="4"/>
        <v>-0.35453704583513868</v>
      </c>
      <c r="L39" s="65">
        <f t="shared" si="5"/>
        <v>7.8658010828063532</v>
      </c>
      <c r="M39" s="65">
        <f t="shared" si="6"/>
        <v>-6.9467625091633582</v>
      </c>
      <c r="N39" s="65">
        <f t="shared" si="7"/>
        <v>0</v>
      </c>
      <c r="O39" s="17"/>
      <c r="P39" s="38">
        <f>'INSTRUCTION-2YR'!X37/'T E&amp;G 2YR'!X37*100</f>
        <v>45.303722124951122</v>
      </c>
      <c r="Q39" s="38">
        <f>('RESEARCH 2yr'!X37/'T E&amp;G 2YR'!X37)*100</f>
        <v>1.4089031633158782E-3</v>
      </c>
      <c r="R39" s="38">
        <f>'PUBLIC SERVICE 2yr'!X37/'T E&amp;G 2YR'!X37*100</f>
        <v>1.2415871947080204</v>
      </c>
      <c r="S39" s="38">
        <f>'ASptISptSSv 2yr'!X37/'T E&amp;G 2YR'!X37*100</f>
        <v>30.894915568702221</v>
      </c>
      <c r="T39" s="39">
        <f>'PLANT OPER MAIN 2yr'!X37/'T E&amp;G 2YR'!X37*100</f>
        <v>0</v>
      </c>
      <c r="U39" s="38">
        <f>'SCHOLAR FELLOW 2yr'!X37/'T E&amp;G 2YR'!X37*100</f>
        <v>22.533227207452043</v>
      </c>
      <c r="V39" s="37" t="str">
        <f>IF((('All Other 2yr'!X37/'T E&amp;G 2YR'!X37)*100)&gt;=0.05,('All Other 2yr'!X37/'T E&amp;G 2YR'!X37)*100,"*")</f>
        <v>*</v>
      </c>
      <c r="W39" s="17"/>
      <c r="X39" s="28">
        <f t="shared" si="1"/>
        <v>99.974860998976723</v>
      </c>
      <c r="Y39" s="28">
        <f t="shared" si="9"/>
        <v>99.981485212629352</v>
      </c>
      <c r="Z39" s="30"/>
    </row>
    <row r="40" spans="1:26" s="31" customFormat="1">
      <c r="A40" s="53" t="s">
        <v>115</v>
      </c>
      <c r="B40" s="53"/>
      <c r="C40" s="65">
        <f>('INSTRUCTION-2YR'!AC38)/('T E&amp;G 2YR'!AC38)*100</f>
        <v>41.004477943659147</v>
      </c>
      <c r="D40" s="65">
        <f>IF((('RESEARCH 2yr'!AC38/'T E&amp;G 2YR'!AC38)*100)=0,('RESEARCH 2yr'!AC38/'T E&amp;G 2YR'!AC38)*100,IF((('RESEARCH 2yr'!AC38/'T E&amp;G 2YR'!AC38)*100)&gt;=0.05,('RESEARCH 2yr'!AC38/'T E&amp;G 2YR'!AC38)*100,"*"))</f>
        <v>0</v>
      </c>
      <c r="E40" s="65">
        <f>'PUBLIC SERVICE 2yr'!AC38/'T E&amp;G 2YR'!AC38*100</f>
        <v>0</v>
      </c>
      <c r="F40" s="65">
        <f>'ASptISptSSv 2yr'!AC38/'T E&amp;G 2YR'!AC38*100</f>
        <v>35.005787180968575</v>
      </c>
      <c r="G40" s="65">
        <f>'SCHOLAR FELLOW 2yr'!AC38/'T E&amp;G 2YR'!AC38*100</f>
        <v>18.356803110761952</v>
      </c>
      <c r="H40" s="65">
        <f>('All Other 2yr'!AC38/'T E&amp;G 2YR'!AC38)*100</f>
        <v>5.6329317646103281</v>
      </c>
      <c r="I40" s="66">
        <f t="shared" si="2"/>
        <v>-5.7153422420639757</v>
      </c>
      <c r="J40" s="65">
        <f t="shared" si="3"/>
        <v>0</v>
      </c>
      <c r="K40" s="65">
        <f t="shared" si="4"/>
        <v>0</v>
      </c>
      <c r="L40" s="65">
        <f t="shared" si="5"/>
        <v>9.0745856640876177</v>
      </c>
      <c r="M40" s="65">
        <f t="shared" si="6"/>
        <v>-5.6793409317585457</v>
      </c>
      <c r="N40" s="65">
        <f t="shared" si="7"/>
        <v>2.3200975097348975</v>
      </c>
      <c r="O40" s="17"/>
      <c r="P40" s="38">
        <f>'INSTRUCTION-2YR'!X38/'T E&amp;G 2YR'!X38*100</f>
        <v>46.719820185723123</v>
      </c>
      <c r="Q40" s="38">
        <f>('RESEARCH 2yr'!X38/'T E&amp;G 2YR'!X38)*100</f>
        <v>0</v>
      </c>
      <c r="R40" s="38">
        <f>'PUBLIC SERVICE 2yr'!X38/'T E&amp;G 2YR'!X38*100</f>
        <v>0</v>
      </c>
      <c r="S40" s="38">
        <f>'ASptISptSSv 2yr'!X38/'T E&amp;G 2YR'!X38*100</f>
        <v>25.931201516880957</v>
      </c>
      <c r="T40" s="39">
        <f>'PLANT OPER MAIN 2yr'!X38/'T E&amp;G 2YR'!X38*100</f>
        <v>0</v>
      </c>
      <c r="U40" s="38">
        <f>'SCHOLAR FELLOW 2yr'!X38/'T E&amp;G 2YR'!X38*100</f>
        <v>24.036144042520498</v>
      </c>
      <c r="V40" s="37">
        <f>IF((('All Other 2yr'!X38/'T E&amp;G 2YR'!X38)*100)&gt;=0.05,('All Other 2yr'!X38/'T E&amp;G 2YR'!X38)*100,"*")</f>
        <v>3.3128342548754306</v>
      </c>
      <c r="W40" s="17"/>
      <c r="X40" s="28">
        <f t="shared" si="1"/>
        <v>100.00000000000001</v>
      </c>
      <c r="Y40" s="28">
        <f t="shared" si="9"/>
        <v>100</v>
      </c>
      <c r="Z40" s="30"/>
    </row>
    <row r="41" spans="1:26" s="31" customFormat="1">
      <c r="A41" s="56" t="s">
        <v>117</v>
      </c>
      <c r="B41" s="56"/>
      <c r="C41" s="67">
        <f>('INSTRUCTION-2YR'!AC39)/('T E&amp;G 2YR'!AC39)*100</f>
        <v>34.313390142179614</v>
      </c>
      <c r="D41" s="67">
        <f>IF((('RESEARCH 2yr'!AC39/'T E&amp;G 2YR'!AC39)*100)=0,('RESEARCH 2yr'!AC39/'T E&amp;G 2YR'!AC39)*100,IF((('RESEARCH 2yr'!AC39/'T E&amp;G 2YR'!AC39)*100)&gt;=0.05,('RESEARCH 2yr'!AC39/'T E&amp;G 2YR'!AC39)*100,"*"))</f>
        <v>0.16127045977521437</v>
      </c>
      <c r="E41" s="67">
        <f>'PUBLIC SERVICE 2yr'!AC39/'T E&amp;G 2YR'!AC39*100</f>
        <v>0.96532684600438745</v>
      </c>
      <c r="F41" s="67">
        <f>'ASptISptSSv 2yr'!AC39/'T E&amp;G 2YR'!AC39*100</f>
        <v>35.544543549949601</v>
      </c>
      <c r="G41" s="67">
        <f>'SCHOLAR FELLOW 2yr'!AC39/'T E&amp;G 2YR'!AC39*100</f>
        <v>13.515991456818167</v>
      </c>
      <c r="H41" s="99">
        <f>('All Other 2yr'!AC39/'T E&amp;G 2YR'!AC39)*100</f>
        <v>15.499477545273024</v>
      </c>
      <c r="I41" s="68">
        <f t="shared" si="2"/>
        <v>-6.0691439885663456</v>
      </c>
      <c r="J41" s="67">
        <f t="shared" si="3"/>
        <v>0.14250537184630449</v>
      </c>
      <c r="K41" s="67">
        <f t="shared" si="4"/>
        <v>0.12522794778162072</v>
      </c>
      <c r="L41" s="67">
        <f t="shared" si="5"/>
        <v>0.61156879344073189</v>
      </c>
      <c r="M41" s="67">
        <f t="shared" si="6"/>
        <v>-1.2690031256936312</v>
      </c>
      <c r="N41" s="67">
        <f t="shared" si="7"/>
        <v>6.4588450011913228</v>
      </c>
      <c r="O41" s="17"/>
      <c r="P41" s="38">
        <f>'INSTRUCTION-2YR'!X39/'T E&amp;G 2YR'!X39*100</f>
        <v>40.38253413074596</v>
      </c>
      <c r="Q41" s="38">
        <f>('RESEARCH 2yr'!X39/'T E&amp;G 2YR'!X39)*100</f>
        <v>1.8765087928909872E-2</v>
      </c>
      <c r="R41" s="38">
        <f>'PUBLIC SERVICE 2yr'!X39/'T E&amp;G 2YR'!X39*100</f>
        <v>0.84009889822276673</v>
      </c>
      <c r="S41" s="38">
        <f>'ASptISptSSv 2yr'!X39/'T E&amp;G 2YR'!X39*100</f>
        <v>34.93297475650887</v>
      </c>
      <c r="T41" s="39">
        <f>'PLANT OPER MAIN 2yr'!X39/'T E&amp;G 2YR'!X39*100</f>
        <v>0</v>
      </c>
      <c r="U41" s="38">
        <f>'SCHOLAR FELLOW 2yr'!X39/'T E&amp;G 2YR'!X39*100</f>
        <v>14.784994582511798</v>
      </c>
      <c r="V41" s="37">
        <f>IF((('All Other 2yr'!X39/'T E&amp;G 2YR'!X39)*100)&gt;=0.05,('All Other 2yr'!X39/'T E&amp;G 2YR'!X39)*100,"*")</f>
        <v>9.040632544081701</v>
      </c>
      <c r="W41" s="17"/>
      <c r="X41" s="28">
        <f t="shared" si="1"/>
        <v>100.00000000000001</v>
      </c>
      <c r="Y41" s="28">
        <f t="shared" si="9"/>
        <v>100.00000000000001</v>
      </c>
      <c r="Z41" s="30"/>
    </row>
    <row r="42" spans="1:26" s="31" customFormat="1">
      <c r="A42" s="54" t="s">
        <v>121</v>
      </c>
      <c r="B42" s="54"/>
      <c r="C42" s="63">
        <f>('INSTRUCTION-2YR'!AC40)/('T E&amp;G 2YR'!AC40)*100</f>
        <v>42.646918820204341</v>
      </c>
      <c r="D42" s="63" t="str">
        <f>IF((('RESEARCH 2yr'!AC40/'T E&amp;G 2YR'!AC40)*100)=0,('RESEARCH 2yr'!AC40/'T E&amp;G 2YR'!AC40)*100,IF((('RESEARCH 2yr'!AC40/'T E&amp;G 2YR'!AC40)*100)&gt;=0.05,('RESEARCH 2yr'!AC40/'T E&amp;G 2YR'!AC40)*100,"*"))</f>
        <v>*</v>
      </c>
      <c r="E42" s="63">
        <f>'PUBLIC SERVICE 2yr'!AC40/'T E&amp;G 2YR'!AC40*100</f>
        <v>2.0240608059464202</v>
      </c>
      <c r="F42" s="63">
        <f>'ASptISptSSv 2yr'!AC40/'T E&amp;G 2YR'!AC40*100</f>
        <v>34.77970111234783</v>
      </c>
      <c r="G42" s="63">
        <f>'SCHOLAR FELLOW 2yr'!AC40/'T E&amp;G 2YR'!AC40*100</f>
        <v>15.163873029699568</v>
      </c>
      <c r="H42" s="63">
        <f>('All Other 2yr'!AC40/'T E&amp;G 2YR'!AC40)*100</f>
        <v>5.3486788072157783</v>
      </c>
      <c r="I42" s="64">
        <f t="shared" si="2"/>
        <v>1.5288522023091389</v>
      </c>
      <c r="J42" s="63" t="str">
        <f t="shared" si="3"/>
        <v>*</v>
      </c>
      <c r="K42" s="63">
        <f t="shared" si="4"/>
        <v>-0.2048514349444992</v>
      </c>
      <c r="L42" s="63">
        <f t="shared" si="5"/>
        <v>3.0695211854698456</v>
      </c>
      <c r="M42" s="63">
        <f t="shared" si="6"/>
        <v>-7.2736792261973786</v>
      </c>
      <c r="N42" s="63">
        <f t="shared" si="7"/>
        <v>2.8905738291850218</v>
      </c>
      <c r="O42" s="17"/>
      <c r="P42" s="38">
        <f>'INSTRUCTION-2YR'!X40/'T E&amp;G 2YR'!X40*100</f>
        <v>41.118066617895202</v>
      </c>
      <c r="Q42" s="38">
        <f>('RESEARCH 2yr'!X40/'T E&amp;G 2YR'!X40)*100</f>
        <v>4.7183980408184181E-2</v>
      </c>
      <c r="R42" s="38">
        <f>'PUBLIC SERVICE 2yr'!X40/'T E&amp;G 2YR'!X40*100</f>
        <v>2.2289122408909194</v>
      </c>
      <c r="S42" s="38">
        <f>'ASptISptSSv 2yr'!X40/'T E&amp;G 2YR'!X40*100</f>
        <v>31.710179926877984</v>
      </c>
      <c r="T42" s="39">
        <f>'PLANT OPER MAIN 2yr'!X40/'T E&amp;G 2YR'!X40*100</f>
        <v>0</v>
      </c>
      <c r="U42" s="38">
        <f>'SCHOLAR FELLOW 2yr'!X40/'T E&amp;G 2YR'!X40*100</f>
        <v>22.437552255896946</v>
      </c>
      <c r="V42" s="37">
        <f>IF((('All Other 2yr'!X40/'T E&amp;G 2YR'!X40)*100)&gt;=0.05,('All Other 2yr'!X40/'T E&amp;G 2YR'!X40)*100,"*")</f>
        <v>2.4581049780307564</v>
      </c>
      <c r="W42" s="17"/>
      <c r="X42" s="28">
        <f t="shared" si="1"/>
        <v>100</v>
      </c>
      <c r="Y42" s="28">
        <f t="shared" si="9"/>
        <v>99.96323257541394</v>
      </c>
      <c r="Z42" s="30"/>
    </row>
    <row r="43" spans="1:26" s="31" customFormat="1">
      <c r="A43" s="54"/>
      <c r="B43" s="54"/>
      <c r="C43" s="63"/>
      <c r="D43" s="63"/>
      <c r="E43" s="63"/>
      <c r="F43" s="63"/>
      <c r="G43" s="63"/>
      <c r="H43" s="63"/>
      <c r="I43" s="64">
        <f t="shared" ref="I43:I66" si="10">IF((C43-P43)=0,(C43-P43),IF((C43-P43)&gt;=0.05,(C43-P43),IF((C43-P43&lt;=-0.05),(C43-P43),"*")))</f>
        <v>0</v>
      </c>
      <c r="J43" s="63">
        <f t="shared" ref="J43:J66" si="11">IF((D43-Q43)=0,(D43-Q43),IF((D43-Q43)&gt;=0.05,(D43-Q43),IF((D43-Q43&lt;=-0.05),(D43-Q43),"*")))</f>
        <v>0</v>
      </c>
      <c r="K43" s="63">
        <f t="shared" ref="K43:K66" si="12">IF((E43-R43)=0,(E43-R43),IF((E43-R43)&gt;=0.05,(E43-R43),IF((E43-R43&lt;=-0.05),(E43-R43),"*")))</f>
        <v>0</v>
      </c>
      <c r="L43" s="63">
        <f t="shared" ref="L43:L66" si="13">IF((F43-S43)=0,(F43-S43),IF((F43-S43)&gt;=0.05,(F43-S43),IF((F43-S43&lt;=-0.05),(F43-S43),"*")))</f>
        <v>0</v>
      </c>
      <c r="M43" s="63">
        <f t="shared" ref="M43:M66" si="14">IF((G43-U43)=0,(G43-U43),IF((G43-U43)&gt;=0.05,(G43-U43),IF((G43-U43&lt;=-0.05),(G43-U43),"*")))</f>
        <v>0</v>
      </c>
      <c r="N43" s="63">
        <f t="shared" ref="N43:N66" si="15">IF((H43-V43)=0,(H43-V43),IF((H43-V43)&gt;=0.05,(H43-V43),IF((H43-V43&lt;=-0.05),(H43-V43),"*")))</f>
        <v>0</v>
      </c>
      <c r="O43" s="17"/>
      <c r="P43" s="38"/>
      <c r="Q43" s="38"/>
      <c r="R43" s="38"/>
      <c r="S43" s="38"/>
      <c r="T43" s="39"/>
      <c r="U43" s="38"/>
      <c r="V43" s="37"/>
      <c r="W43" s="17"/>
      <c r="X43" s="28"/>
      <c r="Y43" s="28"/>
      <c r="Z43" s="30"/>
    </row>
    <row r="44" spans="1:26" s="31" customFormat="1">
      <c r="A44" s="53" t="s">
        <v>93</v>
      </c>
      <c r="B44" s="53"/>
      <c r="C44" s="65">
        <f>('INSTRUCTION-2YR'!AC42)/('T E&amp;G 2YR'!AC42)*100</f>
        <v>39.046741394761561</v>
      </c>
      <c r="D44" s="65" t="str">
        <f>IF((('RESEARCH 2yr'!AC42/'T E&amp;G 2YR'!AC42)*100)=0,('RESEARCH 2yr'!AC42/'T E&amp;G 2YR'!AC42)*100,IF((('RESEARCH 2yr'!AC42/'T E&amp;G 2YR'!AC42)*100)&gt;=0.05,('RESEARCH 2yr'!AC42/'T E&amp;G 2YR'!AC42)*100,"*"))</f>
        <v>*</v>
      </c>
      <c r="E44" s="65">
        <f>'PUBLIC SERVICE 2yr'!AC42/'T E&amp;G 2YR'!AC42*100</f>
        <v>3.0204211116540258</v>
      </c>
      <c r="F44" s="65">
        <f>'ASptISptSSv 2yr'!AC42/'T E&amp;G 2YR'!AC42*100</f>
        <v>35.679565558302535</v>
      </c>
      <c r="G44" s="65">
        <f>'SCHOLAR FELLOW 2yr'!AC42/'T E&amp;G 2YR'!AC42*100</f>
        <v>13.489409139820379</v>
      </c>
      <c r="H44" s="65">
        <f>('All Other 2yr'!AC42/'T E&amp;G 2YR'!AC42)*100</f>
        <v>8.7579090097015762</v>
      </c>
      <c r="I44" s="66">
        <f t="shared" si="10"/>
        <v>1.3812074610539113</v>
      </c>
      <c r="J44" s="65" t="str">
        <f t="shared" si="11"/>
        <v>*</v>
      </c>
      <c r="K44" s="65">
        <f t="shared" si="12"/>
        <v>-0.73853249294678358</v>
      </c>
      <c r="L44" s="65">
        <f t="shared" si="13"/>
        <v>1.5363390469476244</v>
      </c>
      <c r="M44" s="65">
        <f t="shared" si="14"/>
        <v>-7.3658790657606072</v>
      </c>
      <c r="N44" s="65">
        <f t="shared" si="15"/>
        <v>5.1963300280916158</v>
      </c>
      <c r="O44" s="17"/>
      <c r="P44" s="38">
        <f>'INSTRUCTION-2YR'!X42/'T E&amp;G 2YR'!X42*100</f>
        <v>37.66553393370765</v>
      </c>
      <c r="Q44" s="38">
        <f>('RESEARCH 2yr'!X42/'T E&amp;G 2YR'!X42)*100</f>
        <v>1.5418763145678353E-2</v>
      </c>
      <c r="R44" s="38">
        <f>'PUBLIC SERVICE 2yr'!X42/'T E&amp;G 2YR'!X42*100</f>
        <v>3.7589536046008094</v>
      </c>
      <c r="S44" s="38">
        <f>'ASptISptSSv 2yr'!X42/'T E&amp;G 2YR'!X42*100</f>
        <v>34.143226511354911</v>
      </c>
      <c r="T44" s="39">
        <f>'PLANT OPER MAIN 2yr'!X42/'T E&amp;G 2YR'!X42*100</f>
        <v>0</v>
      </c>
      <c r="U44" s="38">
        <f>'SCHOLAR FELLOW 2yr'!X42/'T E&amp;G 2YR'!X42*100</f>
        <v>20.855288205580987</v>
      </c>
      <c r="V44" s="37">
        <f>IF((('All Other 2yr'!X42/'T E&amp;G 2YR'!X42)*100)&gt;=0.05,('All Other 2yr'!X42/'T E&amp;G 2YR'!X42)*100,"*")</f>
        <v>3.5615789816099599</v>
      </c>
      <c r="W44" s="17"/>
      <c r="X44" s="28">
        <f t="shared" si="1"/>
        <v>100</v>
      </c>
      <c r="Y44" s="28">
        <f t="shared" ref="Y44:Y56" si="16">SUM(C44:H44)</f>
        <v>99.994046214240086</v>
      </c>
      <c r="Z44" s="30"/>
    </row>
    <row r="45" spans="1:26" s="31" customFormat="1">
      <c r="A45" s="53" t="s">
        <v>58</v>
      </c>
      <c r="B45" s="53"/>
      <c r="C45" s="65">
        <f>('INSTRUCTION-2YR'!AC43)/('T E&amp;G 2YR'!AC43)*100</f>
        <v>38.743342613017056</v>
      </c>
      <c r="D45" s="65">
        <f>IF((('RESEARCH 2yr'!AC43/'T E&amp;G 2YR'!AC43)*100)=0,('RESEARCH 2yr'!AC43/'T E&amp;G 2YR'!AC43)*100,IF((('RESEARCH 2yr'!AC43/'T E&amp;G 2YR'!AC43)*100)&gt;=0.05,('RESEARCH 2yr'!AC43/'T E&amp;G 2YR'!AC43)*100,"*"))</f>
        <v>0</v>
      </c>
      <c r="E45" s="65">
        <f>'PUBLIC SERVICE 2yr'!AC43/'T E&amp;G 2YR'!AC43*100</f>
        <v>0.17427957425421775</v>
      </c>
      <c r="F45" s="65">
        <f>'ASptISptSSv 2yr'!AC43/'T E&amp;G 2YR'!AC43*100</f>
        <v>36.211052337798847</v>
      </c>
      <c r="G45" s="65">
        <f>'SCHOLAR FELLOW 2yr'!AC43/'T E&amp;G 2YR'!AC43*100</f>
        <v>24.553576372942207</v>
      </c>
      <c r="H45" s="65">
        <f>('All Other 2yr'!AC43/'T E&amp;G 2YR'!AC43)*100</f>
        <v>0.31774910198768358</v>
      </c>
      <c r="I45" s="66">
        <f t="shared" si="10"/>
        <v>4.4646089926124475</v>
      </c>
      <c r="J45" s="65">
        <f t="shared" si="11"/>
        <v>0</v>
      </c>
      <c r="K45" s="65">
        <f t="shared" si="12"/>
        <v>-0.24043539750644105</v>
      </c>
      <c r="L45" s="65">
        <f t="shared" si="13"/>
        <v>8.0846804561424612</v>
      </c>
      <c r="M45" s="65">
        <f t="shared" si="14"/>
        <v>-12.48532970497072</v>
      </c>
      <c r="N45" s="65">
        <f t="shared" si="15"/>
        <v>0.17647565372224522</v>
      </c>
      <c r="O45" s="17"/>
      <c r="P45" s="38">
        <f>'INSTRUCTION-2YR'!X43/'T E&amp;G 2YR'!X43*100</f>
        <v>34.278733620404608</v>
      </c>
      <c r="Q45" s="38">
        <f>('RESEARCH 2yr'!X43/'T E&amp;G 2YR'!X43)*100</f>
        <v>0</v>
      </c>
      <c r="R45" s="38">
        <f>'PUBLIC SERVICE 2yr'!X43/'T E&amp;G 2YR'!X43*100</f>
        <v>0.4147149717606588</v>
      </c>
      <c r="S45" s="38">
        <f>'ASptISptSSv 2yr'!X43/'T E&amp;G 2YR'!X43*100</f>
        <v>28.126371881656386</v>
      </c>
      <c r="T45" s="39">
        <f>'PLANT OPER MAIN 2yr'!X43/'T E&amp;G 2YR'!X43*100</f>
        <v>0</v>
      </c>
      <c r="U45" s="38">
        <f>'SCHOLAR FELLOW 2yr'!X43/'T E&amp;G 2YR'!X43*100</f>
        <v>37.038906077912927</v>
      </c>
      <c r="V45" s="37">
        <f>IF((('All Other 2yr'!X43/'T E&amp;G 2YR'!X43)*100)&gt;=0.05,('All Other 2yr'!X43/'T E&amp;G 2YR'!X43)*100,"*")</f>
        <v>0.14127344826543836</v>
      </c>
      <c r="W45" s="17"/>
      <c r="X45" s="28">
        <f t="shared" si="1"/>
        <v>100.00000000000001</v>
      </c>
      <c r="Y45" s="28">
        <f t="shared" si="16"/>
        <v>100.00000000000001</v>
      </c>
      <c r="Z45" s="30"/>
    </row>
    <row r="46" spans="1:26" s="31" customFormat="1">
      <c r="A46" s="53" t="s">
        <v>94</v>
      </c>
      <c r="B46" s="53"/>
      <c r="C46" s="65">
        <f>('INSTRUCTION-2YR'!AC44)/('T E&amp;G 2YR'!AC44)*100</f>
        <v>43.818889528170921</v>
      </c>
      <c r="D46" s="65" t="str">
        <f>IF((('RESEARCH 2yr'!AC44/'T E&amp;G 2YR'!AC44)*100)=0,('RESEARCH 2yr'!AC44/'T E&amp;G 2YR'!AC44)*100,IF((('RESEARCH 2yr'!AC44/'T E&amp;G 2YR'!AC44)*100)&gt;=0.05,('RESEARCH 2yr'!AC44/'T E&amp;G 2YR'!AC44)*100,"*"))</f>
        <v>*</v>
      </c>
      <c r="E46" s="65">
        <f>'PUBLIC SERVICE 2yr'!AC44/'T E&amp;G 2YR'!AC44*100</f>
        <v>2.3160133952379072</v>
      </c>
      <c r="F46" s="65">
        <f>'ASptISptSSv 2yr'!AC44/'T E&amp;G 2YR'!AC44*100</f>
        <v>34.832769754934084</v>
      </c>
      <c r="G46" s="65">
        <f>'SCHOLAR FELLOW 2yr'!AC44/'T E&amp;G 2YR'!AC44*100</f>
        <v>13.822645512689277</v>
      </c>
      <c r="H46" s="65">
        <f>('All Other 2yr'!AC44/'T E&amp;G 2YR'!AC44)*100</f>
        <v>5.1877350327968514</v>
      </c>
      <c r="I46" s="66">
        <f t="shared" si="10"/>
        <v>0.98243455532886514</v>
      </c>
      <c r="J46" s="65" t="str">
        <f t="shared" si="11"/>
        <v>*</v>
      </c>
      <c r="K46" s="65">
        <f t="shared" si="12"/>
        <v>-1.1022725735984036</v>
      </c>
      <c r="L46" s="65">
        <f t="shared" si="13"/>
        <v>6.1248139213143489</v>
      </c>
      <c r="M46" s="65">
        <f t="shared" si="14"/>
        <v>-5.9393744955321743</v>
      </c>
      <c r="N46" s="65">
        <f t="shared" si="15"/>
        <v>-7.0721076386417892E-2</v>
      </c>
      <c r="O46" s="17"/>
      <c r="P46" s="38">
        <f>'INSTRUCTION-2YR'!X44/'T E&amp;G 2YR'!X44*100</f>
        <v>42.836454972842056</v>
      </c>
      <c r="Q46" s="38">
        <f>('RESEARCH 2yr'!X44/'T E&amp;G 2YR'!X44)*100</f>
        <v>1.6827107297169332E-2</v>
      </c>
      <c r="R46" s="38">
        <f>'PUBLIC SERVICE 2yr'!X44/'T E&amp;G 2YR'!X44*100</f>
        <v>3.4182859688363108</v>
      </c>
      <c r="S46" s="38">
        <f>'ASptISptSSv 2yr'!X44/'T E&amp;G 2YR'!X44*100</f>
        <v>28.707955833619735</v>
      </c>
      <c r="T46" s="39">
        <f>'PLANT OPER MAIN 2yr'!X44/'T E&amp;G 2YR'!X44*100</f>
        <v>0</v>
      </c>
      <c r="U46" s="38">
        <f>'SCHOLAR FELLOW 2yr'!X44/'T E&amp;G 2YR'!X44*100</f>
        <v>19.762020008221452</v>
      </c>
      <c r="V46" s="37">
        <f>IF((('All Other 2yr'!X44/'T E&amp;G 2YR'!X44)*100)&gt;=0.05,('All Other 2yr'!X44/'T E&amp;G 2YR'!X44)*100,"*")</f>
        <v>5.2584561091832693</v>
      </c>
      <c r="W46" s="17"/>
      <c r="X46" s="28">
        <f t="shared" si="1"/>
        <v>99.999999999999986</v>
      </c>
      <c r="Y46" s="28">
        <f t="shared" si="16"/>
        <v>99.97805322382905</v>
      </c>
      <c r="Z46" s="30"/>
    </row>
    <row r="47" spans="1:26" s="31" customFormat="1">
      <c r="A47" s="53" t="s">
        <v>95</v>
      </c>
      <c r="B47" s="53"/>
      <c r="C47" s="65">
        <f>('INSTRUCTION-2YR'!AC45)/('T E&amp;G 2YR'!AC45)*100</f>
        <v>38.622766860230783</v>
      </c>
      <c r="D47" s="65" t="str">
        <f>IF((('RESEARCH 2yr'!AC45/'T E&amp;G 2YR'!AC45)*100)=0,('RESEARCH 2yr'!AC45/'T E&amp;G 2YR'!AC45)*100,IF((('RESEARCH 2yr'!AC45/'T E&amp;G 2YR'!AC45)*100)&gt;=0.05,('RESEARCH 2yr'!AC45/'T E&amp;G 2YR'!AC45)*100,"*"))</f>
        <v>*</v>
      </c>
      <c r="E47" s="65">
        <f>'PUBLIC SERVICE 2yr'!AC45/'T E&amp;G 2YR'!AC45*100</f>
        <v>0.86481656811689889</v>
      </c>
      <c r="F47" s="65">
        <f>'ASptISptSSv 2yr'!AC45/'T E&amp;G 2YR'!AC45*100</f>
        <v>39.305964446275254</v>
      </c>
      <c r="G47" s="65">
        <f>'SCHOLAR FELLOW 2yr'!AC45/'T E&amp;G 2YR'!AC45*100</f>
        <v>14.585293102225069</v>
      </c>
      <c r="H47" s="65">
        <f>('All Other 2yr'!AC45/'T E&amp;G 2YR'!AC45)*100</f>
        <v>6.5905898699608114</v>
      </c>
      <c r="I47" s="66">
        <f t="shared" si="10"/>
        <v>0.38269636805986806</v>
      </c>
      <c r="J47" s="65" t="str">
        <f t="shared" si="11"/>
        <v>*</v>
      </c>
      <c r="K47" s="65">
        <f t="shared" si="12"/>
        <v>-7.9806051561985836E-2</v>
      </c>
      <c r="L47" s="65">
        <f t="shared" si="13"/>
        <v>3.0378818346642333</v>
      </c>
      <c r="M47" s="65">
        <f t="shared" si="14"/>
        <v>-4.7664745180814663</v>
      </c>
      <c r="N47" s="65">
        <f t="shared" si="15"/>
        <v>1.4250783424320215</v>
      </c>
      <c r="O47" s="17"/>
      <c r="P47" s="38">
        <f>'INSTRUCTION-2YR'!X45/'T E&amp;G 2YR'!X45*100</f>
        <v>38.240070492170915</v>
      </c>
      <c r="Q47" s="38">
        <f>('RESEARCH 2yr'!X45/'T E&amp;G 2YR'!X45)*100</f>
        <v>2.9945128703857161E-2</v>
      </c>
      <c r="R47" s="38">
        <f>'PUBLIC SERVICE 2yr'!X45/'T E&amp;G 2YR'!X45*100</f>
        <v>0.94462261967888472</v>
      </c>
      <c r="S47" s="38">
        <f>'ASptISptSSv 2yr'!X45/'T E&amp;G 2YR'!X45*100</f>
        <v>36.268082611611021</v>
      </c>
      <c r="T47" s="39">
        <f>'PLANT OPER MAIN 2yr'!X45/'T E&amp;G 2YR'!X45*100</f>
        <v>0</v>
      </c>
      <c r="U47" s="38">
        <f>'SCHOLAR FELLOW 2yr'!X45/'T E&amp;G 2YR'!X45*100</f>
        <v>19.351767620306536</v>
      </c>
      <c r="V47" s="37">
        <f>IF((('All Other 2yr'!X45/'T E&amp;G 2YR'!X45)*100)&gt;=0.05,('All Other 2yr'!X45/'T E&amp;G 2YR'!X45)*100,"*")</f>
        <v>5.1655115275287899</v>
      </c>
      <c r="W47" s="17"/>
      <c r="X47" s="28">
        <f t="shared" si="1"/>
        <v>100</v>
      </c>
      <c r="Y47" s="28">
        <f t="shared" si="16"/>
        <v>99.969430846808805</v>
      </c>
      <c r="Z47" s="30"/>
    </row>
    <row r="48" spans="1:26" s="31" customFormat="1">
      <c r="A48" s="54" t="s">
        <v>98</v>
      </c>
      <c r="B48" s="54"/>
      <c r="C48" s="63">
        <f>('INSTRUCTION-2YR'!AC46)/('T E&amp;G 2YR'!AC46)*100</f>
        <v>42.190385935004294</v>
      </c>
      <c r="D48" s="63" t="str">
        <f>IF((('RESEARCH 2yr'!AC46/'T E&amp;G 2YR'!AC46)*100)=0,('RESEARCH 2yr'!AC46/'T E&amp;G 2YR'!AC46)*100,IF((('RESEARCH 2yr'!AC46/'T E&amp;G 2YR'!AC46)*100)&gt;=0.05,('RESEARCH 2yr'!AC46/'T E&amp;G 2YR'!AC46)*100,"*"))</f>
        <v>*</v>
      </c>
      <c r="E48" s="63">
        <f>'PUBLIC SERVICE 2yr'!AC46/'T E&amp;G 2YR'!AC46*100</f>
        <v>2.1871985848269229</v>
      </c>
      <c r="F48" s="63">
        <f>'ASptISptSSv 2yr'!AC46/'T E&amp;G 2YR'!AC46*100</f>
        <v>38.111147675777843</v>
      </c>
      <c r="G48" s="63">
        <f>'SCHOLAR FELLOW 2yr'!AC46/'T E&amp;G 2YR'!AC46*100</f>
        <v>15.743757105843295</v>
      </c>
      <c r="H48" s="63">
        <f>('All Other 2yr'!AC46/'T E&amp;G 2YR'!AC46)*100</f>
        <v>1.7321339923999108</v>
      </c>
      <c r="I48" s="64">
        <f t="shared" si="10"/>
        <v>4.0273925241043926</v>
      </c>
      <c r="J48" s="63" t="str">
        <f t="shared" si="11"/>
        <v>*</v>
      </c>
      <c r="K48" s="63">
        <f t="shared" si="12"/>
        <v>0.25439886855845151</v>
      </c>
      <c r="L48" s="63">
        <f t="shared" si="13"/>
        <v>3.2228948256750698</v>
      </c>
      <c r="M48" s="63">
        <f t="shared" si="14"/>
        <v>-8.2508857206033266</v>
      </c>
      <c r="N48" s="63">
        <f t="shared" si="15"/>
        <v>0.75467854389308886</v>
      </c>
      <c r="O48" s="17"/>
      <c r="P48" s="38">
        <f>'INSTRUCTION-2YR'!X46/'T E&amp;G 2YR'!X46*100</f>
        <v>38.162993410899901</v>
      </c>
      <c r="Q48" s="38">
        <f>('RESEARCH 2yr'!X46/'T E&amp;G 2YR'!X46)*100</f>
        <v>4.3855747775417481E-2</v>
      </c>
      <c r="R48" s="38">
        <f>'PUBLIC SERVICE 2yr'!X46/'T E&amp;G 2YR'!X46*100</f>
        <v>1.9327997162684714</v>
      </c>
      <c r="S48" s="38">
        <f>'ASptISptSSv 2yr'!X46/'T E&amp;G 2YR'!X46*100</f>
        <v>34.888252850102774</v>
      </c>
      <c r="T48" s="39">
        <f>'PLANT OPER MAIN 2yr'!X46/'T E&amp;G 2YR'!X46*100</f>
        <v>0</v>
      </c>
      <c r="U48" s="38">
        <f>'SCHOLAR FELLOW 2yr'!X46/'T E&amp;G 2YR'!X46*100</f>
        <v>23.994642826446622</v>
      </c>
      <c r="V48" s="37">
        <f>IF((('All Other 2yr'!X46/'T E&amp;G 2YR'!X46)*100)&gt;=0.05,('All Other 2yr'!X46/'T E&amp;G 2YR'!X46)*100,"*")</f>
        <v>0.97745544850682198</v>
      </c>
      <c r="W48" s="17"/>
      <c r="X48" s="28">
        <f t="shared" si="1"/>
        <v>100</v>
      </c>
      <c r="Y48" s="28">
        <f t="shared" si="16"/>
        <v>99.96462329385227</v>
      </c>
      <c r="Z48" s="30"/>
    </row>
    <row r="49" spans="1:26" s="31" customFormat="1">
      <c r="A49" s="54" t="s">
        <v>99</v>
      </c>
      <c r="B49" s="54"/>
      <c r="C49" s="63">
        <f>('INSTRUCTION-2YR'!AC47)/('T E&amp;G 2YR'!AC47)*100</f>
        <v>39.362551200210696</v>
      </c>
      <c r="D49" s="63">
        <f>IF((('RESEARCH 2yr'!AC47/'T E&amp;G 2YR'!AC47)*100)=0,('RESEARCH 2yr'!AC47/'T E&amp;G 2YR'!AC47)*100,IF((('RESEARCH 2yr'!AC47/'T E&amp;G 2YR'!AC47)*100)&gt;=0.05,('RESEARCH 2yr'!AC47/'T E&amp;G 2YR'!AC47)*100,"*"))</f>
        <v>0.12015939131726622</v>
      </c>
      <c r="E49" s="63">
        <f>'PUBLIC SERVICE 2yr'!AC47/'T E&amp;G 2YR'!AC47*100</f>
        <v>0.5599880443327574</v>
      </c>
      <c r="F49" s="63">
        <f>'ASptISptSSv 2yr'!AC47/'T E&amp;G 2YR'!AC47*100</f>
        <v>32.834386259789746</v>
      </c>
      <c r="G49" s="63">
        <f>'SCHOLAR FELLOW 2yr'!AC47/'T E&amp;G 2YR'!AC47*100</f>
        <v>16.397670803605365</v>
      </c>
      <c r="H49" s="63">
        <f>('All Other 2yr'!AC47/'T E&amp;G 2YR'!AC47)*100</f>
        <v>10.725244300744166</v>
      </c>
      <c r="I49" s="64">
        <f t="shared" si="10"/>
        <v>-2.6706882214277528</v>
      </c>
      <c r="J49" s="63">
        <f t="shared" si="11"/>
        <v>-6.347086525588036E-2</v>
      </c>
      <c r="K49" s="63">
        <f t="shared" si="12"/>
        <v>-0.24697319378074234</v>
      </c>
      <c r="L49" s="63">
        <f t="shared" si="13"/>
        <v>-1.5796553518475989</v>
      </c>
      <c r="M49" s="63">
        <f t="shared" si="14"/>
        <v>-6.083631986335476</v>
      </c>
      <c r="N49" s="63">
        <f t="shared" si="15"/>
        <v>10.644419618647461</v>
      </c>
      <c r="O49" s="17"/>
      <c r="P49" s="38">
        <f>'INSTRUCTION-2YR'!X47/'T E&amp;G 2YR'!X47*100</f>
        <v>42.033239421638449</v>
      </c>
      <c r="Q49" s="38">
        <f>('RESEARCH 2yr'!X47/'T E&amp;G 2YR'!X47)*100</f>
        <v>0.18363025657314658</v>
      </c>
      <c r="R49" s="38">
        <f>'PUBLIC SERVICE 2yr'!X47/'T E&amp;G 2YR'!X47*100</f>
        <v>0.80696123811349973</v>
      </c>
      <c r="S49" s="38">
        <f>'ASptISptSSv 2yr'!X47/'T E&amp;G 2YR'!X47*100</f>
        <v>34.414041611637344</v>
      </c>
      <c r="T49" s="39">
        <f>'PLANT OPER MAIN 2yr'!X47/'T E&amp;G 2YR'!X47*100</f>
        <v>0</v>
      </c>
      <c r="U49" s="38">
        <f>'SCHOLAR FELLOW 2yr'!X47/'T E&amp;G 2YR'!X47*100</f>
        <v>22.481302789940841</v>
      </c>
      <c r="V49" s="37">
        <f>IF((('All Other 2yr'!X47/'T E&amp;G 2YR'!X47)*100)&gt;=0.05,('All Other 2yr'!X47/'T E&amp;G 2YR'!X47)*100,"*")</f>
        <v>8.0824682096704015E-2</v>
      </c>
      <c r="W49" s="17"/>
      <c r="X49" s="28">
        <f t="shared" si="1"/>
        <v>99.999999999999986</v>
      </c>
      <c r="Y49" s="28">
        <f t="shared" si="16"/>
        <v>99.999999999999986</v>
      </c>
      <c r="Z49" s="30"/>
    </row>
    <row r="50" spans="1:26" s="31" customFormat="1">
      <c r="A50" s="54" t="s">
        <v>59</v>
      </c>
      <c r="B50" s="54"/>
      <c r="C50" s="63">
        <f>('INSTRUCTION-2YR'!AC48)/('T E&amp;G 2YR'!AC48)*100</f>
        <v>40.897850867130195</v>
      </c>
      <c r="D50" s="63" t="str">
        <f>IF((('RESEARCH 2yr'!AC48/'T E&amp;G 2YR'!AC48)*100)=0,('RESEARCH 2yr'!AC48/'T E&amp;G 2YR'!AC48)*100,IF((('RESEARCH 2yr'!AC48/'T E&amp;G 2YR'!AC48)*100)&gt;=0.05,('RESEARCH 2yr'!AC48/'T E&amp;G 2YR'!AC48)*100,"*"))</f>
        <v>*</v>
      </c>
      <c r="E50" s="63">
        <f>'PUBLIC SERVICE 2yr'!AC48/'T E&amp;G 2YR'!AC48*100</f>
        <v>1.338778649777369</v>
      </c>
      <c r="F50" s="63">
        <f>'ASptISptSSv 2yr'!AC48/'T E&amp;G 2YR'!AC48*100</f>
        <v>34.727741203604658</v>
      </c>
      <c r="G50" s="63">
        <f>'SCHOLAR FELLOW 2yr'!AC48/'T E&amp;G 2YR'!AC48*100</f>
        <v>20.087391432168243</v>
      </c>
      <c r="H50" s="63">
        <f>('All Other 2yr'!AC48/'T E&amp;G 2YR'!AC48)*100</f>
        <v>2.9480980280325544</v>
      </c>
      <c r="I50" s="64">
        <f t="shared" si="10"/>
        <v>2.1749402211115267</v>
      </c>
      <c r="J50" s="63">
        <f t="shared" si="11"/>
        <v>0</v>
      </c>
      <c r="K50" s="63">
        <f t="shared" si="12"/>
        <v>0.28643969610965381</v>
      </c>
      <c r="L50" s="63">
        <f t="shared" si="13"/>
        <v>4.4567748233742748</v>
      </c>
      <c r="M50" s="63">
        <f t="shared" si="14"/>
        <v>-8.7393895629040514</v>
      </c>
      <c r="N50" s="63">
        <f t="shared" si="15"/>
        <v>1.8210950030216217</v>
      </c>
      <c r="O50" s="17"/>
      <c r="P50" s="38">
        <f>'INSTRUCTION-2YR'!X48/'T E&amp;G 2YR'!X48*100</f>
        <v>38.722910646018669</v>
      </c>
      <c r="Q50" s="38">
        <f>('RESEARCH 2yr'!X48/'T E&amp;G 2YR'!X48)*100</f>
        <v>0</v>
      </c>
      <c r="R50" s="38">
        <f>'PUBLIC SERVICE 2yr'!X48/'T E&amp;G 2YR'!X48*100</f>
        <v>1.0523389536677152</v>
      </c>
      <c r="S50" s="38">
        <f>'ASptISptSSv 2yr'!X48/'T E&amp;G 2YR'!X48*100</f>
        <v>30.270966380230384</v>
      </c>
      <c r="T50" s="39">
        <f>'PLANT OPER MAIN 2yr'!X48/'T E&amp;G 2YR'!X48*100</f>
        <v>0</v>
      </c>
      <c r="U50" s="38">
        <f>'SCHOLAR FELLOW 2yr'!X48/'T E&amp;G 2YR'!X48*100</f>
        <v>28.826780995072294</v>
      </c>
      <c r="V50" s="37">
        <f>IF((('All Other 2yr'!X48/'T E&amp;G 2YR'!X48)*100)&gt;=0.05,('All Other 2yr'!X48/'T E&amp;G 2YR'!X48)*100,"*")</f>
        <v>1.1270030250109326</v>
      </c>
      <c r="W50" s="17"/>
      <c r="X50" s="28">
        <f t="shared" si="1"/>
        <v>100</v>
      </c>
      <c r="Y50" s="28">
        <f t="shared" si="16"/>
        <v>99.999860180713029</v>
      </c>
      <c r="Z50" s="30"/>
    </row>
    <row r="51" spans="1:26" s="31" customFormat="1">
      <c r="A51" s="54" t="s">
        <v>101</v>
      </c>
      <c r="B51" s="54"/>
      <c r="C51" s="63">
        <f>('INSTRUCTION-2YR'!AC49)/('T E&amp;G 2YR'!AC49)*100</f>
        <v>44.976342775501507</v>
      </c>
      <c r="D51" s="63" t="str">
        <f>IF((('RESEARCH 2yr'!AC49/'T E&amp;G 2YR'!AC49)*100)=0,('RESEARCH 2yr'!AC49/'T E&amp;G 2YR'!AC49)*100,IF((('RESEARCH 2yr'!AC49/'T E&amp;G 2YR'!AC49)*100)&gt;=0.05,('RESEARCH 2yr'!AC49/'T E&amp;G 2YR'!AC49)*100,"*"))</f>
        <v>*</v>
      </c>
      <c r="E51" s="63">
        <f>'PUBLIC SERVICE 2yr'!AC49/'T E&amp;G 2YR'!AC49*100</f>
        <v>1.6776709528242301E-2</v>
      </c>
      <c r="F51" s="63">
        <f>'ASptISptSSv 2yr'!AC49/'T E&amp;G 2YR'!AC49*100</f>
        <v>40.693416552857933</v>
      </c>
      <c r="G51" s="63">
        <f>'SCHOLAR FELLOW 2yr'!AC49/'T E&amp;G 2YR'!AC49*100</f>
        <v>12.738204064237616</v>
      </c>
      <c r="H51" s="63">
        <f>('All Other 2yr'!AC49/'T E&amp;G 2YR'!AC49)*100</f>
        <v>1.5743639762944435</v>
      </c>
      <c r="I51" s="64">
        <f t="shared" si="10"/>
        <v>1.7681902927632791</v>
      </c>
      <c r="J51" s="63" t="str">
        <f t="shared" si="11"/>
        <v>*</v>
      </c>
      <c r="K51" s="63" t="str">
        <f t="shared" si="12"/>
        <v>*</v>
      </c>
      <c r="L51" s="63">
        <f t="shared" si="13"/>
        <v>7.1173749100856156</v>
      </c>
      <c r="M51" s="63">
        <f t="shared" si="14"/>
        <v>-7.0398244605378348</v>
      </c>
      <c r="N51" s="63">
        <f t="shared" si="15"/>
        <v>-1.8521576465974534</v>
      </c>
      <c r="O51" s="17"/>
      <c r="P51" s="38">
        <f>'INSTRUCTION-2YR'!X49/'T E&amp;G 2YR'!X49*100</f>
        <v>43.208152482738228</v>
      </c>
      <c r="Q51" s="38">
        <f>('RESEARCH 2yr'!X49/'T E&amp;G 2YR'!X49)*100</f>
        <v>1.1255726822103062E-2</v>
      </c>
      <c r="R51" s="38">
        <f>'PUBLIC SERVICE 2yr'!X49/'T E&amp;G 2YR'!X49*100</f>
        <v>0</v>
      </c>
      <c r="S51" s="38">
        <f>'ASptISptSSv 2yr'!X49/'T E&amp;G 2YR'!X49*100</f>
        <v>33.576041642772317</v>
      </c>
      <c r="T51" s="39">
        <f>'PLANT OPER MAIN 2yr'!X49/'T E&amp;G 2YR'!X49*100</f>
        <v>0</v>
      </c>
      <c r="U51" s="38">
        <f>'SCHOLAR FELLOW 2yr'!X49/'T E&amp;G 2YR'!X49*100</f>
        <v>19.778028524775451</v>
      </c>
      <c r="V51" s="37">
        <f>IF((('All Other 2yr'!X49/'T E&amp;G 2YR'!X49)*100)&gt;=0.05,('All Other 2yr'!X49/'T E&amp;G 2YR'!X49)*100,"*")</f>
        <v>3.4265216228918969</v>
      </c>
      <c r="W51" s="17"/>
      <c r="X51" s="28">
        <f t="shared" si="1"/>
        <v>99.999999999999986</v>
      </c>
      <c r="Y51" s="28">
        <f t="shared" si="16"/>
        <v>99.999104078419762</v>
      </c>
      <c r="Z51" s="30"/>
    </row>
    <row r="52" spans="1:26" s="31" customFormat="1">
      <c r="A52" s="53" t="s">
        <v>107</v>
      </c>
      <c r="B52" s="53"/>
      <c r="C52" s="65">
        <f>('INSTRUCTION-2YR'!AC50)/('T E&amp;G 2YR'!AC50)*100</f>
        <v>43.57578799102258</v>
      </c>
      <c r="D52" s="65">
        <f>IF((('RESEARCH 2yr'!AC50/'T E&amp;G 2YR'!AC50)*100)=0,('RESEARCH 2yr'!AC50/'T E&amp;G 2YR'!AC50)*100,IF((('RESEARCH 2yr'!AC50/'T E&amp;G 2YR'!AC50)*100)&gt;=0.05,('RESEARCH 2yr'!AC50/'T E&amp;G 2YR'!AC50)*100,"*"))</f>
        <v>0.42382449557075264</v>
      </c>
      <c r="E52" s="65">
        <f>'PUBLIC SERVICE 2yr'!AC50/'T E&amp;G 2YR'!AC50*100</f>
        <v>1.4458021691113505</v>
      </c>
      <c r="F52" s="65">
        <f>'ASptISptSSv 2yr'!AC50/'T E&amp;G 2YR'!AC50*100</f>
        <v>32.880050918095641</v>
      </c>
      <c r="G52" s="65">
        <f>'SCHOLAR FELLOW 2yr'!AC50/'T E&amp;G 2YR'!AC50*100</f>
        <v>12.446465415499263</v>
      </c>
      <c r="H52" s="65">
        <f>('All Other 2yr'!AC50/'T E&amp;G 2YR'!AC50)*100</f>
        <v>9.2280690107004038</v>
      </c>
      <c r="I52" s="66">
        <f t="shared" si="10"/>
        <v>-2.3540410660229654</v>
      </c>
      <c r="J52" s="65">
        <f t="shared" si="11"/>
        <v>0.42382449557075264</v>
      </c>
      <c r="K52" s="65">
        <f t="shared" si="12"/>
        <v>1.0094881183535371</v>
      </c>
      <c r="L52" s="65">
        <f t="shared" si="13"/>
        <v>3.6312651849961064</v>
      </c>
      <c r="M52" s="65">
        <f t="shared" si="14"/>
        <v>-3.4768223696127727</v>
      </c>
      <c r="N52" s="65">
        <f t="shared" si="15"/>
        <v>0.76628563671534167</v>
      </c>
      <c r="O52" s="17"/>
      <c r="P52" s="38">
        <f>'INSTRUCTION-2YR'!X50/'T E&amp;G 2YR'!X50*100</f>
        <v>45.929829057045545</v>
      </c>
      <c r="Q52" s="38">
        <f>('RESEARCH 2yr'!X50/'T E&amp;G 2YR'!X50)*100</f>
        <v>0</v>
      </c>
      <c r="R52" s="38">
        <f>'PUBLIC SERVICE 2yr'!X50/'T E&amp;G 2YR'!X50*100</f>
        <v>0.43631405075781338</v>
      </c>
      <c r="S52" s="38">
        <f>'ASptISptSSv 2yr'!X50/'T E&amp;G 2YR'!X50*100</f>
        <v>29.248785733099535</v>
      </c>
      <c r="T52" s="39">
        <f>'PLANT OPER MAIN 2yr'!X50/'T E&amp;G 2YR'!X50*100</f>
        <v>0</v>
      </c>
      <c r="U52" s="38">
        <f>'SCHOLAR FELLOW 2yr'!X50/'T E&amp;G 2YR'!X50*100</f>
        <v>15.923287785112036</v>
      </c>
      <c r="V52" s="37">
        <f>IF((('All Other 2yr'!X50/'T E&amp;G 2YR'!X50)*100)&gt;=0.05,('All Other 2yr'!X50/'T E&amp;G 2YR'!X50)*100,"*")</f>
        <v>8.4617833739850621</v>
      </c>
      <c r="W52" s="17"/>
      <c r="X52" s="28">
        <f t="shared" si="1"/>
        <v>99.999999999999986</v>
      </c>
      <c r="Y52" s="28">
        <f t="shared" si="16"/>
        <v>100</v>
      </c>
      <c r="Z52" s="30"/>
    </row>
    <row r="53" spans="1:26" s="31" customFormat="1">
      <c r="A53" s="53" t="s">
        <v>108</v>
      </c>
      <c r="B53" s="53"/>
      <c r="C53" s="65">
        <f>('INSTRUCTION-2YR'!AC51)/('T E&amp;G 2YR'!AC51)*100</f>
        <v>43.119425615725014</v>
      </c>
      <c r="D53" s="65">
        <f>IF((('RESEARCH 2yr'!AC51/'T E&amp;G 2YR'!AC51)*100)=0,('RESEARCH 2yr'!AC51/'T E&amp;G 2YR'!AC51)*100,IF((('RESEARCH 2yr'!AC51/'T E&amp;G 2YR'!AC51)*100)&gt;=0.05,('RESEARCH 2yr'!AC51/'T E&amp;G 2YR'!AC51)*100,"*"))</f>
        <v>7.006108248037092E-2</v>
      </c>
      <c r="E53" s="65">
        <f>'PUBLIC SERVICE 2yr'!AC51/'T E&amp;G 2YR'!AC51*100</f>
        <v>4.0548221380614065</v>
      </c>
      <c r="F53" s="65">
        <f>'ASptISptSSv 2yr'!AC51/'T E&amp;G 2YR'!AC51*100</f>
        <v>33.946818776675904</v>
      </c>
      <c r="G53" s="65">
        <f>'SCHOLAR FELLOW 2yr'!AC51/'T E&amp;G 2YR'!AC51*100</f>
        <v>16.345871307192215</v>
      </c>
      <c r="H53" s="65">
        <f>('All Other 2yr'!AC51/'T E&amp;G 2YR'!AC51)*100</f>
        <v>2.463001079865081</v>
      </c>
      <c r="I53" s="66">
        <f t="shared" si="10"/>
        <v>2.5534775279263187</v>
      </c>
      <c r="J53" s="65" t="str">
        <f t="shared" si="11"/>
        <v>*</v>
      </c>
      <c r="K53" s="65">
        <f t="shared" si="12"/>
        <v>-0.17773956455771511</v>
      </c>
      <c r="L53" s="65">
        <f t="shared" si="13"/>
        <v>4.2387847952996403</v>
      </c>
      <c r="M53" s="65">
        <f t="shared" si="14"/>
        <v>-7.8767884174786253</v>
      </c>
      <c r="N53" s="65">
        <f t="shared" si="15"/>
        <v>1.3052682291372415</v>
      </c>
      <c r="O53" s="17"/>
      <c r="P53" s="38">
        <f>'INSTRUCTION-2YR'!X51/'T E&amp;G 2YR'!X51*100</f>
        <v>40.565948087798695</v>
      </c>
      <c r="Q53" s="38">
        <f>('RESEARCH 2yr'!X51/'T E&amp;G 2YR'!X51)*100</f>
        <v>0.11306365280723109</v>
      </c>
      <c r="R53" s="38">
        <f>'PUBLIC SERVICE 2yr'!X51/'T E&amp;G 2YR'!X51*100</f>
        <v>4.2325617026191216</v>
      </c>
      <c r="S53" s="38">
        <f>'ASptISptSSv 2yr'!X51/'T E&amp;G 2YR'!X51*100</f>
        <v>29.708033981376264</v>
      </c>
      <c r="T53" s="39">
        <f>'PLANT OPER MAIN 2yr'!X51/'T E&amp;G 2YR'!X51*100</f>
        <v>0</v>
      </c>
      <c r="U53" s="38">
        <f>'SCHOLAR FELLOW 2yr'!X51/'T E&amp;G 2YR'!X51*100</f>
        <v>24.222659724670841</v>
      </c>
      <c r="V53" s="37">
        <f>IF((('All Other 2yr'!X51/'T E&amp;G 2YR'!X51)*100)&gt;=0.05,('All Other 2yr'!X51/'T E&amp;G 2YR'!X51)*100,"*")</f>
        <v>1.1577328507278395</v>
      </c>
      <c r="W53" s="17"/>
      <c r="X53" s="28">
        <f t="shared" si="1"/>
        <v>99.999999999999986</v>
      </c>
      <c r="Y53" s="28">
        <f t="shared" si="16"/>
        <v>99.999999999999986</v>
      </c>
      <c r="Z53" s="30"/>
    </row>
    <row r="54" spans="1:26" s="31" customFormat="1">
      <c r="A54" s="53" t="s">
        <v>112</v>
      </c>
      <c r="B54" s="53"/>
      <c r="C54" s="65">
        <f>('INSTRUCTION-2YR'!AC52)/('T E&amp;G 2YR'!AC52)*100</f>
        <v>38.854080731981718</v>
      </c>
      <c r="D54" s="65">
        <f>IF((('RESEARCH 2yr'!AC52/'T E&amp;G 2YR'!AC52)*100)=0,('RESEARCH 2yr'!AC52/'T E&amp;G 2YR'!AC52)*100,IF((('RESEARCH 2yr'!AC52/'T E&amp;G 2YR'!AC52)*100)&gt;=0.05,('RESEARCH 2yr'!AC52/'T E&amp;G 2YR'!AC52)*100,"*"))</f>
        <v>8.8514131226591394E-2</v>
      </c>
      <c r="E54" s="65">
        <f>'PUBLIC SERVICE 2yr'!AC52/'T E&amp;G 2YR'!AC52*100</f>
        <v>5.3399219165909386</v>
      </c>
      <c r="F54" s="65">
        <f>'ASptISptSSv 2yr'!AC52/'T E&amp;G 2YR'!AC52*100</f>
        <v>27.130756639552008</v>
      </c>
      <c r="G54" s="65">
        <f>'SCHOLAR FELLOW 2yr'!AC52/'T E&amp;G 2YR'!AC52*100</f>
        <v>16.56578362359372</v>
      </c>
      <c r="H54" s="65">
        <f>('All Other 2yr'!AC52/'T E&amp;G 2YR'!AC52)*100</f>
        <v>12.020942957055036</v>
      </c>
      <c r="I54" s="66">
        <f t="shared" si="10"/>
        <v>4.6798102622347386</v>
      </c>
      <c r="J54" s="65">
        <f t="shared" si="11"/>
        <v>8.8514131226591394E-2</v>
      </c>
      <c r="K54" s="65">
        <f t="shared" si="12"/>
        <v>5.3399219165909386</v>
      </c>
      <c r="L54" s="65">
        <f t="shared" si="13"/>
        <v>3.0180360946000242</v>
      </c>
      <c r="M54" s="65">
        <f t="shared" si="14"/>
        <v>-1.5547259077470912</v>
      </c>
      <c r="N54" s="65">
        <f t="shared" si="15"/>
        <v>-11.571556496905197</v>
      </c>
      <c r="O54" s="17"/>
      <c r="P54" s="38">
        <f>'INSTRUCTION-2YR'!X52/'T E&amp;G 2YR'!X52*100</f>
        <v>34.174270469746979</v>
      </c>
      <c r="Q54" s="38">
        <f>('RESEARCH 2yr'!X52/'T E&amp;G 2YR'!X52)*100</f>
        <v>0</v>
      </c>
      <c r="R54" s="38">
        <f>'PUBLIC SERVICE 2yr'!X52/'T E&amp;G 2YR'!X52*100</f>
        <v>0</v>
      </c>
      <c r="S54" s="38">
        <f>'ASptISptSSv 2yr'!X52/'T E&amp;G 2YR'!X52*100</f>
        <v>24.112720544951983</v>
      </c>
      <c r="T54" s="39">
        <f>'PLANT OPER MAIN 2yr'!X52/'T E&amp;G 2YR'!X52*100</f>
        <v>0</v>
      </c>
      <c r="U54" s="38">
        <f>'SCHOLAR FELLOW 2yr'!X52/'T E&amp;G 2YR'!X52*100</f>
        <v>18.120509531340812</v>
      </c>
      <c r="V54" s="37">
        <f>IF((('All Other 2yr'!X52/'T E&amp;G 2YR'!X52)*100)&gt;=0.05,('All Other 2yr'!X52/'T E&amp;G 2YR'!X52)*100,"*")</f>
        <v>23.592499453960233</v>
      </c>
      <c r="W54" s="17"/>
      <c r="X54" s="28">
        <f t="shared" si="1"/>
        <v>100</v>
      </c>
      <c r="Y54" s="28">
        <f t="shared" si="16"/>
        <v>100.00000000000001</v>
      </c>
      <c r="Z54" s="30"/>
    </row>
    <row r="55" spans="1:26" s="31" customFormat="1">
      <c r="A55" s="53" t="s">
        <v>116</v>
      </c>
      <c r="B55" s="53"/>
      <c r="C55" s="67">
        <f>('INSTRUCTION-2YR'!AC53)/('T E&amp;G 2YR'!AC53)*100</f>
        <v>56.378199797369732</v>
      </c>
      <c r="D55" s="67" t="str">
        <f>IF((('RESEARCH 2yr'!AC53/'T E&amp;G 2YR'!AC53)*100)=0,('RESEARCH 2yr'!AC53/'T E&amp;G 2YR'!AC53)*100,IF((('RESEARCH 2yr'!AC53/'T E&amp;G 2YR'!AC53)*100)&gt;=0.05,('RESEARCH 2yr'!AC53/'T E&amp;G 2YR'!AC53)*100,"*"))</f>
        <v>*</v>
      </c>
      <c r="E55" s="67">
        <f>'PUBLIC SERVICE 2yr'!AC53/'T E&amp;G 2YR'!AC53*100</f>
        <v>0.25103112363516211</v>
      </c>
      <c r="F55" s="67">
        <f>'ASptISptSSv 2yr'!AC53/'T E&amp;G 2YR'!AC53*100</f>
        <v>27.747924171857441</v>
      </c>
      <c r="G55" s="67">
        <f>'SCHOLAR FELLOW 2yr'!AC53/'T E&amp;G 2YR'!AC53*100</f>
        <v>11.212310779341394</v>
      </c>
      <c r="H55" s="99">
        <f>('All Other 2yr'!AC53/'T E&amp;G 2YR'!AC53)*100</f>
        <v>4.4060599377140006</v>
      </c>
      <c r="I55" s="66">
        <f t="shared" si="10"/>
        <v>0.14116736657126694</v>
      </c>
      <c r="J55" s="65" t="str">
        <f t="shared" si="11"/>
        <v>*</v>
      </c>
      <c r="K55" s="65" t="str">
        <f t="shared" si="12"/>
        <v>*</v>
      </c>
      <c r="L55" s="65">
        <f t="shared" si="13"/>
        <v>2.3380395388722626</v>
      </c>
      <c r="M55" s="65">
        <f t="shared" si="14"/>
        <v>-4.0847953341796153</v>
      </c>
      <c r="N55" s="65">
        <f t="shared" si="15"/>
        <v>1.6543433383626258</v>
      </c>
      <c r="O55" s="17"/>
      <c r="P55" s="38">
        <f>'INSTRUCTION-2YR'!X53/'T E&amp;G 2YR'!X53*100</f>
        <v>56.237032430798465</v>
      </c>
      <c r="Q55" s="38">
        <f>('RESEARCH 2yr'!X53/'T E&amp;G 2YR'!X53)*100</f>
        <v>1.1165091222874983E-2</v>
      </c>
      <c r="R55" s="38">
        <f>'PUBLIC SERVICE 2yr'!X53/'T E&amp;G 2YR'!X53*100</f>
        <v>0.29309513212108335</v>
      </c>
      <c r="S55" s="38">
        <f>'ASptISptSSv 2yr'!X53/'T E&amp;G 2YR'!X53*100</f>
        <v>25.409884632985179</v>
      </c>
      <c r="T55" s="39">
        <f>'PLANT OPER MAIN 2yr'!X53/'T E&amp;G 2YR'!X53*100</f>
        <v>0</v>
      </c>
      <c r="U55" s="38">
        <f>'SCHOLAR FELLOW 2yr'!X53/'T E&amp;G 2YR'!X53*100</f>
        <v>15.297106113521009</v>
      </c>
      <c r="V55" s="37">
        <f>IF((('All Other 2yr'!X53/'T E&amp;G 2YR'!X53)*100)&gt;=0.05,('All Other 2yr'!X53/'T E&amp;G 2YR'!X53)*100,"*")</f>
        <v>2.7517165993513748</v>
      </c>
      <c r="W55" s="17"/>
      <c r="X55" s="28">
        <f t="shared" si="1"/>
        <v>99.999999999999986</v>
      </c>
      <c r="Y55" s="28">
        <f t="shared" si="16"/>
        <v>99.995525809917737</v>
      </c>
      <c r="Z55" s="30"/>
    </row>
    <row r="56" spans="1:26" s="31" customFormat="1">
      <c r="A56" s="57" t="s">
        <v>122</v>
      </c>
      <c r="B56" s="57"/>
      <c r="C56" s="63">
        <f>('INSTRUCTION-2YR'!AC54)/('T E&amp;G 2YR'!AC54)*100</f>
        <v>39.484488543403081</v>
      </c>
      <c r="D56" s="63">
        <f>IF((('RESEARCH 2yr'!AC54/'T E&amp;G 2YR'!AC54)*100)=0,('RESEARCH 2yr'!AC54/'T E&amp;G 2YR'!AC54)*100,IF((('RESEARCH 2yr'!AC54/'T E&amp;G 2YR'!AC54)*100)&gt;=0.05,('RESEARCH 2yr'!AC54/'T E&amp;G 2YR'!AC54)*100,"*"))</f>
        <v>0.10895320790783854</v>
      </c>
      <c r="E56" s="63">
        <f>'PUBLIC SERVICE 2yr'!AC54/'T E&amp;G 2YR'!AC54*100</f>
        <v>0.89035900818807867</v>
      </c>
      <c r="F56" s="63">
        <f>'ASptISptSSv 2yr'!AC54/'T E&amp;G 2YR'!AC54*100</f>
        <v>33.102309541921862</v>
      </c>
      <c r="G56" s="63">
        <f>'SCHOLAR FELLOW 2yr'!AC54/'T E&amp;G 2YR'!AC54*100</f>
        <v>19.838765855053463</v>
      </c>
      <c r="H56" s="63">
        <f>('All Other 2yr'!AC54/'T E&amp;G 2YR'!AC54)*100</f>
        <v>6.5751238435256818</v>
      </c>
      <c r="I56" s="70">
        <f t="shared" si="10"/>
        <v>0.34977909594620371</v>
      </c>
      <c r="J56" s="69" t="str">
        <f t="shared" si="11"/>
        <v>*</v>
      </c>
      <c r="K56" s="69">
        <f t="shared" si="12"/>
        <v>-5.546035450955944E-2</v>
      </c>
      <c r="L56" s="69">
        <f t="shared" si="13"/>
        <v>0.45386610238494995</v>
      </c>
      <c r="M56" s="69">
        <f t="shared" si="14"/>
        <v>-3.7426078853641265</v>
      </c>
      <c r="N56" s="69">
        <f t="shared" si="15"/>
        <v>2.9558872586234406</v>
      </c>
      <c r="O56" s="17"/>
      <c r="P56" s="38">
        <f>'INSTRUCTION-2YR'!X54/'T E&amp;G 2YR'!X54*100</f>
        <v>39.134709447456878</v>
      </c>
      <c r="Q56" s="38">
        <f>('RESEARCH 2yr'!X54/'T E&amp;G 2YR'!X54)*100</f>
        <v>7.041742498874079E-2</v>
      </c>
      <c r="R56" s="38">
        <f>'PUBLIC SERVICE 2yr'!X54/'T E&amp;G 2YR'!X54*100</f>
        <v>0.94581936269763811</v>
      </c>
      <c r="S56" s="38">
        <f>'ASptISptSSv 2yr'!X54/'T E&amp;G 2YR'!X54*100</f>
        <v>32.648443439536912</v>
      </c>
      <c r="T56" s="39">
        <f>'PLANT OPER MAIN 2yr'!X54/'T E&amp;G 2YR'!X54*100</f>
        <v>0</v>
      </c>
      <c r="U56" s="38">
        <f>'SCHOLAR FELLOW 2yr'!X54/'T E&amp;G 2YR'!X54*100</f>
        <v>23.58137374041759</v>
      </c>
      <c r="V56" s="37">
        <f>IF((('All Other 2yr'!X54/'T E&amp;G 2YR'!X54)*100)&gt;=0.05,('All Other 2yr'!X54/'T E&amp;G 2YR'!X54)*100,"*")</f>
        <v>3.6192365849022412</v>
      </c>
      <c r="W56" s="17"/>
      <c r="X56" s="28">
        <f t="shared" si="1"/>
        <v>100</v>
      </c>
      <c r="Y56" s="28">
        <f t="shared" si="16"/>
        <v>100.00000000000001</v>
      </c>
      <c r="Z56" s="30"/>
    </row>
    <row r="57" spans="1:26" s="31" customFormat="1">
      <c r="A57" s="54"/>
      <c r="B57" s="54"/>
      <c r="C57" s="63"/>
      <c r="D57" s="63"/>
      <c r="E57" s="63"/>
      <c r="F57" s="63"/>
      <c r="G57" s="63"/>
      <c r="H57" s="63"/>
      <c r="I57" s="64">
        <f t="shared" si="10"/>
        <v>0</v>
      </c>
      <c r="J57" s="63">
        <f t="shared" si="11"/>
        <v>0</v>
      </c>
      <c r="K57" s="63">
        <f t="shared" si="12"/>
        <v>0</v>
      </c>
      <c r="L57" s="63">
        <f t="shared" si="13"/>
        <v>0</v>
      </c>
      <c r="M57" s="63">
        <f t="shared" si="14"/>
        <v>0</v>
      </c>
      <c r="N57" s="63">
        <f t="shared" si="15"/>
        <v>0</v>
      </c>
      <c r="O57" s="17"/>
      <c r="P57" s="38"/>
      <c r="Q57" s="38"/>
      <c r="R57" s="38"/>
      <c r="S57" s="38"/>
      <c r="T57" s="39"/>
      <c r="U57" s="38"/>
      <c r="V57" s="37"/>
      <c r="W57" s="17"/>
      <c r="X57" s="28"/>
      <c r="Y57" s="28"/>
      <c r="Z57" s="30"/>
    </row>
    <row r="58" spans="1:26" s="31" customFormat="1">
      <c r="A58" s="53" t="s">
        <v>89</v>
      </c>
      <c r="B58" s="53"/>
      <c r="C58" s="65">
        <f>('INSTRUCTION-2YR'!AC56)/('T E&amp;G 2YR'!AC56)*100</f>
        <v>35.085230025829205</v>
      </c>
      <c r="D58" s="65">
        <f>IF((('RESEARCH 2yr'!AC56/'T E&amp;G 2YR'!AC56)*100)=0,('RESEARCH 2yr'!AC56/'T E&amp;G 2YR'!AC56)*100,IF((('RESEARCH 2yr'!AC56/'T E&amp;G 2YR'!AC56)*100)&gt;=0.05,('RESEARCH 2yr'!AC56/'T E&amp;G 2YR'!AC56)*100,"*"))</f>
        <v>0</v>
      </c>
      <c r="E58" s="65">
        <f>'PUBLIC SERVICE 2yr'!AC56/'T E&amp;G 2YR'!AC56*100</f>
        <v>0.2007772451287349</v>
      </c>
      <c r="F58" s="65">
        <f>'ASptISptSSv 2yr'!AC56/'T E&amp;G 2YR'!AC56*100</f>
        <v>32.560867229824311</v>
      </c>
      <c r="G58" s="65">
        <f>'SCHOLAR FELLOW 2yr'!AC56/'T E&amp;G 2YR'!AC56*100</f>
        <v>18.231794251346962</v>
      </c>
      <c r="H58" s="65">
        <f>('All Other 2yr'!AC56/'T E&amp;G 2YR'!AC56)*100</f>
        <v>13.921331247870789</v>
      </c>
      <c r="I58" s="66">
        <f t="shared" si="10"/>
        <v>-4.8198283421276571</v>
      </c>
      <c r="J58" s="65">
        <f t="shared" si="11"/>
        <v>0</v>
      </c>
      <c r="K58" s="65" t="str">
        <f t="shared" si="12"/>
        <v>*</v>
      </c>
      <c r="L58" s="65">
        <f t="shared" si="13"/>
        <v>-4.5817973895923458</v>
      </c>
      <c r="M58" s="65">
        <f t="shared" si="14"/>
        <v>-3.7205970051244712</v>
      </c>
      <c r="N58" s="65">
        <f t="shared" si="15"/>
        <v>13.122546950453694</v>
      </c>
      <c r="O58" s="17"/>
      <c r="P58" s="38">
        <f>'INSTRUCTION-2YR'!X56/'T E&amp;G 2YR'!X56*100</f>
        <v>39.905058367956862</v>
      </c>
      <c r="Q58" s="38">
        <f>('RESEARCH 2yr'!X56/'T E&amp;G 2YR'!X56)*100</f>
        <v>0</v>
      </c>
      <c r="R58" s="38">
        <f>'PUBLIC SERVICE 2yr'!X56/'T E&amp;G 2YR'!X56*100</f>
        <v>0.20110145873794377</v>
      </c>
      <c r="S58" s="38">
        <f>'ASptISptSSv 2yr'!X56/'T E&amp;G 2YR'!X56*100</f>
        <v>37.142664619416657</v>
      </c>
      <c r="T58" s="39">
        <f>'PLANT OPER MAIN 2yr'!X56/'T E&amp;G 2YR'!X56*100</f>
        <v>0</v>
      </c>
      <c r="U58" s="38">
        <f>'SCHOLAR FELLOW 2yr'!X56/'T E&amp;G 2YR'!X56*100</f>
        <v>21.952391256471433</v>
      </c>
      <c r="V58" s="37">
        <f>IF((('All Other 2yr'!X56/'T E&amp;G 2YR'!X56)*100)&gt;=0.05,('All Other 2yr'!X56/'T E&amp;G 2YR'!X56)*100,"*")</f>
        <v>0.79878429741709489</v>
      </c>
      <c r="W58" s="17"/>
      <c r="X58" s="28">
        <f t="shared" si="1"/>
        <v>99.999999999999986</v>
      </c>
      <c r="Y58" s="28">
        <f t="shared" ref="Y58:Y66" si="17">SUM(C58:H58)</f>
        <v>100</v>
      </c>
      <c r="Z58" s="30"/>
    </row>
    <row r="59" spans="1:26" s="31" customFormat="1">
      <c r="A59" s="53" t="s">
        <v>96</v>
      </c>
      <c r="B59" s="53"/>
      <c r="C59" s="65">
        <f>('INSTRUCTION-2YR'!AC57)/('T E&amp;G 2YR'!AC57)*100</f>
        <v>42.7173917714425</v>
      </c>
      <c r="D59" s="65">
        <f>IF((('RESEARCH 2yr'!AC57/'T E&amp;G 2YR'!AC57)*100)=0,('RESEARCH 2yr'!AC57/'T E&amp;G 2YR'!AC57)*100,IF((('RESEARCH 2yr'!AC57/'T E&amp;G 2YR'!AC57)*100)&gt;=0.05,('RESEARCH 2yr'!AC57/'T E&amp;G 2YR'!AC57)*100,"*"))</f>
        <v>0</v>
      </c>
      <c r="E59" s="65">
        <f>'PUBLIC SERVICE 2yr'!AC57/'T E&amp;G 2YR'!AC57*100</f>
        <v>0.73499905170407887</v>
      </c>
      <c r="F59" s="65">
        <f>'ASptISptSSv 2yr'!AC57/'T E&amp;G 2YR'!AC57*100</f>
        <v>33.220028618747818</v>
      </c>
      <c r="G59" s="65">
        <f>'SCHOLAR FELLOW 2yr'!AC57/'T E&amp;G 2YR'!AC57*100</f>
        <v>23.01349112769109</v>
      </c>
      <c r="H59" s="65">
        <f>('All Other 2yr'!AC57/'T E&amp;G 2YR'!AC57)*100</f>
        <v>0.31408943041449794</v>
      </c>
      <c r="I59" s="66">
        <f t="shared" si="10"/>
        <v>1.0811684656714036</v>
      </c>
      <c r="J59" s="65">
        <f t="shared" si="11"/>
        <v>0</v>
      </c>
      <c r="K59" s="65">
        <f t="shared" si="12"/>
        <v>0.34018487594434899</v>
      </c>
      <c r="L59" s="65">
        <f t="shared" si="13"/>
        <v>3.7673414912923278</v>
      </c>
      <c r="M59" s="65">
        <f t="shared" si="14"/>
        <v>-5.5027842633225887</v>
      </c>
      <c r="N59" s="65">
        <f t="shared" si="15"/>
        <v>0.31408943041449794</v>
      </c>
      <c r="O59" s="17"/>
      <c r="P59" s="38">
        <f>'INSTRUCTION-2YR'!X57/'T E&amp;G 2YR'!X57*100</f>
        <v>41.636223305771097</v>
      </c>
      <c r="Q59" s="38">
        <f>('RESEARCH 2yr'!X57/'T E&amp;G 2YR'!X57)*100</f>
        <v>0</v>
      </c>
      <c r="R59" s="38">
        <f>'PUBLIC SERVICE 2yr'!X57/'T E&amp;G 2YR'!X57*100</f>
        <v>0.39481417575972988</v>
      </c>
      <c r="S59" s="38">
        <f>'ASptISptSSv 2yr'!X57/'T E&amp;G 2YR'!X57*100</f>
        <v>29.452687127455491</v>
      </c>
      <c r="T59" s="39">
        <f>'PLANT OPER MAIN 2yr'!X57/'T E&amp;G 2YR'!X57*100</f>
        <v>0</v>
      </c>
      <c r="U59" s="38">
        <f>'SCHOLAR FELLOW 2yr'!X57/'T E&amp;G 2YR'!X57*100</f>
        <v>28.516275391013679</v>
      </c>
      <c r="V59" s="37" t="str">
        <f>IF((('All Other 2yr'!X57/'T E&amp;G 2YR'!X57)*100)&gt;=0.05,('All Other 2yr'!X57/'T E&amp;G 2YR'!X57)*100,"*")</f>
        <v>*</v>
      </c>
      <c r="W59" s="17"/>
      <c r="X59" s="28">
        <f t="shared" si="1"/>
        <v>99.999999999999986</v>
      </c>
      <c r="Y59" s="28">
        <f t="shared" si="17"/>
        <v>99.999999999999972</v>
      </c>
      <c r="Z59" s="30"/>
    </row>
    <row r="60" spans="1:26" s="31" customFormat="1">
      <c r="A60" s="53" t="s">
        <v>97</v>
      </c>
      <c r="B60" s="53"/>
      <c r="C60" s="65">
        <f>('INSTRUCTION-2YR'!AC58)/('T E&amp;G 2YR'!AC58)*100</f>
        <v>36.76795615339298</v>
      </c>
      <c r="D60" s="65" t="str">
        <f>IF((('RESEARCH 2yr'!AC58/'T E&amp;G 2YR'!AC58)*100)=0,('RESEARCH 2yr'!AC58/'T E&amp;G 2YR'!AC58)*100,IF((('RESEARCH 2yr'!AC58/'T E&amp;G 2YR'!AC58)*100)&gt;=0.05,('RESEARCH 2yr'!AC58/'T E&amp;G 2YR'!AC58)*100,"*"))</f>
        <v>*</v>
      </c>
      <c r="E60" s="65">
        <f>'PUBLIC SERVICE 2yr'!AC58/'T E&amp;G 2YR'!AC58*100</f>
        <v>1.1779767467988893</v>
      </c>
      <c r="F60" s="65">
        <f>'ASptISptSSv 2yr'!AC58/'T E&amp;G 2YR'!AC58*100</f>
        <v>38.791767465379294</v>
      </c>
      <c r="G60" s="65">
        <f>'SCHOLAR FELLOW 2yr'!AC58/'T E&amp;G 2YR'!AC58*100</f>
        <v>18.254528060868846</v>
      </c>
      <c r="H60" s="65">
        <f>('All Other 2yr'!AC58/'T E&amp;G 2YR'!AC58)*100</f>
        <v>5.00640697460583</v>
      </c>
      <c r="I60" s="66">
        <f t="shared" si="10"/>
        <v>-1.0988397703014527</v>
      </c>
      <c r="J60" s="65" t="str">
        <f t="shared" si="11"/>
        <v>*</v>
      </c>
      <c r="K60" s="65">
        <f t="shared" si="12"/>
        <v>0.28931716701002852</v>
      </c>
      <c r="L60" s="65">
        <f t="shared" si="13"/>
        <v>2.7961600579621404</v>
      </c>
      <c r="M60" s="65">
        <f t="shared" si="14"/>
        <v>-5.8084575539284309</v>
      </c>
      <c r="N60" s="65">
        <f t="shared" si="15"/>
        <v>3.822968578301718</v>
      </c>
      <c r="O60" s="17"/>
      <c r="P60" s="38">
        <f>'INSTRUCTION-2YR'!X58/'T E&amp;G 2YR'!X58*100</f>
        <v>37.866795923694433</v>
      </c>
      <c r="Q60" s="38">
        <f>('RESEARCH 2yr'!X58/'T E&amp;G 2YR'!X58)*100</f>
        <v>2.5130779981618998E-3</v>
      </c>
      <c r="R60" s="38">
        <f>'PUBLIC SERVICE 2yr'!X58/'T E&amp;G 2YR'!X58*100</f>
        <v>0.88865957978886079</v>
      </c>
      <c r="S60" s="38">
        <f>'ASptISptSSv 2yr'!X58/'T E&amp;G 2YR'!X58*100</f>
        <v>35.995607407417154</v>
      </c>
      <c r="T60" s="39">
        <f>'PLANT OPER MAIN 2yr'!X58/'T E&amp;G 2YR'!X58*100</f>
        <v>0</v>
      </c>
      <c r="U60" s="38">
        <f>'SCHOLAR FELLOW 2yr'!X58/'T E&amp;G 2YR'!X58*100</f>
        <v>24.062985614797277</v>
      </c>
      <c r="V60" s="37">
        <f>IF((('All Other 2yr'!X58/'T E&amp;G 2YR'!X58)*100)&gt;=0.05,('All Other 2yr'!X58/'T E&amp;G 2YR'!X58)*100,"*")</f>
        <v>1.1834383963041117</v>
      </c>
      <c r="W60" s="17"/>
      <c r="X60" s="28">
        <f t="shared" si="1"/>
        <v>99.999999999999986</v>
      </c>
      <c r="Y60" s="28">
        <f t="shared" si="17"/>
        <v>99.998635401045831</v>
      </c>
      <c r="Z60" s="30"/>
    </row>
    <row r="61" spans="1:26" s="31" customFormat="1">
      <c r="A61" s="53" t="s">
        <v>103</v>
      </c>
      <c r="B61" s="53"/>
      <c r="C61" s="65">
        <f>('INSTRUCTION-2YR'!AC59)/('T E&amp;G 2YR'!AC59)*100</f>
        <v>35.382933377619089</v>
      </c>
      <c r="D61" s="65">
        <f>IF((('RESEARCH 2yr'!AC59/'T E&amp;G 2YR'!AC59)*100)=0,('RESEARCH 2yr'!AC59/'T E&amp;G 2YR'!AC59)*100,IF((('RESEARCH 2yr'!AC59/'T E&amp;G 2YR'!AC59)*100)&gt;=0.05,('RESEARCH 2yr'!AC59/'T E&amp;G 2YR'!AC59)*100,"*"))</f>
        <v>0.29538835532593077</v>
      </c>
      <c r="E61" s="65">
        <f>'PUBLIC SERVICE 2yr'!AC59/'T E&amp;G 2YR'!AC59*100</f>
        <v>6.5697044124040635E-2</v>
      </c>
      <c r="F61" s="65">
        <f>'ASptISptSSv 2yr'!AC59/'T E&amp;G 2YR'!AC59*100</f>
        <v>40.847789881078825</v>
      </c>
      <c r="G61" s="65">
        <f>'SCHOLAR FELLOW 2yr'!AC59/'T E&amp;G 2YR'!AC59*100</f>
        <v>13.61836881825583</v>
      </c>
      <c r="H61" s="65">
        <f>('All Other 2yr'!AC59/'T E&amp;G 2YR'!AC59)*100</f>
        <v>9.7898225235962872</v>
      </c>
      <c r="I61" s="66">
        <f t="shared" si="10"/>
        <v>-4.2531250703431951</v>
      </c>
      <c r="J61" s="65">
        <f t="shared" si="11"/>
        <v>0.14023526460201391</v>
      </c>
      <c r="K61" s="65">
        <f t="shared" si="12"/>
        <v>-6.2711607451739468E-2</v>
      </c>
      <c r="L61" s="65">
        <f t="shared" si="13"/>
        <v>-1.8218864772231953</v>
      </c>
      <c r="M61" s="65">
        <f t="shared" si="14"/>
        <v>-3.7923346331801699</v>
      </c>
      <c r="N61" s="65">
        <f t="shared" si="15"/>
        <v>9.7898225235962872</v>
      </c>
      <c r="O61" s="17"/>
      <c r="P61" s="38">
        <f>'INSTRUCTION-2YR'!X59/'T E&amp;G 2YR'!X59*100</f>
        <v>39.636058447962284</v>
      </c>
      <c r="Q61" s="38">
        <f>('RESEARCH 2yr'!X59/'T E&amp;G 2YR'!X59)*100</f>
        <v>0.15515309072391686</v>
      </c>
      <c r="R61" s="38">
        <f>'PUBLIC SERVICE 2yr'!X59/'T E&amp;G 2YR'!X59*100</f>
        <v>0.1284086515757801</v>
      </c>
      <c r="S61" s="38">
        <f>'ASptISptSSv 2yr'!X59/'T E&amp;G 2YR'!X59*100</f>
        <v>42.66967635830202</v>
      </c>
      <c r="T61" s="39">
        <f>'PLANT OPER MAIN 2yr'!X59/'T E&amp;G 2YR'!X59*100</f>
        <v>0</v>
      </c>
      <c r="U61" s="38">
        <f>'SCHOLAR FELLOW 2yr'!X59/'T E&amp;G 2YR'!X59*100</f>
        <v>17.410703451436</v>
      </c>
      <c r="V61" s="37" t="str">
        <f>IF((('All Other 2yr'!X59/'T E&amp;G 2YR'!X59)*100)&gt;=0.05,('All Other 2yr'!X59/'T E&amp;G 2YR'!X59)*100,"*")</f>
        <v>*</v>
      </c>
      <c r="W61" s="17"/>
      <c r="X61" s="28">
        <f t="shared" si="1"/>
        <v>100</v>
      </c>
      <c r="Y61" s="28">
        <f t="shared" si="17"/>
        <v>100.00000000000001</v>
      </c>
      <c r="Z61" s="30"/>
    </row>
    <row r="62" spans="1:26" s="31" customFormat="1">
      <c r="A62" s="54" t="s">
        <v>104</v>
      </c>
      <c r="B62" s="54"/>
      <c r="C62" s="63">
        <f>('INSTRUCTION-2YR'!AC60)/('T E&amp;G 2YR'!AC60)*100</f>
        <v>35.049334773932074</v>
      </c>
      <c r="D62" s="63">
        <f>IF((('RESEARCH 2yr'!AC60/'T E&amp;G 2YR'!AC60)*100)=0,('RESEARCH 2yr'!AC60/'T E&amp;G 2YR'!AC60)*100,IF((('RESEARCH 2yr'!AC60/'T E&amp;G 2YR'!AC60)*100)&gt;=0.05,('RESEARCH 2yr'!AC60/'T E&amp;G 2YR'!AC60)*100,"*"))</f>
        <v>0.15765617761396392</v>
      </c>
      <c r="E62" s="63">
        <f>'PUBLIC SERVICE 2yr'!AC60/'T E&amp;G 2YR'!AC60*100</f>
        <v>2.3124507861429908</v>
      </c>
      <c r="F62" s="63">
        <f>'ASptISptSSv 2yr'!AC60/'T E&amp;G 2YR'!AC60*100</f>
        <v>33.474564925656068</v>
      </c>
      <c r="G62" s="63">
        <f>'SCHOLAR FELLOW 2yr'!AC60/'T E&amp;G 2YR'!AC60*100</f>
        <v>19.349555450206893</v>
      </c>
      <c r="H62" s="63">
        <f>('All Other 2yr'!AC60/'T E&amp;G 2YR'!AC60)*100</f>
        <v>9.656437886448014</v>
      </c>
      <c r="I62" s="64">
        <f t="shared" si="10"/>
        <v>-0.74613205071761968</v>
      </c>
      <c r="J62" s="63" t="str">
        <f t="shared" si="11"/>
        <v>*</v>
      </c>
      <c r="K62" s="63">
        <f t="shared" si="12"/>
        <v>5.264402773790966E-2</v>
      </c>
      <c r="L62" s="63">
        <f t="shared" si="13"/>
        <v>1.3376482864089567</v>
      </c>
      <c r="M62" s="63">
        <f t="shared" si="14"/>
        <v>-5.7752298583019979</v>
      </c>
      <c r="N62" s="63">
        <f t="shared" si="15"/>
        <v>5.1591125464200882</v>
      </c>
      <c r="O62" s="17"/>
      <c r="P62" s="38">
        <f>'INSTRUCTION-2YR'!X60/'T E&amp;G 2YR'!X60*100</f>
        <v>35.795466824649694</v>
      </c>
      <c r="Q62" s="38">
        <f>('RESEARCH 2yr'!X60/'T E&amp;G 2YR'!X60)*100</f>
        <v>0.18569912916129236</v>
      </c>
      <c r="R62" s="38">
        <f>'PUBLIC SERVICE 2yr'!X60/'T E&amp;G 2YR'!X60*100</f>
        <v>2.2598067584050812</v>
      </c>
      <c r="S62" s="38">
        <f>'ASptISptSSv 2yr'!X60/'T E&amp;G 2YR'!X60*100</f>
        <v>32.136916639247112</v>
      </c>
      <c r="T62" s="39">
        <f>'PLANT OPER MAIN 2yr'!X60/'T E&amp;G 2YR'!X60*100</f>
        <v>0</v>
      </c>
      <c r="U62" s="38">
        <f>'SCHOLAR FELLOW 2yr'!X60/'T E&amp;G 2YR'!X60*100</f>
        <v>25.124785308508891</v>
      </c>
      <c r="V62" s="37">
        <f>IF((('All Other 2yr'!X60/'T E&amp;G 2YR'!X60)*100)&gt;=0.05,('All Other 2yr'!X60/'T E&amp;G 2YR'!X60)*100,"*")</f>
        <v>4.4973253400279258</v>
      </c>
      <c r="W62" s="17"/>
      <c r="X62" s="28">
        <f t="shared" si="1"/>
        <v>100</v>
      </c>
      <c r="Y62" s="28">
        <f t="shared" si="17"/>
        <v>100</v>
      </c>
      <c r="Z62" s="30"/>
    </row>
    <row r="63" spans="1:26" s="31" customFormat="1">
      <c r="A63" s="54" t="s">
        <v>106</v>
      </c>
      <c r="B63" s="54"/>
      <c r="C63" s="63">
        <f>('INSTRUCTION-2YR'!AC61)/('T E&amp;G 2YR'!AC61)*100</f>
        <v>42.606325140258413</v>
      </c>
      <c r="D63" s="63">
        <f>IF((('RESEARCH 2yr'!AC61/'T E&amp;G 2YR'!AC61)*100)=0,('RESEARCH 2yr'!AC61/'T E&amp;G 2YR'!AC61)*100,IF((('RESEARCH 2yr'!AC61/'T E&amp;G 2YR'!AC61)*100)&gt;=0.05,('RESEARCH 2yr'!AC61/'T E&amp;G 2YR'!AC61)*100,"*"))</f>
        <v>0.17250669417602749</v>
      </c>
      <c r="E63" s="63">
        <f>'PUBLIC SERVICE 2yr'!AC61/'T E&amp;G 2YR'!AC61*100</f>
        <v>0.62667140569162871</v>
      </c>
      <c r="F63" s="63">
        <f>'ASptISptSSv 2yr'!AC61/'T E&amp;G 2YR'!AC61*100</f>
        <v>30.911981511936709</v>
      </c>
      <c r="G63" s="63">
        <f>'SCHOLAR FELLOW 2yr'!AC61/'T E&amp;G 2YR'!AC61*100</f>
        <v>20.97617690034437</v>
      </c>
      <c r="H63" s="63">
        <f>('All Other 2yr'!AC61/'T E&amp;G 2YR'!AC61)*100</f>
        <v>4.7063383475928564</v>
      </c>
      <c r="I63" s="64">
        <f t="shared" si="10"/>
        <v>2.0760032805461535</v>
      </c>
      <c r="J63" s="63">
        <f t="shared" si="11"/>
        <v>9.4135043640633659E-2</v>
      </c>
      <c r="K63" s="63">
        <f t="shared" si="12"/>
        <v>-0.1684736841410277</v>
      </c>
      <c r="L63" s="63">
        <f t="shared" si="13"/>
        <v>-0.14838320622477852</v>
      </c>
      <c r="M63" s="63">
        <f t="shared" si="14"/>
        <v>-2.8841331866401632</v>
      </c>
      <c r="N63" s="63">
        <f t="shared" si="15"/>
        <v>1.0308517528191761</v>
      </c>
      <c r="O63" s="17"/>
      <c r="P63" s="38">
        <f>'INSTRUCTION-2YR'!X61/'T E&amp;G 2YR'!X61*100</f>
        <v>40.530321859712259</v>
      </c>
      <c r="Q63" s="38">
        <f>('RESEARCH 2yr'!X61/'T E&amp;G 2YR'!X61)*100</f>
        <v>7.8371650535393828E-2</v>
      </c>
      <c r="R63" s="38">
        <f>'PUBLIC SERVICE 2yr'!X61/'T E&amp;G 2YR'!X61*100</f>
        <v>0.79514508983265642</v>
      </c>
      <c r="S63" s="38">
        <f>'ASptISptSSv 2yr'!X61/'T E&amp;G 2YR'!X61*100</f>
        <v>31.060364718161487</v>
      </c>
      <c r="T63" s="39">
        <f>'PLANT OPER MAIN 2yr'!X61/'T E&amp;G 2YR'!X61*100</f>
        <v>0</v>
      </c>
      <c r="U63" s="38">
        <f>'SCHOLAR FELLOW 2yr'!X61/'T E&amp;G 2YR'!X61*100</f>
        <v>23.860310086984533</v>
      </c>
      <c r="V63" s="37">
        <f>IF((('All Other 2yr'!X61/'T E&amp;G 2YR'!X61)*100)&gt;=0.05,('All Other 2yr'!X61/'T E&amp;G 2YR'!X61)*100,"*")</f>
        <v>3.6754865947736803</v>
      </c>
      <c r="W63" s="17"/>
      <c r="X63" s="28">
        <f t="shared" si="1"/>
        <v>100</v>
      </c>
      <c r="Y63" s="28">
        <f t="shared" si="17"/>
        <v>100.00000000000001</v>
      </c>
      <c r="Z63" s="30"/>
    </row>
    <row r="64" spans="1:26" s="31" customFormat="1">
      <c r="A64" s="54" t="s">
        <v>110</v>
      </c>
      <c r="B64" s="54"/>
      <c r="C64" s="63">
        <f>('INSTRUCTION-2YR'!AC62)/('T E&amp;G 2YR'!AC62)*100</f>
        <v>38.875445168137176</v>
      </c>
      <c r="D64" s="63">
        <f>IF((('RESEARCH 2yr'!AC62/'T E&amp;G 2YR'!AC62)*100)=0,('RESEARCH 2yr'!AC62/'T E&amp;G 2YR'!AC62)*100,IF((('RESEARCH 2yr'!AC62/'T E&amp;G 2YR'!AC62)*100)&gt;=0.05,('RESEARCH 2yr'!AC62/'T E&amp;G 2YR'!AC62)*100,"*"))</f>
        <v>0</v>
      </c>
      <c r="E64" s="63">
        <f>'PUBLIC SERVICE 2yr'!AC62/'T E&amp;G 2YR'!AC62*100</f>
        <v>0.24493642068931795</v>
      </c>
      <c r="F64" s="63">
        <f>'ASptISptSSv 2yr'!AC62/'T E&amp;G 2YR'!AC62*100</f>
        <v>33.742475795979971</v>
      </c>
      <c r="G64" s="63">
        <f>'SCHOLAR FELLOW 2yr'!AC62/'T E&amp;G 2YR'!AC62*100</f>
        <v>19.141479781460266</v>
      </c>
      <c r="H64" s="63">
        <f>('All Other 2yr'!AC62/'T E&amp;G 2YR'!AC62)*100</f>
        <v>7.9956628337332649</v>
      </c>
      <c r="I64" s="64">
        <f t="shared" si="10"/>
        <v>-0.35396047820050569</v>
      </c>
      <c r="J64" s="63" t="str">
        <f t="shared" si="11"/>
        <v>*</v>
      </c>
      <c r="K64" s="63" t="str">
        <f t="shared" si="12"/>
        <v>*</v>
      </c>
      <c r="L64" s="63">
        <f t="shared" si="13"/>
        <v>1.1894193145273917</v>
      </c>
      <c r="M64" s="63">
        <f t="shared" si="14"/>
        <v>-2.2701308329845737</v>
      </c>
      <c r="N64" s="63">
        <f t="shared" si="15"/>
        <v>1.4473320703956309</v>
      </c>
      <c r="O64" s="17"/>
      <c r="P64" s="38">
        <f>'INSTRUCTION-2YR'!X62/'T E&amp;G 2YR'!X62*100</f>
        <v>39.229405646337682</v>
      </c>
      <c r="Q64" s="38">
        <f>('RESEARCH 2yr'!X62/'T E&amp;G 2YR'!X62)*100</f>
        <v>3.9733029778993252E-4</v>
      </c>
      <c r="R64" s="38">
        <f>'PUBLIC SERVICE 2yr'!X62/'T E&amp;G 2YR'!X62*100</f>
        <v>0.25719916412946359</v>
      </c>
      <c r="S64" s="38">
        <f>'ASptISptSSv 2yr'!X62/'T E&amp;G 2YR'!X62*100</f>
        <v>32.553056481452579</v>
      </c>
      <c r="T64" s="39">
        <f>'PLANT OPER MAIN 2yr'!X62/'T E&amp;G 2YR'!X62*100</f>
        <v>0</v>
      </c>
      <c r="U64" s="38">
        <f>'SCHOLAR FELLOW 2yr'!X62/'T E&amp;G 2YR'!X62*100</f>
        <v>21.411610614444839</v>
      </c>
      <c r="V64" s="37">
        <f>IF((('All Other 2yr'!X62/'T E&amp;G 2YR'!X62)*100)&gt;=0.05,('All Other 2yr'!X62/'T E&amp;G 2YR'!X62)*100,"*")</f>
        <v>6.548330763337634</v>
      </c>
      <c r="W64" s="17"/>
      <c r="X64" s="28">
        <f t="shared" si="1"/>
        <v>99.999999999999986</v>
      </c>
      <c r="Y64" s="28">
        <f t="shared" si="17"/>
        <v>99.999999999999986</v>
      </c>
      <c r="Z64" s="30"/>
    </row>
    <row r="65" spans="1:30" s="31" customFormat="1">
      <c r="A65" s="54" t="s">
        <v>111</v>
      </c>
      <c r="B65" s="54"/>
      <c r="C65" s="63">
        <f>('INSTRUCTION-2YR'!AC63)/('T E&amp;G 2YR'!AC63)*100</f>
        <v>44.921979466604796</v>
      </c>
      <c r="D65" s="63">
        <f>IF((('RESEARCH 2yr'!AC63/'T E&amp;G 2YR'!AC63)*100)=0,('RESEARCH 2yr'!AC63/'T E&amp;G 2YR'!AC63)*100,IF((('RESEARCH 2yr'!AC63/'T E&amp;G 2YR'!AC63)*100)&gt;=0.05,('RESEARCH 2yr'!AC63/'T E&amp;G 2YR'!AC63)*100,"*"))</f>
        <v>0</v>
      </c>
      <c r="E65" s="63">
        <f>'PUBLIC SERVICE 2yr'!AC63/'T E&amp;G 2YR'!AC63*100</f>
        <v>0.87778641798906198</v>
      </c>
      <c r="F65" s="63">
        <f>'ASptISptSSv 2yr'!AC63/'T E&amp;G 2YR'!AC63*100</f>
        <v>33.406442971693863</v>
      </c>
      <c r="G65" s="63">
        <f>'SCHOLAR FELLOW 2yr'!AC63/'T E&amp;G 2YR'!AC63*100</f>
        <v>20.793791143712294</v>
      </c>
      <c r="H65" s="63">
        <f>('All Other 2yr'!AC63/'T E&amp;G 2YR'!AC63)*100</f>
        <v>0</v>
      </c>
      <c r="I65" s="64">
        <f t="shared" si="10"/>
        <v>0.35223820804608863</v>
      </c>
      <c r="J65" s="63">
        <f t="shared" si="11"/>
        <v>0</v>
      </c>
      <c r="K65" s="63">
        <f t="shared" si="12"/>
        <v>-0.27006030592296026</v>
      </c>
      <c r="L65" s="63">
        <f t="shared" si="13"/>
        <v>2.0222301251556232</v>
      </c>
      <c r="M65" s="63">
        <f t="shared" si="14"/>
        <v>-2.1044080272787369</v>
      </c>
      <c r="N65" s="63">
        <f t="shared" si="15"/>
        <v>0</v>
      </c>
      <c r="O65" s="17"/>
      <c r="P65" s="38">
        <f>'INSTRUCTION-2YR'!X63/'T E&amp;G 2YR'!X63*100</f>
        <v>44.569741258558707</v>
      </c>
      <c r="Q65" s="38">
        <f>('RESEARCH 2yr'!X63/'T E&amp;G 2YR'!X63)*100</f>
        <v>0</v>
      </c>
      <c r="R65" s="38">
        <f>'PUBLIC SERVICE 2yr'!X63/'T E&amp;G 2YR'!X63*100</f>
        <v>1.1478467239120222</v>
      </c>
      <c r="S65" s="38">
        <f>'ASptISptSSv 2yr'!X63/'T E&amp;G 2YR'!X63*100</f>
        <v>31.38421284653824</v>
      </c>
      <c r="T65" s="39">
        <f>'PLANT OPER MAIN 2yr'!X63/'T E&amp;G 2YR'!X63*100</f>
        <v>0</v>
      </c>
      <c r="U65" s="38">
        <f>'SCHOLAR FELLOW 2yr'!X63/'T E&amp;G 2YR'!X63*100</f>
        <v>22.898199170991031</v>
      </c>
      <c r="V65" s="37" t="str">
        <f>IF((('All Other 2yr'!X63/'T E&amp;G 2YR'!X63)*100)&gt;=0.05,('All Other 2yr'!X63/'T E&amp;G 2YR'!X63)*100,"*")</f>
        <v>*</v>
      </c>
      <c r="W65" s="17"/>
      <c r="X65" s="28">
        <f t="shared" si="1"/>
        <v>100</v>
      </c>
      <c r="Y65" s="28">
        <f t="shared" si="17"/>
        <v>100.00000000000003</v>
      </c>
      <c r="Z65" s="30"/>
    </row>
    <row r="66" spans="1:30" s="31" customFormat="1">
      <c r="A66" s="55" t="s">
        <v>114</v>
      </c>
      <c r="B66" s="55"/>
      <c r="C66" s="63">
        <f>('INSTRUCTION-2YR'!AC64)/('T E&amp;G 2YR'!AC64)*100</f>
        <v>27.182081735633755</v>
      </c>
      <c r="D66" s="63">
        <f>IF((('RESEARCH 2yr'!AC64/'T E&amp;G 2YR'!AC64)*100)=0,('RESEARCH 2yr'!AC64/'T E&amp;G 2YR'!AC64)*100,IF((('RESEARCH 2yr'!AC64/'T E&amp;G 2YR'!AC64)*100)&gt;=0.05,('RESEARCH 2yr'!AC64/'T E&amp;G 2YR'!AC64)*100,"*"))</f>
        <v>0</v>
      </c>
      <c r="E66" s="63">
        <f>'PUBLIC SERVICE 2yr'!AC64/'T E&amp;G 2YR'!AC64*100</f>
        <v>2.6343423049158918</v>
      </c>
      <c r="F66" s="63">
        <f>'ASptISptSSv 2yr'!AC64/'T E&amp;G 2YR'!AC64*100</f>
        <v>52.541233909500718</v>
      </c>
      <c r="G66" s="63">
        <f>'SCHOLAR FELLOW 2yr'!AC64/'T E&amp;G 2YR'!AC64*100</f>
        <v>17.642339496201082</v>
      </c>
      <c r="H66" s="63">
        <f>('All Other 2yr'!AC64/'T E&amp;G 2YR'!AC64)*100</f>
        <v>2.5537485542910214E-6</v>
      </c>
      <c r="I66" s="62">
        <f t="shared" si="10"/>
        <v>0.79704543352694301</v>
      </c>
      <c r="J66" s="61">
        <f t="shared" si="11"/>
        <v>0</v>
      </c>
      <c r="K66" s="61">
        <f t="shared" si="12"/>
        <v>0.1758356551343403</v>
      </c>
      <c r="L66" s="61">
        <f t="shared" si="13"/>
        <v>5.4628057516620743</v>
      </c>
      <c r="M66" s="61">
        <f t="shared" si="14"/>
        <v>-6.4356893940719111</v>
      </c>
      <c r="N66" s="61" t="str">
        <f t="shared" si="15"/>
        <v>*</v>
      </c>
      <c r="O66" s="17"/>
      <c r="P66" s="38">
        <f>'INSTRUCTION-2YR'!X64/'T E&amp;G 2YR'!X64*100</f>
        <v>26.385036302106812</v>
      </c>
      <c r="Q66" s="38">
        <f>('RESEARCH 2yr'!X64/'T E&amp;G 2YR'!X64)*100</f>
        <v>0</v>
      </c>
      <c r="R66" s="38">
        <f>'PUBLIC SERVICE 2yr'!X64/'T E&amp;G 2YR'!X64*100</f>
        <v>2.4585066497815515</v>
      </c>
      <c r="S66" s="38">
        <f>'ASptISptSSv 2yr'!X64/'T E&amp;G 2YR'!X64*100</f>
        <v>47.078428157838644</v>
      </c>
      <c r="T66" s="39">
        <f>'PLANT OPER MAIN 2yr'!X64/'T E&amp;G 2YR'!X64*100</f>
        <v>0</v>
      </c>
      <c r="U66" s="38">
        <f>'SCHOLAR FELLOW 2yr'!X64/'T E&amp;G 2YR'!X64*100</f>
        <v>24.078028890272993</v>
      </c>
      <c r="V66" s="37" t="str">
        <f>IF((('All Other 2yr'!X64/'T E&amp;G 2YR'!X64)*100)&gt;=0.05,('All Other 2yr'!X64/'T E&amp;G 2YR'!X64)*100,"*")</f>
        <v>*</v>
      </c>
      <c r="W66" s="17"/>
      <c r="X66" s="28">
        <f t="shared" si="1"/>
        <v>100</v>
      </c>
      <c r="Y66" s="28">
        <f t="shared" si="17"/>
        <v>100.00000000000001</v>
      </c>
      <c r="Z66" s="30"/>
    </row>
    <row r="67" spans="1:30" s="31" customFormat="1">
      <c r="A67" s="46" t="s">
        <v>90</v>
      </c>
      <c r="B67" s="46"/>
      <c r="C67" s="71" t="s">
        <v>123</v>
      </c>
      <c r="D67" s="71" t="s">
        <v>123</v>
      </c>
      <c r="E67" s="71" t="s">
        <v>123</v>
      </c>
      <c r="F67" s="71" t="s">
        <v>123</v>
      </c>
      <c r="G67" s="71" t="s">
        <v>123</v>
      </c>
      <c r="H67" s="71" t="s">
        <v>123</v>
      </c>
      <c r="I67" s="72" t="s">
        <v>123</v>
      </c>
      <c r="J67" s="71" t="s">
        <v>123</v>
      </c>
      <c r="K67" s="71" t="s">
        <v>123</v>
      </c>
      <c r="L67" s="71" t="s">
        <v>123</v>
      </c>
      <c r="M67" s="71" t="s">
        <v>123</v>
      </c>
      <c r="N67" s="71" t="s">
        <v>123</v>
      </c>
      <c r="O67" s="17"/>
      <c r="P67" s="38"/>
      <c r="Q67" s="38"/>
      <c r="R67" s="38"/>
      <c r="S67" s="38"/>
      <c r="T67" s="39"/>
      <c r="U67" s="38"/>
      <c r="V67" s="37"/>
      <c r="W67" s="17"/>
      <c r="X67" s="28"/>
      <c r="Y67" s="28"/>
      <c r="Z67" s="30"/>
    </row>
    <row r="68" spans="1:30" s="31" customFormat="1">
      <c r="A68" s="22"/>
      <c r="B68"/>
      <c r="C68"/>
      <c r="D68"/>
      <c r="E68"/>
      <c r="F68"/>
      <c r="G68" s="29"/>
      <c r="H68"/>
      <c r="I68"/>
      <c r="L68" s="29"/>
      <c r="M68" s="29"/>
      <c r="N68" s="29"/>
      <c r="O68" s="17"/>
      <c r="P68" s="17"/>
      <c r="Q68" s="17"/>
      <c r="R68" s="17"/>
      <c r="S68" s="17"/>
      <c r="T68" s="17"/>
      <c r="U68" s="17"/>
      <c r="V68" s="17"/>
      <c r="W68" s="17"/>
      <c r="X68" s="30"/>
      <c r="Y68" s="30"/>
      <c r="Z68" s="30"/>
    </row>
    <row r="69" spans="1:30" ht="27.75" customHeight="1">
      <c r="A69" s="108" t="s">
        <v>159</v>
      </c>
      <c r="I69" s="106" t="s">
        <v>146</v>
      </c>
      <c r="J69" s="107"/>
      <c r="K69" s="107"/>
      <c r="L69" s="107"/>
      <c r="M69" s="107"/>
      <c r="N69" s="107"/>
      <c r="O69" s="18"/>
      <c r="P69" s="18"/>
      <c r="Q69" s="18"/>
      <c r="R69" s="18"/>
      <c r="S69" s="18"/>
      <c r="T69" s="18"/>
      <c r="U69" s="18"/>
      <c r="V69" s="18"/>
      <c r="W69" s="18"/>
      <c r="X69" s="1"/>
      <c r="Y69" s="14"/>
      <c r="Z69" s="1"/>
      <c r="AA69" s="1"/>
      <c r="AB69" s="1"/>
      <c r="AC69" s="1"/>
      <c r="AD69" s="1"/>
    </row>
    <row r="70" spans="1:30" ht="18" customHeight="1">
      <c r="A70" s="22" t="s">
        <v>158</v>
      </c>
      <c r="K70" s="14"/>
      <c r="L70" s="14"/>
      <c r="M70" s="14"/>
      <c r="N70" s="14"/>
      <c r="O70" s="18"/>
      <c r="P70" s="18"/>
      <c r="Q70" s="18"/>
      <c r="R70" s="18"/>
      <c r="S70" s="18"/>
      <c r="T70" s="18"/>
      <c r="U70" s="18"/>
      <c r="V70" s="18"/>
      <c r="W70" s="18"/>
      <c r="X70" s="1"/>
      <c r="Y70" s="14"/>
      <c r="Z70" s="1"/>
      <c r="AA70" s="1"/>
      <c r="AB70" s="1"/>
      <c r="AC70" s="1"/>
      <c r="AD70" s="1"/>
    </row>
    <row r="71" spans="1:30" ht="115.5" customHeight="1">
      <c r="A71" s="106" t="s">
        <v>137</v>
      </c>
      <c r="B71" s="105"/>
      <c r="C71" s="105"/>
      <c r="D71" s="105"/>
      <c r="E71" s="105"/>
      <c r="F71" s="105"/>
      <c r="G71" s="105"/>
      <c r="H71" s="29"/>
      <c r="I71" s="29"/>
      <c r="J71" s="29"/>
      <c r="K71" s="29"/>
      <c r="L71" s="29"/>
      <c r="M71" s="29"/>
      <c r="N71" s="29"/>
      <c r="O71" s="18"/>
      <c r="P71" s="18"/>
      <c r="Q71" s="18"/>
      <c r="R71" s="18"/>
      <c r="S71" s="18"/>
      <c r="T71" s="18"/>
      <c r="U71" s="18"/>
      <c r="V71" s="18"/>
      <c r="W71" s="18"/>
      <c r="X71" s="1"/>
      <c r="Y71" s="14"/>
      <c r="Z71" s="1"/>
      <c r="AA71" s="1"/>
      <c r="AB71" s="1"/>
      <c r="AC71" s="1"/>
      <c r="AD71" s="1"/>
    </row>
    <row r="72" spans="1:30" ht="48.75" customHeight="1">
      <c r="A72" s="106" t="s">
        <v>147</v>
      </c>
      <c r="B72" s="105"/>
      <c r="C72" s="105"/>
      <c r="D72" s="105"/>
      <c r="E72" s="105"/>
      <c r="F72" s="105"/>
      <c r="G72" s="105"/>
      <c r="H72" s="105"/>
      <c r="I72" s="29"/>
      <c r="J72" s="29"/>
      <c r="K72" s="29"/>
      <c r="L72" s="29"/>
      <c r="M72" s="29"/>
      <c r="N72" s="29"/>
      <c r="O72" s="18"/>
      <c r="P72" s="18"/>
      <c r="Q72" s="18"/>
      <c r="R72" s="18"/>
      <c r="S72" s="18"/>
      <c r="T72" s="18"/>
      <c r="U72" s="18"/>
      <c r="V72" s="18"/>
      <c r="W72" s="18"/>
      <c r="X72" s="1"/>
      <c r="Y72" s="14"/>
      <c r="Z72" s="1"/>
      <c r="AA72" s="1"/>
      <c r="AB72" s="1"/>
      <c r="AC72" s="1"/>
      <c r="AD72" s="1"/>
    </row>
    <row r="73" spans="1:30" ht="48.75" customHeight="1">
      <c r="A73" s="106" t="s">
        <v>138</v>
      </c>
      <c r="B73" s="105"/>
      <c r="C73" s="105"/>
      <c r="D73" s="105"/>
      <c r="E73" s="105"/>
      <c r="F73" s="105"/>
      <c r="G73" s="105"/>
      <c r="H73" s="27"/>
      <c r="I73" s="27"/>
      <c r="J73" s="27"/>
      <c r="K73" s="27"/>
      <c r="L73" s="27"/>
      <c r="M73" s="27"/>
      <c r="N73" s="19"/>
      <c r="O73"/>
      <c r="P73"/>
      <c r="Q73"/>
      <c r="R73"/>
      <c r="S73"/>
      <c r="T73"/>
      <c r="U73"/>
      <c r="V73"/>
      <c r="W73"/>
    </row>
    <row r="74" spans="1:30">
      <c r="A74" s="32"/>
      <c r="B74" s="14"/>
      <c r="C74" s="1"/>
      <c r="D74" s="1"/>
      <c r="E74" s="1"/>
      <c r="F74" s="1"/>
      <c r="G74" s="1"/>
      <c r="H74" s="1"/>
      <c r="I74" s="1"/>
      <c r="J74" s="1"/>
      <c r="K74" s="1"/>
      <c r="L74" s="1"/>
      <c r="M74" s="1"/>
      <c r="N74" s="1" t="s">
        <v>154</v>
      </c>
      <c r="O74" s="8"/>
      <c r="P74" s="8"/>
      <c r="Q74" s="8"/>
      <c r="R74" s="8"/>
      <c r="S74" s="8"/>
      <c r="T74" s="8"/>
      <c r="U74" s="8"/>
      <c r="V74" s="8"/>
      <c r="W74" s="8"/>
      <c r="X74" s="1"/>
      <c r="Y74" s="1"/>
      <c r="Z74" s="1"/>
      <c r="AA74" s="1"/>
      <c r="AB74" s="1"/>
      <c r="AC74" s="1"/>
      <c r="AD74" s="1"/>
    </row>
    <row r="75" spans="1:30">
      <c r="A75" s="1"/>
      <c r="B75" s="1"/>
      <c r="C75" s="1"/>
      <c r="D75" s="1"/>
      <c r="E75" s="1"/>
      <c r="F75" s="1"/>
      <c r="G75" s="1"/>
      <c r="H75" s="1"/>
      <c r="I75" s="1"/>
      <c r="J75" s="1"/>
      <c r="K75" s="1"/>
      <c r="L75" s="1"/>
      <c r="M75" s="1"/>
      <c r="N75" s="1"/>
      <c r="O75" s="8"/>
      <c r="P75" s="8"/>
      <c r="Q75" s="8"/>
      <c r="R75" s="8"/>
      <c r="S75" s="8"/>
      <c r="T75" s="8"/>
      <c r="U75" s="8"/>
      <c r="V75" s="8"/>
      <c r="W75" s="8"/>
      <c r="X75" s="1"/>
      <c r="Y75" s="1"/>
      <c r="Z75" s="1"/>
      <c r="AA75" s="1"/>
      <c r="AB75" s="1"/>
      <c r="AC75" s="1"/>
      <c r="AD75" s="1"/>
    </row>
    <row r="76" spans="1:30">
      <c r="A76" s="1"/>
      <c r="B76" s="1"/>
      <c r="C76" s="1"/>
      <c r="D76" s="1"/>
      <c r="E76" s="1"/>
      <c r="F76" s="1"/>
      <c r="G76" s="1"/>
      <c r="H76" s="1"/>
      <c r="I76" s="1"/>
      <c r="J76" s="1"/>
      <c r="K76" s="1"/>
      <c r="L76" s="1"/>
      <c r="M76" s="1"/>
      <c r="N76" s="1"/>
      <c r="O76" s="8"/>
      <c r="P76" s="8"/>
      <c r="Q76" s="8"/>
      <c r="R76" s="8"/>
      <c r="S76" s="8"/>
      <c r="T76" s="8"/>
      <c r="U76" s="8"/>
      <c r="V76" s="8"/>
      <c r="W76" s="8"/>
      <c r="X76" s="1"/>
      <c r="Y76" s="1"/>
      <c r="Z76" s="1"/>
      <c r="AA76" s="1"/>
      <c r="AB76" s="1"/>
      <c r="AC76" s="1"/>
      <c r="AD76" s="1"/>
    </row>
    <row r="77" spans="1:30">
      <c r="A77" s="1"/>
      <c r="B77" s="1"/>
      <c r="C77" s="1"/>
      <c r="D77" s="1"/>
      <c r="E77" s="1"/>
      <c r="F77" s="1"/>
      <c r="G77" s="1"/>
      <c r="H77" s="1"/>
      <c r="I77" s="1"/>
      <c r="J77" s="1"/>
      <c r="K77" s="1"/>
      <c r="L77" s="1"/>
      <c r="M77" s="1"/>
      <c r="N77" s="1"/>
      <c r="O77" s="8"/>
      <c r="P77" s="8"/>
      <c r="Q77" s="8"/>
      <c r="R77" s="8"/>
      <c r="S77" s="8"/>
      <c r="T77" s="8"/>
      <c r="U77" s="8"/>
      <c r="V77" s="8"/>
      <c r="W77" s="8"/>
      <c r="X77" s="1"/>
      <c r="Y77" s="1"/>
      <c r="Z77" s="1"/>
      <c r="AA77" s="1"/>
      <c r="AB77" s="1"/>
      <c r="AC77" s="1"/>
      <c r="AD77" s="1"/>
    </row>
    <row r="78" spans="1:30">
      <c r="A78" s="1"/>
      <c r="B78" s="1"/>
      <c r="C78" s="1"/>
      <c r="D78" s="1"/>
      <c r="E78" s="1"/>
      <c r="F78" s="1"/>
      <c r="G78" s="1"/>
      <c r="H78" s="1"/>
      <c r="I78" s="1"/>
      <c r="J78" s="1"/>
      <c r="K78" s="1"/>
      <c r="L78" s="1"/>
      <c r="M78" s="1"/>
      <c r="N78" s="1"/>
      <c r="O78" s="8"/>
      <c r="P78" s="8"/>
      <c r="Q78" s="8"/>
      <c r="R78" s="8"/>
      <c r="S78" s="8"/>
      <c r="T78" s="8"/>
      <c r="U78" s="8"/>
      <c r="V78" s="8"/>
      <c r="W78" s="8"/>
      <c r="X78" s="1"/>
      <c r="Y78" s="1"/>
      <c r="Z78" s="1"/>
      <c r="AA78" s="1"/>
      <c r="AB78" s="1"/>
      <c r="AC78" s="1"/>
      <c r="AD78" s="1"/>
    </row>
    <row r="79" spans="1:30">
      <c r="A79" s="1"/>
      <c r="B79" s="1"/>
      <c r="C79" s="1"/>
      <c r="D79" s="1"/>
      <c r="E79" s="1"/>
      <c r="F79" s="1"/>
      <c r="G79" s="1"/>
      <c r="H79" s="1"/>
      <c r="I79" s="1"/>
      <c r="J79" s="1"/>
      <c r="K79" s="1"/>
      <c r="L79" s="1"/>
      <c r="M79" s="1"/>
      <c r="N79" s="1"/>
      <c r="O79" s="8"/>
      <c r="P79" s="8"/>
      <c r="Q79" s="8"/>
      <c r="R79" s="8"/>
      <c r="S79" s="8"/>
      <c r="T79" s="8"/>
      <c r="U79" s="8"/>
      <c r="V79" s="8"/>
      <c r="W79" s="8"/>
      <c r="X79" s="1"/>
      <c r="Y79" s="1"/>
      <c r="Z79" s="1"/>
      <c r="AA79" s="1"/>
      <c r="AB79" s="1"/>
      <c r="AC79" s="1"/>
      <c r="AD79" s="1"/>
    </row>
    <row r="80" spans="1:30">
      <c r="A80" s="1"/>
      <c r="B80" s="1"/>
      <c r="C80" s="1"/>
      <c r="D80" s="1"/>
      <c r="E80" s="1"/>
      <c r="F80" s="1"/>
      <c r="G80" s="1"/>
      <c r="H80" s="1"/>
      <c r="I80" s="1"/>
      <c r="J80" s="1"/>
      <c r="K80" s="1"/>
      <c r="L80" s="1"/>
      <c r="M80" s="1"/>
      <c r="N80" s="1"/>
      <c r="O80" s="8"/>
      <c r="P80" s="8"/>
      <c r="Q80" s="8"/>
      <c r="R80" s="8"/>
      <c r="S80" s="8"/>
      <c r="T80" s="8"/>
      <c r="U80" s="8"/>
      <c r="V80" s="8"/>
      <c r="W80" s="8"/>
      <c r="X80" s="1"/>
      <c r="Y80" s="1"/>
      <c r="Z80" s="1"/>
      <c r="AA80" s="1"/>
      <c r="AB80" s="1"/>
      <c r="AC80" s="1"/>
      <c r="AD80" s="1"/>
    </row>
    <row r="81" spans="1:30">
      <c r="A81" s="1"/>
      <c r="B81" s="1"/>
      <c r="C81" s="1"/>
      <c r="D81" s="1"/>
      <c r="E81" s="1"/>
      <c r="F81" s="1"/>
      <c r="G81" s="1"/>
      <c r="H81" s="1"/>
      <c r="I81" s="1"/>
      <c r="J81" s="1"/>
      <c r="K81" s="1"/>
      <c r="L81" s="1"/>
      <c r="M81" s="1"/>
      <c r="N81" s="1"/>
      <c r="O81" s="8"/>
      <c r="P81" s="8"/>
      <c r="Q81" s="8"/>
      <c r="R81" s="8"/>
      <c r="S81" s="8"/>
      <c r="T81" s="8"/>
      <c r="U81" s="8"/>
      <c r="V81" s="8"/>
      <c r="W81" s="8"/>
      <c r="X81" s="1"/>
      <c r="Y81" s="1"/>
      <c r="Z81" s="1"/>
      <c r="AA81" s="1"/>
      <c r="AB81" s="1"/>
      <c r="AC81" s="1"/>
      <c r="AD81" s="1"/>
    </row>
    <row r="82" spans="1:30">
      <c r="A82" s="1"/>
      <c r="B82" s="1"/>
      <c r="C82" s="1"/>
      <c r="D82" s="1"/>
      <c r="E82" s="1"/>
      <c r="F82" s="1"/>
      <c r="G82" s="1"/>
      <c r="H82" s="1"/>
      <c r="I82" s="1"/>
      <c r="J82" s="1"/>
      <c r="K82" s="1"/>
      <c r="L82" s="1"/>
      <c r="M82" s="1"/>
      <c r="N82" s="1"/>
      <c r="O82" s="8"/>
      <c r="P82" s="8"/>
      <c r="Q82" s="8"/>
      <c r="R82" s="8"/>
      <c r="S82" s="8"/>
      <c r="T82" s="8"/>
      <c r="U82" s="8"/>
      <c r="V82" s="8"/>
      <c r="W82" s="8"/>
      <c r="X82" s="1"/>
      <c r="Y82" s="1"/>
      <c r="Z82" s="1"/>
      <c r="AA82" s="1"/>
      <c r="AB82" s="1"/>
      <c r="AC82" s="1"/>
      <c r="AD82" s="1"/>
    </row>
    <row r="83" spans="1:30">
      <c r="A83" s="1"/>
      <c r="B83" s="1"/>
      <c r="C83" s="1"/>
      <c r="D83" s="1"/>
      <c r="E83" s="1"/>
      <c r="F83" s="1"/>
      <c r="G83" s="1"/>
      <c r="H83" s="1"/>
      <c r="I83" s="1"/>
      <c r="J83" s="1"/>
      <c r="K83" s="1"/>
      <c r="L83" s="1"/>
      <c r="M83" s="1"/>
      <c r="N83" s="1"/>
      <c r="O83" s="8"/>
      <c r="P83" s="8"/>
      <c r="Q83" s="8"/>
      <c r="R83" s="8"/>
      <c r="S83" s="8"/>
      <c r="T83" s="8"/>
      <c r="U83" s="8"/>
      <c r="V83" s="8"/>
      <c r="W83" s="8"/>
      <c r="X83" s="1"/>
      <c r="Y83" s="1"/>
      <c r="Z83" s="1"/>
      <c r="AA83" s="1"/>
      <c r="AB83" s="1"/>
      <c r="AC83" s="1"/>
      <c r="AD83" s="1"/>
    </row>
    <row r="84" spans="1:30">
      <c r="A84" s="1"/>
      <c r="B84" s="1"/>
      <c r="C84" s="1"/>
      <c r="D84" s="1"/>
      <c r="E84" s="1"/>
      <c r="F84" s="1"/>
      <c r="G84" s="1"/>
      <c r="H84" s="1"/>
      <c r="I84" s="1"/>
      <c r="J84" s="1"/>
      <c r="K84" s="1"/>
      <c r="L84" s="1"/>
      <c r="M84" s="1"/>
      <c r="N84" s="1"/>
      <c r="O84" s="8"/>
      <c r="P84" s="8"/>
      <c r="Q84" s="8"/>
      <c r="R84" s="8"/>
      <c r="S84" s="8"/>
      <c r="T84" s="8"/>
      <c r="U84" s="8"/>
      <c r="V84" s="8"/>
      <c r="W84" s="8"/>
      <c r="X84" s="1"/>
      <c r="Y84" s="1"/>
      <c r="Z84" s="1"/>
      <c r="AA84" s="1"/>
      <c r="AB84" s="1"/>
      <c r="AC84" s="1"/>
      <c r="AD84" s="1"/>
    </row>
  </sheetData>
  <mergeCells count="4">
    <mergeCell ref="A73:G73"/>
    <mergeCell ref="A71:G71"/>
    <mergeCell ref="A72:H72"/>
    <mergeCell ref="I69:N69"/>
  </mergeCells>
  <phoneticPr fontId="6" type="noConversion"/>
  <pageMargins left="0.5" right="0.5" top="0.75" bottom="0.55000000000000004" header="0.5" footer="0.5"/>
  <pageSetup scale="57" orientation="portrait" verticalDpi="300" r:id="rId1"/>
  <headerFooter alignWithMargins="0">
    <oddFooter>&amp;L&amp;"Arial,Regular"SREB Fact Book&amp;R&amp;"Arial,Regular"&amp;D</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1">
    <tabColor indexed="62"/>
  </sheetPr>
  <dimension ref="A1:AC70"/>
  <sheetViews>
    <sheetView showZeros="0" zoomScale="80" zoomScaleNormal="80" workbookViewId="0">
      <pane xSplit="1" ySplit="5" topLeftCell="T6" activePane="bottomRight" state="frozen"/>
      <selection activeCell="B52" sqref="B52"/>
      <selection pane="topRight" activeCell="B52" sqref="B52"/>
      <selection pane="bottomLeft" activeCell="B52" sqref="B52"/>
      <selection pane="bottomRight" activeCell="AF18" sqref="AF18"/>
    </sheetView>
  </sheetViews>
  <sheetFormatPr defaultColWidth="9.7109375" defaultRowHeight="12.75"/>
  <cols>
    <col min="1" max="1" width="23.42578125" style="44" customWidth="1"/>
    <col min="2" max="22" width="12.42578125" style="1" customWidth="1"/>
    <col min="23" max="23" width="10.85546875" style="1" bestFit="1" customWidth="1"/>
    <col min="24" max="29" width="10.7109375" style="1" customWidth="1"/>
    <col min="30" max="16384" width="9.7109375" style="1"/>
  </cols>
  <sheetData>
    <row r="1" spans="1:29">
      <c r="A1" s="7" t="s">
        <v>39</v>
      </c>
      <c r="B1"/>
      <c r="C1"/>
      <c r="D1"/>
      <c r="E1"/>
      <c r="F1"/>
      <c r="G1"/>
      <c r="H1"/>
      <c r="I1"/>
      <c r="J1"/>
      <c r="K1"/>
      <c r="L1"/>
      <c r="M1"/>
      <c r="N1"/>
      <c r="O1"/>
      <c r="P1"/>
      <c r="Q1"/>
      <c r="R1"/>
      <c r="S1"/>
      <c r="T1"/>
      <c r="U1"/>
      <c r="V1"/>
      <c r="W1"/>
    </row>
    <row r="2" spans="1:29">
      <c r="A2" s="9"/>
      <c r="B2"/>
      <c r="C2"/>
      <c r="D2"/>
      <c r="E2"/>
      <c r="F2"/>
      <c r="G2"/>
      <c r="H2"/>
      <c r="I2"/>
      <c r="J2"/>
      <c r="K2"/>
      <c r="L2"/>
      <c r="M2"/>
      <c r="N2"/>
      <c r="O2"/>
      <c r="P2"/>
      <c r="Q2"/>
      <c r="R2"/>
      <c r="S2"/>
      <c r="T2"/>
      <c r="U2"/>
      <c r="V2"/>
      <c r="W2"/>
      <c r="AA2" s="1">
        <v>1000</v>
      </c>
    </row>
    <row r="3" spans="1:29">
      <c r="A3" s="1" t="s">
        <v>25</v>
      </c>
      <c r="B3"/>
      <c r="C3"/>
      <c r="D3"/>
      <c r="E3"/>
      <c r="F3"/>
      <c r="G3"/>
      <c r="H3"/>
      <c r="I3"/>
      <c r="J3"/>
      <c r="K3"/>
      <c r="L3"/>
      <c r="M3"/>
      <c r="N3"/>
      <c r="O3"/>
      <c r="P3"/>
      <c r="Q3"/>
      <c r="R3"/>
      <c r="S3"/>
      <c r="T3"/>
      <c r="U3"/>
      <c r="V3"/>
      <c r="W3"/>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c r="W4" s="40">
        <v>2011</v>
      </c>
      <c r="X4" s="33" t="s">
        <v>140</v>
      </c>
      <c r="Y4" s="33" t="s">
        <v>142</v>
      </c>
      <c r="Z4" s="33" t="s">
        <v>143</v>
      </c>
      <c r="AA4" s="33" t="s">
        <v>144</v>
      </c>
      <c r="AB4" s="96" t="s">
        <v>149</v>
      </c>
      <c r="AC4" s="96" t="s">
        <v>150</v>
      </c>
    </row>
    <row r="5" spans="1:29" s="8" customFormat="1">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1">
        <v>694410</v>
      </c>
      <c r="C6" s="1">
        <v>763698</v>
      </c>
      <c r="D6" s="1">
        <v>885136</v>
      </c>
      <c r="E6" s="1">
        <v>1435323.699</v>
      </c>
      <c r="F6" s="49">
        <f>+F7+F25+F40+F54+F65</f>
        <v>1773660.1069999998</v>
      </c>
      <c r="G6" s="1">
        <v>2101296.2680000002</v>
      </c>
      <c r="H6" s="1">
        <v>2311420.4649999999</v>
      </c>
      <c r="I6" s="49">
        <f>+I7+I25+I40+I54+I65</f>
        <v>2335860.0559999999</v>
      </c>
      <c r="J6" s="1">
        <v>2477585.2919999999</v>
      </c>
      <c r="K6" s="49">
        <f t="shared" ref="K6:U6" si="0">+K7+K25+K40+K54+K65</f>
        <v>2647293.9116399996</v>
      </c>
      <c r="L6" s="49">
        <f t="shared" si="0"/>
        <v>3057930.676</v>
      </c>
      <c r="M6" s="49">
        <f t="shared" si="0"/>
        <v>3533544.0219999999</v>
      </c>
      <c r="N6" s="49">
        <f t="shared" si="0"/>
        <v>4366969.1610000003</v>
      </c>
      <c r="O6" s="49">
        <f t="shared" si="0"/>
        <v>5040671.8440000005</v>
      </c>
      <c r="P6" s="49">
        <f t="shared" si="0"/>
        <v>5435649.4619999994</v>
      </c>
      <c r="Q6" s="49">
        <f t="shared" si="0"/>
        <v>6021221.1129999999</v>
      </c>
      <c r="R6" s="49">
        <f t="shared" si="0"/>
        <v>5967951.1890000002</v>
      </c>
      <c r="S6" s="49">
        <f t="shared" si="0"/>
        <v>6170157.4250000007</v>
      </c>
      <c r="T6" s="49">
        <f t="shared" si="0"/>
        <v>6887167.2840000009</v>
      </c>
      <c r="U6" s="49">
        <f t="shared" si="0"/>
        <v>8520485.2290000003</v>
      </c>
      <c r="V6" s="49">
        <f t="shared" ref="V6:W6" si="1">+V7+V25+V40+V54+V65</f>
        <v>13146436.210999999</v>
      </c>
      <c r="W6" s="49">
        <f t="shared" si="1"/>
        <v>15770226.175000001</v>
      </c>
      <c r="X6" s="49">
        <f t="shared" ref="X6:Y6" si="2">+X7+X25+X40+X54+X65</f>
        <v>15412232.215</v>
      </c>
      <c r="Y6" s="49">
        <f t="shared" si="2"/>
        <v>12907964.525000002</v>
      </c>
      <c r="Z6" s="49">
        <f t="shared" ref="Z6:AA6" si="3">+Z7+Z25+Z40+Z54+Z65</f>
        <v>12669846.027000001</v>
      </c>
      <c r="AA6" s="49">
        <f t="shared" si="3"/>
        <v>12295775.229</v>
      </c>
      <c r="AB6" s="49">
        <f t="shared" ref="AB6:AC6" si="4">+AB7+AB25+AB40+AB54+AB65</f>
        <v>13174865.569000002</v>
      </c>
      <c r="AC6" s="49">
        <f t="shared" si="4"/>
        <v>12391157.252</v>
      </c>
    </row>
    <row r="7" spans="1:29">
      <c r="A7" s="1" t="s">
        <v>56</v>
      </c>
      <c r="B7" s="48">
        <f>SUM(B8:B24)</f>
        <v>190107</v>
      </c>
      <c r="C7" s="48">
        <f t="shared" ref="C7:U7" si="5">SUM(C8:C24)</f>
        <v>204551</v>
      </c>
      <c r="D7" s="48">
        <f t="shared" si="5"/>
        <v>240466</v>
      </c>
      <c r="E7" s="48">
        <f t="shared" si="5"/>
        <v>454621.98700000002</v>
      </c>
      <c r="F7" s="48">
        <f t="shared" si="5"/>
        <v>595184.18400000001</v>
      </c>
      <c r="G7" s="48">
        <f t="shared" si="5"/>
        <v>688804.21100000001</v>
      </c>
      <c r="H7" s="48">
        <f t="shared" si="5"/>
        <v>765393.78300000005</v>
      </c>
      <c r="I7" s="48">
        <f t="shared" si="5"/>
        <v>813069.16599999997</v>
      </c>
      <c r="J7" s="48">
        <f t="shared" si="5"/>
        <v>836198.91600000008</v>
      </c>
      <c r="K7" s="48">
        <f t="shared" si="5"/>
        <v>905062.56397000013</v>
      </c>
      <c r="L7" s="48">
        <f t="shared" si="5"/>
        <v>1225051.8990000002</v>
      </c>
      <c r="M7" s="48">
        <f t="shared" si="5"/>
        <v>1466478.4680000003</v>
      </c>
      <c r="N7" s="48">
        <f t="shared" si="5"/>
        <v>1768942.3410000002</v>
      </c>
      <c r="O7" s="48">
        <f t="shared" si="5"/>
        <v>1986237.7479999999</v>
      </c>
      <c r="P7" s="48">
        <f t="shared" si="5"/>
        <v>2148808.1159999999</v>
      </c>
      <c r="Q7" s="48">
        <f t="shared" si="5"/>
        <v>2292604.3289999999</v>
      </c>
      <c r="R7" s="48">
        <f t="shared" si="5"/>
        <v>2272462.835</v>
      </c>
      <c r="S7" s="48">
        <f t="shared" si="5"/>
        <v>2418775.8489999999</v>
      </c>
      <c r="T7" s="48">
        <f t="shared" si="5"/>
        <v>2730982.1140000005</v>
      </c>
      <c r="U7" s="48">
        <f t="shared" si="5"/>
        <v>3363589.5979999998</v>
      </c>
      <c r="V7" s="48">
        <f t="shared" ref="V7:W7" si="6">SUM(V8:V24)</f>
        <v>5478723.1980000008</v>
      </c>
      <c r="W7" s="48">
        <f t="shared" si="6"/>
        <v>6466681.7600000007</v>
      </c>
      <c r="X7" s="48">
        <f t="shared" ref="X7:Y7" si="7">SUM(X8:X24)</f>
        <v>6235614.0489999996</v>
      </c>
      <c r="Y7" s="48">
        <f t="shared" si="7"/>
        <v>5573972.620000001</v>
      </c>
      <c r="Z7" s="48">
        <f t="shared" ref="Z7:AA7" si="8">SUM(Z8:Z24)</f>
        <v>5451425.9970000014</v>
      </c>
      <c r="AA7" s="48">
        <f t="shared" si="8"/>
        <v>5240980.0320000006</v>
      </c>
      <c r="AB7" s="48">
        <f t="shared" ref="AB7:AC7" si="9">SUM(AB8:AB24)</f>
        <v>5189876.438000001</v>
      </c>
      <c r="AC7" s="48">
        <f t="shared" si="9"/>
        <v>4780478.9210000001</v>
      </c>
    </row>
    <row r="8" spans="1:29">
      <c r="A8" s="7" t="s">
        <v>119</v>
      </c>
    </row>
    <row r="9" spans="1:29">
      <c r="A9" s="1" t="s">
        <v>3</v>
      </c>
      <c r="B9" s="1">
        <v>11272</v>
      </c>
      <c r="C9" s="1">
        <v>15279</v>
      </c>
      <c r="D9" s="1">
        <v>18379</v>
      </c>
      <c r="E9" s="1">
        <v>38871.222000000002</v>
      </c>
      <c r="F9" s="42">
        <v>51533.711000000003</v>
      </c>
      <c r="G9" s="1">
        <v>59383.186999999998</v>
      </c>
      <c r="H9" s="1">
        <v>62560.535000000003</v>
      </c>
      <c r="I9" s="1">
        <v>62385.919000000002</v>
      </c>
      <c r="J9" s="1">
        <v>64004.004999999997</v>
      </c>
      <c r="K9" s="1">
        <v>71537.768460000007</v>
      </c>
      <c r="L9" s="1">
        <v>81907.55</v>
      </c>
      <c r="M9" s="1">
        <v>94453.804999999993</v>
      </c>
      <c r="N9" s="1">
        <v>124759.59600000001</v>
      </c>
      <c r="O9" s="1">
        <v>136844.45600000001</v>
      </c>
      <c r="P9" s="1">
        <v>142728.277</v>
      </c>
      <c r="Q9" s="1">
        <v>130403.128</v>
      </c>
      <c r="R9" s="1">
        <v>129835.13800000001</v>
      </c>
      <c r="S9" s="1">
        <v>127901.164</v>
      </c>
      <c r="T9" s="1">
        <v>149247.61199999999</v>
      </c>
      <c r="U9" s="1">
        <v>180239.111</v>
      </c>
      <c r="V9" s="1">
        <v>289560.66499999998</v>
      </c>
      <c r="W9" s="1">
        <v>307700.00799999997</v>
      </c>
      <c r="X9" s="1">
        <v>271626.06900000002</v>
      </c>
      <c r="Y9" s="1">
        <v>234771.67300000001</v>
      </c>
      <c r="Z9" s="1">
        <v>221322.764</v>
      </c>
      <c r="AA9" s="1">
        <v>213087.21900000001</v>
      </c>
      <c r="AB9" s="1">
        <v>211993.95300000001</v>
      </c>
      <c r="AC9" s="1">
        <v>193398.20199999999</v>
      </c>
    </row>
    <row r="10" spans="1:29">
      <c r="A10" s="1" t="s">
        <v>4</v>
      </c>
      <c r="B10" s="1">
        <v>3905</v>
      </c>
      <c r="C10" s="1">
        <v>4090</v>
      </c>
      <c r="D10" s="1">
        <v>4806</v>
      </c>
      <c r="E10" s="1">
        <v>8870.5759999999991</v>
      </c>
      <c r="F10" s="42">
        <v>11183.953</v>
      </c>
      <c r="G10" s="1">
        <v>12149.671</v>
      </c>
      <c r="H10" s="1">
        <v>12450.862999999999</v>
      </c>
      <c r="I10" s="1">
        <v>13321.242</v>
      </c>
      <c r="J10" s="1">
        <v>20069.496999999999</v>
      </c>
      <c r="K10" s="1">
        <v>18144.254000000001</v>
      </c>
      <c r="L10" s="1">
        <v>30155.54</v>
      </c>
      <c r="M10" s="1">
        <v>35273.786</v>
      </c>
      <c r="N10" s="1">
        <v>50500.944000000003</v>
      </c>
      <c r="O10" s="1">
        <v>64678.779000000002</v>
      </c>
      <c r="P10" s="1">
        <v>69455.615000000005</v>
      </c>
      <c r="Q10" s="1">
        <v>70153.349000000002</v>
      </c>
      <c r="R10" s="1">
        <v>69313.509999999995</v>
      </c>
      <c r="S10" s="1">
        <v>82721.857999999993</v>
      </c>
      <c r="T10" s="1">
        <v>95674.740999999995</v>
      </c>
      <c r="U10" s="1">
        <v>98123.182000000001</v>
      </c>
      <c r="V10" s="1">
        <v>151165.87599999999</v>
      </c>
      <c r="W10" s="1">
        <v>184539.84299999999</v>
      </c>
      <c r="X10" s="1">
        <v>177875.745</v>
      </c>
      <c r="Y10" s="1">
        <v>164982.70000000001</v>
      </c>
      <c r="Z10" s="1">
        <v>153448.01999999999</v>
      </c>
      <c r="AA10" s="1">
        <v>140854.85999999999</v>
      </c>
      <c r="AB10" s="1">
        <v>126306.124</v>
      </c>
      <c r="AC10" s="1">
        <v>117901.898</v>
      </c>
    </row>
    <row r="11" spans="1:29">
      <c r="A11" s="1" t="s">
        <v>52</v>
      </c>
      <c r="D11" s="1">
        <v>1262</v>
      </c>
      <c r="E11" s="1">
        <v>2720.7150000000001</v>
      </c>
      <c r="F11" s="42">
        <v>3103.1619999999998</v>
      </c>
      <c r="I11" s="1">
        <v>3716.723</v>
      </c>
      <c r="J11" s="1">
        <v>4021.0250000000001</v>
      </c>
      <c r="K11" s="1">
        <v>4011.942</v>
      </c>
      <c r="L11" s="1">
        <v>5071.3620000000001</v>
      </c>
      <c r="M11" s="1">
        <v>5930.3419999999996</v>
      </c>
      <c r="N11" s="1">
        <v>6869.3639999999996</v>
      </c>
      <c r="O11" s="1">
        <v>8399.2000000000007</v>
      </c>
      <c r="P11" s="1">
        <v>8193.0409999999993</v>
      </c>
      <c r="Q11" s="1">
        <v>8382.3459999999995</v>
      </c>
      <c r="R11" s="1">
        <v>7782.0569999999998</v>
      </c>
      <c r="S11" s="1">
        <v>8766.4750000000004</v>
      </c>
      <c r="T11" s="1">
        <v>9731.3539999999994</v>
      </c>
      <c r="U11" s="1">
        <v>11970.163</v>
      </c>
      <c r="V11" s="1">
        <v>19506.274000000001</v>
      </c>
      <c r="W11" s="1">
        <v>23732.991999999998</v>
      </c>
      <c r="X11" s="1">
        <v>25068.235000000001</v>
      </c>
      <c r="Y11" s="1">
        <v>23951.530999999999</v>
      </c>
      <c r="Z11" s="1">
        <v>24199.888999999999</v>
      </c>
      <c r="AA11" s="1">
        <v>23810.464</v>
      </c>
      <c r="AB11" s="1">
        <v>22816.225999999999</v>
      </c>
      <c r="AC11" s="1">
        <v>21825.773000000001</v>
      </c>
    </row>
    <row r="12" spans="1:29">
      <c r="A12" s="1" t="s">
        <v>5</v>
      </c>
      <c r="B12" s="1">
        <v>35109</v>
      </c>
      <c r="C12" s="1">
        <v>37345</v>
      </c>
      <c r="D12" s="1">
        <v>41989</v>
      </c>
      <c r="E12" s="1">
        <v>77750.070999999996</v>
      </c>
      <c r="F12" s="42">
        <v>109772.659</v>
      </c>
      <c r="G12" s="1">
        <v>129834.893</v>
      </c>
      <c r="H12" s="1">
        <v>135374.45699999999</v>
      </c>
      <c r="I12" s="1">
        <v>145776.02299999999</v>
      </c>
      <c r="J12" s="1">
        <v>150289.12700000001</v>
      </c>
      <c r="K12" s="1">
        <v>160912.62100000001</v>
      </c>
      <c r="L12" s="1">
        <v>205456.163</v>
      </c>
      <c r="M12" s="1">
        <v>270898.96799999999</v>
      </c>
      <c r="N12" s="1">
        <v>310373.65000000002</v>
      </c>
      <c r="O12" s="1">
        <v>258232.14199999999</v>
      </c>
      <c r="P12" s="1">
        <v>264218.47700000001</v>
      </c>
      <c r="Q12" s="1">
        <v>269900.53399999999</v>
      </c>
      <c r="R12" s="1">
        <v>258267.16200000001</v>
      </c>
      <c r="S12" s="1">
        <v>359817.24200000003</v>
      </c>
      <c r="T12" s="1">
        <v>413525.54200000002</v>
      </c>
      <c r="U12" s="1">
        <v>614002.21200000006</v>
      </c>
      <c r="V12" s="1">
        <v>966326.31599999999</v>
      </c>
      <c r="W12" s="1">
        <v>1199192.3970000001</v>
      </c>
      <c r="X12" s="1">
        <v>1150470.7120000001</v>
      </c>
      <c r="Y12" s="1">
        <v>1075078.54</v>
      </c>
      <c r="Z12" s="1">
        <v>1061258.0660000001</v>
      </c>
      <c r="AA12" s="1">
        <v>1037116.8050000001</v>
      </c>
      <c r="AB12" s="1">
        <v>1009123.345</v>
      </c>
      <c r="AC12" s="1">
        <v>905368.87899999996</v>
      </c>
    </row>
    <row r="13" spans="1:29">
      <c r="A13" s="1" t="s">
        <v>6</v>
      </c>
      <c r="B13" s="1">
        <v>6108</v>
      </c>
      <c r="C13" s="1">
        <v>6214</v>
      </c>
      <c r="D13" s="1">
        <v>6787</v>
      </c>
      <c r="E13" s="1">
        <v>18596.808000000001</v>
      </c>
      <c r="F13" s="42">
        <v>30746.016</v>
      </c>
      <c r="G13" s="1">
        <v>38889.250999999997</v>
      </c>
      <c r="H13" s="1">
        <v>52755.243999999999</v>
      </c>
      <c r="I13" s="1">
        <v>70265.55</v>
      </c>
      <c r="J13" s="1">
        <v>57296.622000000003</v>
      </c>
      <c r="K13" s="1">
        <v>61339.072770000013</v>
      </c>
      <c r="L13" s="1">
        <v>108372.683</v>
      </c>
      <c r="M13" s="1">
        <v>150701.541</v>
      </c>
      <c r="N13" s="1">
        <v>140632.67800000001</v>
      </c>
      <c r="O13" s="1">
        <v>115032.874</v>
      </c>
      <c r="P13" s="1">
        <v>133355.09099999999</v>
      </c>
      <c r="Q13" s="1">
        <v>135435.67000000001</v>
      </c>
      <c r="R13" s="1">
        <v>132926.76300000001</v>
      </c>
      <c r="S13" s="1">
        <v>149713.06200000001</v>
      </c>
      <c r="T13" s="1">
        <v>156282.21400000001</v>
      </c>
      <c r="U13" s="1">
        <v>140915.32699999999</v>
      </c>
      <c r="V13" s="1">
        <v>414772.89</v>
      </c>
      <c r="W13" s="1">
        <v>499074.95</v>
      </c>
      <c r="X13" s="1">
        <v>490157.00300000003</v>
      </c>
      <c r="Y13" s="1">
        <v>183268.65100000001</v>
      </c>
      <c r="Z13" s="1">
        <v>178138.61600000001</v>
      </c>
      <c r="AA13" s="1">
        <v>174471.63500000001</v>
      </c>
      <c r="AB13" s="1">
        <v>325316.13400000002</v>
      </c>
      <c r="AC13" s="1">
        <v>139006.359</v>
      </c>
    </row>
    <row r="14" spans="1:29">
      <c r="A14" s="1" t="s">
        <v>7</v>
      </c>
      <c r="B14" s="1">
        <v>5592</v>
      </c>
      <c r="C14" s="1">
        <v>6118</v>
      </c>
      <c r="D14" s="1">
        <v>7292</v>
      </c>
      <c r="E14" s="1">
        <v>19831.214</v>
      </c>
      <c r="F14" s="42">
        <v>24679.010999999999</v>
      </c>
      <c r="G14" s="1">
        <v>28069.867999999999</v>
      </c>
      <c r="H14" s="1">
        <v>31017.784</v>
      </c>
      <c r="I14" s="1">
        <v>30887.18</v>
      </c>
      <c r="J14" s="1">
        <v>30269.835999999999</v>
      </c>
      <c r="K14" s="1">
        <v>33598.620000000003</v>
      </c>
      <c r="L14" s="1">
        <v>59045.889000000003</v>
      </c>
      <c r="M14" s="1">
        <v>61842.642</v>
      </c>
      <c r="N14" s="1">
        <v>8664.8580000000002</v>
      </c>
      <c r="O14" s="1">
        <v>10231.117</v>
      </c>
      <c r="P14" s="1">
        <v>11871.932000000001</v>
      </c>
      <c r="Q14" s="1">
        <v>109498.42600000001</v>
      </c>
      <c r="R14" s="1">
        <v>124285.592</v>
      </c>
      <c r="S14" s="1">
        <v>126523.808</v>
      </c>
      <c r="T14" s="1">
        <v>140793.81</v>
      </c>
      <c r="U14" s="1">
        <v>146432.90400000001</v>
      </c>
      <c r="V14" s="1">
        <v>232572.26800000001</v>
      </c>
      <c r="W14" s="1">
        <v>270675.76799999998</v>
      </c>
      <c r="X14" s="1">
        <v>262011.07699999999</v>
      </c>
      <c r="Y14" s="1">
        <v>220573.67800000001</v>
      </c>
      <c r="Z14" s="1">
        <v>214650.99</v>
      </c>
      <c r="AA14" s="1">
        <v>206276.81200000001</v>
      </c>
      <c r="AB14" s="1">
        <v>209571.348</v>
      </c>
      <c r="AC14" s="1">
        <v>180490.05300000001</v>
      </c>
    </row>
    <row r="15" spans="1:29">
      <c r="A15" s="1" t="s">
        <v>8</v>
      </c>
      <c r="B15" s="1">
        <v>2535</v>
      </c>
      <c r="C15" s="1">
        <v>2715</v>
      </c>
      <c r="D15" s="1">
        <v>3470</v>
      </c>
      <c r="E15" s="1">
        <v>9039.0769999999993</v>
      </c>
      <c r="F15" s="42">
        <v>11885.078</v>
      </c>
      <c r="G15" s="1">
        <v>13209.562</v>
      </c>
      <c r="H15" s="1">
        <v>16253.806</v>
      </c>
      <c r="I15" s="1">
        <v>18273.353999999999</v>
      </c>
      <c r="J15" s="1">
        <v>23903.897000000001</v>
      </c>
      <c r="K15" s="1">
        <v>23901.448960000005</v>
      </c>
      <c r="L15" s="1">
        <v>35729.866999999998</v>
      </c>
      <c r="M15" s="1">
        <v>41633.326000000001</v>
      </c>
      <c r="N15" s="1">
        <v>56207.002</v>
      </c>
      <c r="O15" s="1">
        <v>67608.271999999997</v>
      </c>
      <c r="P15" s="1">
        <v>80173.221999999994</v>
      </c>
      <c r="Q15" s="1">
        <v>84773.534</v>
      </c>
      <c r="R15" s="1">
        <v>69014.967000000004</v>
      </c>
      <c r="S15" s="1">
        <v>72365.743000000002</v>
      </c>
      <c r="T15" s="1">
        <v>113298.08</v>
      </c>
      <c r="U15" s="1">
        <v>70510.221999999994</v>
      </c>
      <c r="V15" s="1">
        <v>154057.84400000001</v>
      </c>
      <c r="W15" s="1">
        <v>187321.981</v>
      </c>
      <c r="X15" s="1">
        <v>180431.66099999999</v>
      </c>
      <c r="Y15" s="1">
        <v>133896.18299999999</v>
      </c>
      <c r="Z15" s="1">
        <v>140410.40100000001</v>
      </c>
      <c r="AA15" s="1">
        <v>140932.92300000001</v>
      </c>
      <c r="AB15" s="1">
        <v>164829.223</v>
      </c>
      <c r="AC15" s="1">
        <v>119125.85</v>
      </c>
    </row>
    <row r="16" spans="1:29">
      <c r="A16" s="1" t="s">
        <v>9</v>
      </c>
      <c r="B16" s="1">
        <v>16189</v>
      </c>
      <c r="C16" s="1">
        <v>16336</v>
      </c>
      <c r="D16" s="1">
        <v>17490</v>
      </c>
      <c r="E16" s="1">
        <v>21718.335999999999</v>
      </c>
      <c r="F16" s="42">
        <v>24682.43</v>
      </c>
      <c r="G16" s="1">
        <v>37624.667000000001</v>
      </c>
      <c r="H16" s="1">
        <v>41166.095999999998</v>
      </c>
      <c r="I16" s="1">
        <v>36555.303</v>
      </c>
      <c r="J16" s="1">
        <v>44147.362000000001</v>
      </c>
      <c r="K16" s="1">
        <v>45904.349000000002</v>
      </c>
      <c r="L16" s="1">
        <v>56583.462</v>
      </c>
      <c r="M16" s="1">
        <v>58525.998</v>
      </c>
      <c r="N16" s="1">
        <v>77800.485000000001</v>
      </c>
      <c r="O16" s="1">
        <v>81674.430999999997</v>
      </c>
      <c r="P16" s="1">
        <v>87718.540999999997</v>
      </c>
      <c r="Q16" s="1">
        <v>94881.365999999995</v>
      </c>
      <c r="R16" s="1">
        <v>95926.462</v>
      </c>
      <c r="S16" s="1">
        <v>100513.90700000001</v>
      </c>
      <c r="T16" s="1">
        <v>110908.52800000001</v>
      </c>
      <c r="U16" s="1">
        <v>130607.64</v>
      </c>
      <c r="V16" s="1">
        <v>189603.88699999999</v>
      </c>
      <c r="W16" s="1">
        <v>223344.51199999999</v>
      </c>
      <c r="X16" s="1">
        <v>230147.14799999999</v>
      </c>
      <c r="Y16" s="1">
        <v>217129.22700000001</v>
      </c>
      <c r="Z16" s="1">
        <v>212661.95</v>
      </c>
      <c r="AA16" s="1">
        <v>208021.783</v>
      </c>
      <c r="AB16" s="1">
        <v>190770.34299999999</v>
      </c>
      <c r="AC16" s="1">
        <v>181356.886</v>
      </c>
    </row>
    <row r="17" spans="1:29">
      <c r="A17" s="1" t="s">
        <v>10</v>
      </c>
      <c r="B17" s="1">
        <v>16742</v>
      </c>
      <c r="C17" s="1">
        <v>17690</v>
      </c>
      <c r="D17" s="1">
        <v>20472</v>
      </c>
      <c r="E17" s="1">
        <v>34609.661999999997</v>
      </c>
      <c r="F17" s="42">
        <v>39486.661999999997</v>
      </c>
      <c r="G17" s="1">
        <v>42582.809000000001</v>
      </c>
      <c r="H17" s="1">
        <v>45466.201000000001</v>
      </c>
      <c r="I17" s="1">
        <v>45153.351999999999</v>
      </c>
      <c r="J17" s="1">
        <v>48051.758999999998</v>
      </c>
      <c r="K17" s="1">
        <v>54369.701999999997</v>
      </c>
      <c r="L17" s="1">
        <v>73230.218999999997</v>
      </c>
      <c r="M17" s="1">
        <v>81794.990999999995</v>
      </c>
      <c r="N17" s="1">
        <v>109279.577</v>
      </c>
      <c r="O17" s="1">
        <v>139361.351</v>
      </c>
      <c r="P17" s="1">
        <v>140792.538</v>
      </c>
      <c r="Q17" s="1">
        <v>149189.859</v>
      </c>
      <c r="R17" s="1">
        <v>154687.93700000001</v>
      </c>
      <c r="S17" s="1">
        <v>154647.47099999999</v>
      </c>
      <c r="T17" s="1">
        <v>157619.96</v>
      </c>
      <c r="U17" s="1">
        <v>185513.31700000001</v>
      </c>
      <c r="V17" s="1">
        <v>283981.10600000003</v>
      </c>
      <c r="W17" s="1">
        <v>330066.891</v>
      </c>
      <c r="X17" s="1">
        <v>291680.35499999998</v>
      </c>
      <c r="Y17" s="1">
        <v>262928.91800000001</v>
      </c>
      <c r="Z17" s="1">
        <v>258876.20499999999</v>
      </c>
      <c r="AA17" s="1">
        <v>252464.234</v>
      </c>
      <c r="AB17" s="1">
        <v>243256.193</v>
      </c>
      <c r="AC17" s="1">
        <v>242741.28400000001</v>
      </c>
    </row>
    <row r="18" spans="1:29">
      <c r="A18" s="1" t="s">
        <v>11</v>
      </c>
      <c r="B18" s="1">
        <v>11897</v>
      </c>
      <c r="C18" s="1">
        <v>12230</v>
      </c>
      <c r="D18" s="1">
        <v>13926</v>
      </c>
      <c r="E18" s="1">
        <v>23471.014999999999</v>
      </c>
      <c r="F18" s="42">
        <v>33941.438999999998</v>
      </c>
      <c r="G18" s="1">
        <v>39479.300999999999</v>
      </c>
      <c r="H18" s="1">
        <v>46531.201999999997</v>
      </c>
      <c r="I18" s="1">
        <v>53306.985000000001</v>
      </c>
      <c r="J18" s="1">
        <v>53547.277000000002</v>
      </c>
      <c r="K18" s="1">
        <v>56248.849679999992</v>
      </c>
      <c r="L18" s="1">
        <v>95805.475999999995</v>
      </c>
      <c r="M18" s="1">
        <v>118431.31</v>
      </c>
      <c r="N18" s="1">
        <v>152274.83100000001</v>
      </c>
      <c r="O18" s="1">
        <v>187580.065</v>
      </c>
      <c r="P18" s="1">
        <v>219817.44200000001</v>
      </c>
      <c r="Q18" s="1">
        <v>219658.185</v>
      </c>
      <c r="R18" s="1">
        <v>211599.81200000001</v>
      </c>
      <c r="S18" s="1">
        <v>207278.43900000001</v>
      </c>
      <c r="T18" s="1">
        <v>239787.67499999999</v>
      </c>
      <c r="U18" s="1">
        <v>323007.53600000002</v>
      </c>
      <c r="V18" s="1">
        <v>527836.06099999999</v>
      </c>
      <c r="W18" s="1">
        <v>601732.58799999999</v>
      </c>
      <c r="X18" s="1">
        <v>585638.31000000006</v>
      </c>
      <c r="Y18" s="1">
        <v>573221.21200000006</v>
      </c>
      <c r="Z18" s="1">
        <v>555744.11199999996</v>
      </c>
      <c r="AA18" s="1">
        <v>517938.88500000001</v>
      </c>
      <c r="AB18" s="1">
        <v>455921.46100000001</v>
      </c>
      <c r="AC18" s="1">
        <v>418211.82900000003</v>
      </c>
    </row>
    <row r="19" spans="1:29">
      <c r="A19" s="1" t="s">
        <v>12</v>
      </c>
      <c r="B19" s="1">
        <v>7782</v>
      </c>
      <c r="C19" s="1">
        <v>10374</v>
      </c>
      <c r="D19" s="1">
        <v>11757</v>
      </c>
      <c r="E19" s="1">
        <v>24818.971000000001</v>
      </c>
      <c r="F19" s="42">
        <v>30446.995999999999</v>
      </c>
      <c r="G19" s="1">
        <v>32011.55</v>
      </c>
      <c r="H19" s="1">
        <v>34463.928999999996</v>
      </c>
      <c r="I19" s="1">
        <v>34421.160000000003</v>
      </c>
      <c r="J19" s="1">
        <v>33681.758000000002</v>
      </c>
      <c r="K19" s="1">
        <v>35256.687639999996</v>
      </c>
      <c r="L19" s="1">
        <v>43098.156000000003</v>
      </c>
      <c r="M19" s="1">
        <v>48357.631999999998</v>
      </c>
      <c r="N19" s="1">
        <v>73339.226999999999</v>
      </c>
      <c r="O19" s="1">
        <v>90770.656000000003</v>
      </c>
      <c r="P19" s="1">
        <v>91738.409</v>
      </c>
      <c r="Q19" s="1">
        <v>78859.930999999997</v>
      </c>
      <c r="R19" s="1">
        <v>77546.222999999998</v>
      </c>
      <c r="S19" s="1">
        <v>66247.160999999993</v>
      </c>
      <c r="T19" s="1">
        <v>77335.813999999998</v>
      </c>
      <c r="U19" s="1">
        <v>99967.551999999996</v>
      </c>
      <c r="V19" s="1">
        <v>156219.609</v>
      </c>
      <c r="W19" s="1">
        <v>180433.56299999999</v>
      </c>
      <c r="X19" s="1">
        <v>179546.53400000001</v>
      </c>
      <c r="Y19" s="1">
        <v>166905.72500000001</v>
      </c>
      <c r="Z19" s="1">
        <v>152703.15100000001</v>
      </c>
      <c r="AA19" s="1">
        <v>148974.09700000001</v>
      </c>
      <c r="AB19" s="1">
        <v>148674.114</v>
      </c>
      <c r="AC19" s="1">
        <v>151064.011</v>
      </c>
    </row>
    <row r="20" spans="1:29">
      <c r="A20" s="1" t="s">
        <v>13</v>
      </c>
      <c r="B20" s="1">
        <v>8610</v>
      </c>
      <c r="C20" s="1">
        <v>8351</v>
      </c>
      <c r="D20" s="1">
        <v>9402</v>
      </c>
      <c r="E20" s="1">
        <v>15803.347</v>
      </c>
      <c r="F20" s="42">
        <v>22292.577000000001</v>
      </c>
      <c r="G20" s="1">
        <v>26854.834999999999</v>
      </c>
      <c r="H20" s="1">
        <v>28480.642</v>
      </c>
      <c r="I20" s="1">
        <v>28295.339</v>
      </c>
      <c r="J20" s="1">
        <v>28936.149000000001</v>
      </c>
      <c r="K20" s="1">
        <v>35279.660000000003</v>
      </c>
      <c r="L20" s="1">
        <v>50347.794999999998</v>
      </c>
      <c r="M20" s="1">
        <v>60220.677000000003</v>
      </c>
      <c r="N20" s="1">
        <v>90991.062999999995</v>
      </c>
      <c r="O20" s="1">
        <v>149443.03099999999</v>
      </c>
      <c r="P20" s="1">
        <v>170305.25899999999</v>
      </c>
      <c r="Q20" s="1">
        <v>165918.103</v>
      </c>
      <c r="R20" s="1">
        <v>167190.43700000001</v>
      </c>
      <c r="S20" s="1">
        <v>174365.63200000001</v>
      </c>
      <c r="T20" s="1">
        <v>189487.75200000001</v>
      </c>
      <c r="U20" s="1">
        <v>227619.32</v>
      </c>
      <c r="V20" s="1">
        <v>320172.44799999997</v>
      </c>
      <c r="W20" s="1">
        <v>345249.33799999999</v>
      </c>
      <c r="X20" s="1">
        <v>348154.56199999998</v>
      </c>
      <c r="Y20" s="1">
        <v>340856.71299999999</v>
      </c>
      <c r="Z20" s="1">
        <v>337369.228</v>
      </c>
      <c r="AA20" s="1">
        <v>319943.82299999997</v>
      </c>
      <c r="AB20" s="1">
        <v>301733.32500000001</v>
      </c>
      <c r="AC20" s="1">
        <v>283928.88400000002</v>
      </c>
    </row>
    <row r="21" spans="1:29" s="11" customFormat="1">
      <c r="A21" s="1" t="s">
        <v>14</v>
      </c>
      <c r="B21" s="1">
        <v>8783</v>
      </c>
      <c r="C21" s="1">
        <v>7974</v>
      </c>
      <c r="D21" s="1">
        <v>8705</v>
      </c>
      <c r="E21" s="1">
        <v>21404.844000000001</v>
      </c>
      <c r="F21" s="42">
        <v>29748.718000000001</v>
      </c>
      <c r="G21" s="1">
        <v>32089.714</v>
      </c>
      <c r="H21" s="1">
        <v>34107.881000000001</v>
      </c>
      <c r="I21" s="1">
        <v>33227.946000000004</v>
      </c>
      <c r="J21" s="1">
        <v>33085.42</v>
      </c>
      <c r="K21" s="1">
        <v>36134.078999999998</v>
      </c>
      <c r="L21" s="1">
        <v>41125.222000000002</v>
      </c>
      <c r="M21" s="1">
        <v>48852.747000000003</v>
      </c>
      <c r="N21" s="1">
        <v>65039.87</v>
      </c>
      <c r="O21" s="1">
        <v>76604.244999999995</v>
      </c>
      <c r="P21" s="1">
        <v>84213.774999999994</v>
      </c>
      <c r="Q21" s="1">
        <v>98457.934999999998</v>
      </c>
      <c r="R21" s="1">
        <v>96422.843999999997</v>
      </c>
      <c r="S21" s="1">
        <v>104897.758</v>
      </c>
      <c r="T21" s="1">
        <v>118022.28</v>
      </c>
      <c r="U21" s="1">
        <v>146572.435</v>
      </c>
      <c r="V21" s="1">
        <v>230716.932</v>
      </c>
      <c r="W21" s="1">
        <v>267773.29399999999</v>
      </c>
      <c r="X21" s="1">
        <v>252804.25700000001</v>
      </c>
      <c r="Y21" s="1">
        <v>242448.745</v>
      </c>
      <c r="Z21" s="1">
        <v>228141.68700000001</v>
      </c>
      <c r="AA21" s="1">
        <v>222616.965</v>
      </c>
      <c r="AB21" s="1">
        <v>241386.80499999999</v>
      </c>
      <c r="AC21" s="1">
        <v>248355.01699999999</v>
      </c>
    </row>
    <row r="22" spans="1:29">
      <c r="A22" s="1" t="s">
        <v>15</v>
      </c>
      <c r="B22" s="1">
        <v>40488</v>
      </c>
      <c r="C22" s="1">
        <v>44295</v>
      </c>
      <c r="D22" s="1">
        <v>55524</v>
      </c>
      <c r="E22" s="1">
        <v>108784.04399999999</v>
      </c>
      <c r="F22" s="42">
        <v>132007.913</v>
      </c>
      <c r="G22" s="1">
        <v>147700.46</v>
      </c>
      <c r="H22" s="1">
        <v>171233.196</v>
      </c>
      <c r="I22" s="1">
        <v>182646.41200000001</v>
      </c>
      <c r="J22" s="1">
        <v>190693.277</v>
      </c>
      <c r="K22" s="1">
        <v>211470.302</v>
      </c>
      <c r="L22" s="1">
        <v>270650.81</v>
      </c>
      <c r="M22" s="1">
        <v>313705.799</v>
      </c>
      <c r="N22" s="1">
        <v>408602.13900000002</v>
      </c>
      <c r="O22" s="1">
        <v>491671.86099999998</v>
      </c>
      <c r="P22" s="1">
        <v>529134.50100000005</v>
      </c>
      <c r="Q22" s="1">
        <v>553897.652</v>
      </c>
      <c r="R22" s="1">
        <v>553297.76399999997</v>
      </c>
      <c r="S22" s="1">
        <v>551536.80299999996</v>
      </c>
      <c r="T22" s="1">
        <v>606148.98100000003</v>
      </c>
      <c r="U22" s="1">
        <v>792070.75199999998</v>
      </c>
      <c r="V22" s="1">
        <v>1223441.861</v>
      </c>
      <c r="W22" s="1">
        <v>1451803.851</v>
      </c>
      <c r="X22" s="1">
        <v>1388935.2779999999</v>
      </c>
      <c r="Y22" s="1">
        <v>1341469.42</v>
      </c>
      <c r="Z22" s="1">
        <v>1327134.415</v>
      </c>
      <c r="AA22" s="1">
        <v>1263337.1259999999</v>
      </c>
      <c r="AB22" s="1">
        <v>1193531.5060000001</v>
      </c>
      <c r="AC22" s="1">
        <v>1257659.4080000001</v>
      </c>
    </row>
    <row r="23" spans="1:29">
      <c r="A23" s="1" t="s">
        <v>16</v>
      </c>
      <c r="B23" s="1">
        <v>13328</v>
      </c>
      <c r="C23" s="1">
        <v>13421</v>
      </c>
      <c r="D23" s="1">
        <v>16744</v>
      </c>
      <c r="E23" s="1">
        <v>24928.477999999999</v>
      </c>
      <c r="F23" s="42">
        <v>35587.277000000002</v>
      </c>
      <c r="G23" s="1">
        <v>44424.557000000001</v>
      </c>
      <c r="H23" s="1">
        <v>48394.326000000001</v>
      </c>
      <c r="I23" s="1">
        <v>49553.235000000001</v>
      </c>
      <c r="J23" s="1">
        <v>48906.879999999997</v>
      </c>
      <c r="K23" s="1">
        <v>51658.347999999998</v>
      </c>
      <c r="L23" s="1">
        <v>62833.752</v>
      </c>
      <c r="M23" s="1">
        <v>68621.58</v>
      </c>
      <c r="N23" s="1">
        <v>85518.259000000005</v>
      </c>
      <c r="O23" s="1">
        <v>97473.822</v>
      </c>
      <c r="P23" s="1">
        <v>105944.099</v>
      </c>
      <c r="Q23" s="1">
        <v>103282.868</v>
      </c>
      <c r="R23" s="1">
        <v>105993.228</v>
      </c>
      <c r="S23" s="1">
        <v>107079.79700000001</v>
      </c>
      <c r="T23" s="1">
        <v>126013.21</v>
      </c>
      <c r="U23" s="1">
        <v>159528.16099999999</v>
      </c>
      <c r="V23" s="1">
        <v>253016.34700000001</v>
      </c>
      <c r="W23" s="1">
        <v>316290.03700000001</v>
      </c>
      <c r="X23" s="1">
        <v>329305.24599999998</v>
      </c>
      <c r="Y23" s="1">
        <v>324932.065</v>
      </c>
      <c r="Z23" s="1">
        <v>320768.58</v>
      </c>
      <c r="AA23" s="1">
        <v>315851.929</v>
      </c>
      <c r="AB23" s="1">
        <v>292462.13299999997</v>
      </c>
      <c r="AC23" s="1">
        <v>272775.99699999997</v>
      </c>
    </row>
    <row r="24" spans="1:29">
      <c r="A24" s="24" t="s">
        <v>17</v>
      </c>
      <c r="B24" s="24">
        <v>1767</v>
      </c>
      <c r="C24" s="24">
        <v>2119</v>
      </c>
      <c r="D24" s="24">
        <v>2461</v>
      </c>
      <c r="E24" s="24">
        <v>3403.607</v>
      </c>
      <c r="F24" s="45">
        <v>4086.5819999999999</v>
      </c>
      <c r="G24" s="24">
        <v>4499.8860000000004</v>
      </c>
      <c r="H24" s="24">
        <v>5137.6210000000001</v>
      </c>
      <c r="I24" s="24">
        <v>5283.4430000000002</v>
      </c>
      <c r="J24" s="24">
        <v>5295.0249999999996</v>
      </c>
      <c r="K24" s="24">
        <v>5294.859459999996</v>
      </c>
      <c r="L24" s="24">
        <v>5637.9530000000004</v>
      </c>
      <c r="M24" s="24">
        <v>7233.3239999999996</v>
      </c>
      <c r="N24" s="24">
        <v>8088.7979999999998</v>
      </c>
      <c r="O24" s="24">
        <v>10631.446</v>
      </c>
      <c r="P24" s="24">
        <v>9147.8970000000008</v>
      </c>
      <c r="Q24" s="24">
        <v>19911.442999999999</v>
      </c>
      <c r="R24" s="24">
        <v>18372.938999999998</v>
      </c>
      <c r="S24" s="24">
        <v>24399.528999999999</v>
      </c>
      <c r="T24" s="24">
        <v>27104.561000000002</v>
      </c>
      <c r="U24" s="24">
        <v>36509.764000000003</v>
      </c>
      <c r="V24" s="24">
        <v>65772.813999999998</v>
      </c>
      <c r="W24" s="24">
        <v>77749.747000000003</v>
      </c>
      <c r="X24" s="24">
        <v>71761.857000000004</v>
      </c>
      <c r="Y24" s="24">
        <v>67557.638999999996</v>
      </c>
      <c r="Z24" s="24">
        <v>64597.923000000003</v>
      </c>
      <c r="AA24" s="24">
        <v>55280.472000000002</v>
      </c>
      <c r="AB24" s="24">
        <v>52184.205000000002</v>
      </c>
      <c r="AC24" s="24">
        <v>47268.591</v>
      </c>
    </row>
    <row r="25" spans="1:29">
      <c r="A25" s="7" t="s">
        <v>120</v>
      </c>
      <c r="B25" s="48">
        <f>SUM(B27:B39)</f>
        <v>0</v>
      </c>
      <c r="C25" s="48">
        <f t="shared" ref="C25:AC25" si="10">SUM(C27:C39)</f>
        <v>0</v>
      </c>
      <c r="D25" s="48">
        <f t="shared" si="10"/>
        <v>0</v>
      </c>
      <c r="E25" s="48">
        <f t="shared" si="10"/>
        <v>0</v>
      </c>
      <c r="F25" s="48">
        <f t="shared" si="10"/>
        <v>370257.65400000004</v>
      </c>
      <c r="G25" s="48">
        <f t="shared" si="10"/>
        <v>0</v>
      </c>
      <c r="H25" s="48">
        <f t="shared" si="10"/>
        <v>0</v>
      </c>
      <c r="I25" s="48">
        <f t="shared" si="10"/>
        <v>570763.05700000003</v>
      </c>
      <c r="J25" s="48">
        <f t="shared" si="10"/>
        <v>0</v>
      </c>
      <c r="K25" s="48">
        <f t="shared" si="10"/>
        <v>729444.51222999999</v>
      </c>
      <c r="L25" s="48">
        <f t="shared" si="10"/>
        <v>737486.19799999997</v>
      </c>
      <c r="M25" s="48">
        <f t="shared" si="10"/>
        <v>826311.47600000002</v>
      </c>
      <c r="N25" s="48">
        <f t="shared" si="10"/>
        <v>1020374.6900000001</v>
      </c>
      <c r="O25" s="48">
        <f t="shared" si="10"/>
        <v>1254967.2289999998</v>
      </c>
      <c r="P25" s="48">
        <f t="shared" si="10"/>
        <v>1319092.33</v>
      </c>
      <c r="Q25" s="48">
        <f t="shared" si="10"/>
        <v>1638609.4070000001</v>
      </c>
      <c r="R25" s="48">
        <f t="shared" si="10"/>
        <v>1618669.165</v>
      </c>
      <c r="S25" s="48">
        <f t="shared" si="10"/>
        <v>1584081.84</v>
      </c>
      <c r="T25" s="48">
        <f t="shared" si="10"/>
        <v>1752808.915</v>
      </c>
      <c r="U25" s="48">
        <f t="shared" si="10"/>
        <v>2221171.9220000003</v>
      </c>
      <c r="V25" s="48">
        <f t="shared" si="10"/>
        <v>3310693.5529999998</v>
      </c>
      <c r="W25" s="48">
        <f t="shared" si="10"/>
        <v>4168972.3839999996</v>
      </c>
      <c r="X25" s="48">
        <f t="shared" si="10"/>
        <v>4134340.824</v>
      </c>
      <c r="Y25" s="48">
        <f t="shared" si="10"/>
        <v>3005393.8330000001</v>
      </c>
      <c r="Z25" s="48">
        <f t="shared" si="10"/>
        <v>3005202.0489999992</v>
      </c>
      <c r="AA25" s="48">
        <f t="shared" si="10"/>
        <v>2989498.9350000001</v>
      </c>
      <c r="AB25" s="48">
        <f t="shared" si="10"/>
        <v>3878190.4590000003</v>
      </c>
      <c r="AC25" s="48">
        <f t="shared" si="10"/>
        <v>3732147.3069999991</v>
      </c>
    </row>
    <row r="26" spans="1:29">
      <c r="A26" s="7" t="s">
        <v>119</v>
      </c>
      <c r="X26" s="1">
        <v>0</v>
      </c>
      <c r="Y26" s="1" t="e">
        <f>#REF!/1000</f>
        <v>#REF!</v>
      </c>
      <c r="AB26" s="1">
        <v>0</v>
      </c>
      <c r="AC26" s="1">
        <v>0</v>
      </c>
    </row>
    <row r="27" spans="1:29">
      <c r="A27" s="1" t="s">
        <v>85</v>
      </c>
      <c r="F27" s="42">
        <v>0</v>
      </c>
      <c r="I27" s="1">
        <v>17.291</v>
      </c>
      <c r="K27" s="1">
        <v>38.072000000000003</v>
      </c>
      <c r="L27" s="1">
        <v>339.88900000000001</v>
      </c>
      <c r="M27" s="1">
        <v>15.497</v>
      </c>
      <c r="N27" s="1">
        <v>44.228000000000002</v>
      </c>
      <c r="O27" s="1">
        <v>268.26400000000001</v>
      </c>
      <c r="P27" s="1">
        <v>143.548</v>
      </c>
      <c r="Q27" s="1">
        <v>81.465999999999994</v>
      </c>
      <c r="R27" s="1">
        <v>242.91800000000001</v>
      </c>
      <c r="S27" s="1">
        <v>387.721</v>
      </c>
      <c r="T27" s="1">
        <v>398.363</v>
      </c>
      <c r="U27" s="1">
        <v>476.31099999999998</v>
      </c>
      <c r="V27" s="1">
        <v>612.59299999999996</v>
      </c>
      <c r="W27" s="1">
        <v>72.067999999999998</v>
      </c>
      <c r="X27" s="1">
        <v>216.404</v>
      </c>
      <c r="Y27" s="1">
        <v>40.767000000000003</v>
      </c>
      <c r="AB27" s="1">
        <v>131.006</v>
      </c>
      <c r="AC27" s="1">
        <v>91.778999999999996</v>
      </c>
    </row>
    <row r="28" spans="1:29">
      <c r="A28" s="1" t="s">
        <v>86</v>
      </c>
      <c r="F28" s="42">
        <v>37675.502999999997</v>
      </c>
      <c r="I28" s="1">
        <v>53057.68</v>
      </c>
      <c r="K28" s="1">
        <v>56800.047760000001</v>
      </c>
      <c r="L28" s="1">
        <v>68855.868000000002</v>
      </c>
      <c r="M28" s="1">
        <v>72683.346000000005</v>
      </c>
      <c r="N28" s="1">
        <v>91249.460999999996</v>
      </c>
      <c r="O28" s="1">
        <v>107098.14599999999</v>
      </c>
      <c r="P28" s="1">
        <v>120915.67</v>
      </c>
      <c r="Q28" s="1">
        <v>128890.889</v>
      </c>
      <c r="R28" s="1">
        <v>119896.439</v>
      </c>
      <c r="S28" s="1">
        <v>116484.333</v>
      </c>
      <c r="T28" s="1">
        <v>128218.348</v>
      </c>
      <c r="U28" s="1">
        <v>157357.63200000001</v>
      </c>
      <c r="V28" s="1">
        <v>270358.24400000001</v>
      </c>
      <c r="W28" s="1">
        <v>360312.685</v>
      </c>
      <c r="X28" s="1">
        <v>381454.321</v>
      </c>
      <c r="Y28" s="1">
        <v>76374.614000000001</v>
      </c>
      <c r="Z28" s="1">
        <v>73130.914999999994</v>
      </c>
      <c r="AA28" s="1">
        <v>70874.898000000001</v>
      </c>
      <c r="AB28" s="1">
        <v>279511.614</v>
      </c>
      <c r="AC28" s="1">
        <v>264971.05300000001</v>
      </c>
    </row>
    <row r="29" spans="1:29">
      <c r="A29" s="1" t="s">
        <v>87</v>
      </c>
      <c r="F29" s="42">
        <v>145873.90900000001</v>
      </c>
      <c r="I29" s="1">
        <v>279424.80300000001</v>
      </c>
      <c r="K29" s="1">
        <v>396679.08927</v>
      </c>
      <c r="L29" s="1">
        <v>338929.00300000003</v>
      </c>
      <c r="M29" s="1">
        <v>388086.78</v>
      </c>
      <c r="N29" s="1">
        <v>483653.77899999998</v>
      </c>
      <c r="O29" s="1">
        <v>625124.42299999995</v>
      </c>
      <c r="P29" s="1">
        <v>671103.696</v>
      </c>
      <c r="Q29" s="1">
        <v>944307.98100000003</v>
      </c>
      <c r="R29" s="1">
        <v>935601.72699999996</v>
      </c>
      <c r="S29" s="1">
        <v>935430.25699999998</v>
      </c>
      <c r="T29" s="1">
        <v>1047550.09</v>
      </c>
      <c r="U29" s="1">
        <v>1282186.4269999999</v>
      </c>
      <c r="V29" s="1">
        <v>1859580.2590000001</v>
      </c>
      <c r="W29" s="1">
        <v>2341256.4539999999</v>
      </c>
      <c r="X29" s="1">
        <v>2345992.0430000001</v>
      </c>
      <c r="Y29" s="1">
        <v>1778198.719</v>
      </c>
      <c r="Z29" s="1">
        <v>1860565.23</v>
      </c>
      <c r="AA29" s="1">
        <v>1893845.3419999999</v>
      </c>
      <c r="AB29" s="1">
        <v>2470372.0210000002</v>
      </c>
      <c r="AC29" s="1">
        <v>2380502.523</v>
      </c>
    </row>
    <row r="30" spans="1:29">
      <c r="A30" s="1" t="s">
        <v>88</v>
      </c>
      <c r="F30" s="42">
        <v>31378.411</v>
      </c>
      <c r="I30" s="1">
        <v>35062.796999999999</v>
      </c>
      <c r="K30" s="1">
        <v>39873.201000000001</v>
      </c>
      <c r="L30" s="1">
        <v>48143.97</v>
      </c>
      <c r="M30" s="1">
        <v>52392.097000000002</v>
      </c>
      <c r="N30" s="1">
        <v>63258.084999999999</v>
      </c>
      <c r="O30" s="1">
        <v>74128.759000000005</v>
      </c>
      <c r="P30" s="1">
        <v>77442.755000000005</v>
      </c>
      <c r="Q30" s="1">
        <v>80992.085999999996</v>
      </c>
      <c r="R30" s="1">
        <v>82464.506999999998</v>
      </c>
      <c r="S30" s="1">
        <v>80318.587</v>
      </c>
      <c r="T30" s="1">
        <v>88299.179000000004</v>
      </c>
      <c r="U30" s="1">
        <v>101242.651</v>
      </c>
      <c r="V30" s="1">
        <v>155933.37100000001</v>
      </c>
      <c r="W30" s="1">
        <v>198647.33</v>
      </c>
      <c r="X30" s="1">
        <v>215597.158</v>
      </c>
      <c r="Y30" s="1">
        <v>90746.479000000007</v>
      </c>
      <c r="Z30" s="1">
        <v>80964.399999999994</v>
      </c>
      <c r="AA30" s="1">
        <v>81164.274000000005</v>
      </c>
      <c r="AB30" s="1">
        <v>162791.61900000001</v>
      </c>
      <c r="AC30" s="1">
        <v>154000.99600000001</v>
      </c>
    </row>
    <row r="31" spans="1:29">
      <c r="A31" s="1" t="s">
        <v>91</v>
      </c>
      <c r="F31" s="42">
        <v>2590.5569999999998</v>
      </c>
      <c r="I31" s="1">
        <v>5207.7240000000002</v>
      </c>
      <c r="K31" s="1">
        <v>5598.9620000000004</v>
      </c>
      <c r="L31" s="1">
        <v>7967.7489999999998</v>
      </c>
      <c r="M31" s="1">
        <v>8107.9930000000004</v>
      </c>
      <c r="N31" s="1">
        <v>16341.263000000001</v>
      </c>
      <c r="O31" s="1">
        <v>15265.324000000001</v>
      </c>
      <c r="P31" s="1">
        <v>13590.232</v>
      </c>
      <c r="Q31" s="1">
        <v>11106.868</v>
      </c>
      <c r="R31" s="1">
        <v>8884.3189999999995</v>
      </c>
      <c r="S31" s="1">
        <v>9462.1389999999992</v>
      </c>
      <c r="T31" s="1">
        <v>11850.972</v>
      </c>
      <c r="U31" s="1">
        <v>19311.594000000001</v>
      </c>
      <c r="V31" s="1">
        <v>32483.418000000001</v>
      </c>
      <c r="W31" s="1">
        <v>44655.51</v>
      </c>
      <c r="X31" s="1">
        <v>48952.154000000002</v>
      </c>
      <c r="Y31" s="1">
        <v>49220.421999999999</v>
      </c>
      <c r="Z31" s="1">
        <v>49643.055</v>
      </c>
      <c r="AA31" s="1">
        <v>48418.741999999998</v>
      </c>
      <c r="AB31" s="1">
        <v>42283.118000000002</v>
      </c>
      <c r="AC31" s="1">
        <v>38065.777000000002</v>
      </c>
    </row>
    <row r="32" spans="1:29">
      <c r="A32" s="1" t="s">
        <v>92</v>
      </c>
      <c r="F32" s="42">
        <v>4395.0140000000001</v>
      </c>
      <c r="I32" s="1">
        <v>5801.3310000000001</v>
      </c>
      <c r="K32" s="1">
        <v>10005.544</v>
      </c>
      <c r="L32" s="1">
        <v>8373.2309999999998</v>
      </c>
      <c r="M32" s="1">
        <v>9625.4390000000003</v>
      </c>
      <c r="N32" s="1">
        <v>12168.311</v>
      </c>
      <c r="O32" s="1">
        <v>19496.616000000002</v>
      </c>
      <c r="P32" s="1">
        <v>22016.081999999999</v>
      </c>
      <c r="Q32" s="1">
        <v>22189.907999999999</v>
      </c>
      <c r="R32" s="1">
        <v>20509.118999999999</v>
      </c>
      <c r="S32" s="1">
        <v>17956.433000000001</v>
      </c>
      <c r="T32" s="1">
        <v>19698.782999999999</v>
      </c>
      <c r="U32" s="1">
        <v>25394.713</v>
      </c>
      <c r="V32" s="1">
        <v>37505.849000000002</v>
      </c>
      <c r="W32" s="1">
        <v>45597.605000000003</v>
      </c>
      <c r="X32" s="1">
        <v>53496.35</v>
      </c>
      <c r="Y32" s="1">
        <v>53638.527000000002</v>
      </c>
      <c r="Z32" s="1">
        <v>48604.065999999999</v>
      </c>
      <c r="AA32" s="1">
        <v>41554.705000000002</v>
      </c>
      <c r="AB32" s="1">
        <v>36588.449999999997</v>
      </c>
      <c r="AC32" s="1">
        <v>32443.754000000001</v>
      </c>
    </row>
    <row r="33" spans="1:29">
      <c r="A33" s="1" t="s">
        <v>100</v>
      </c>
      <c r="F33" s="42">
        <v>6660.9</v>
      </c>
      <c r="I33" s="1">
        <v>7913.8440000000001</v>
      </c>
      <c r="K33" s="1">
        <v>7504.4747099999977</v>
      </c>
      <c r="L33" s="1">
        <v>8993.33</v>
      </c>
      <c r="M33" s="1">
        <v>10808.96</v>
      </c>
      <c r="N33" s="1">
        <v>12038.391</v>
      </c>
      <c r="O33" s="1">
        <v>12559.411</v>
      </c>
      <c r="P33" s="1">
        <v>13873.222</v>
      </c>
      <c r="Q33" s="1">
        <v>14580.882</v>
      </c>
      <c r="R33" s="1">
        <v>13513.212</v>
      </c>
      <c r="S33" s="1">
        <v>13457.985000000001</v>
      </c>
      <c r="T33" s="1">
        <v>15125.352000000001</v>
      </c>
      <c r="U33" s="1">
        <v>18109.391</v>
      </c>
      <c r="V33" s="1">
        <v>24994.657999999999</v>
      </c>
      <c r="W33" s="1">
        <v>27813.191999999999</v>
      </c>
      <c r="X33" s="1">
        <v>27078.343000000001</v>
      </c>
      <c r="Y33" s="1">
        <v>22823.238000000001</v>
      </c>
      <c r="Z33" s="1">
        <v>21062.401999999998</v>
      </c>
      <c r="AA33" s="1">
        <v>19162.698</v>
      </c>
      <c r="AB33" s="1">
        <v>17513.485000000001</v>
      </c>
      <c r="AC33" s="1">
        <v>16467.853999999999</v>
      </c>
    </row>
    <row r="34" spans="1:29">
      <c r="A34" s="1" t="s">
        <v>102</v>
      </c>
      <c r="F34" s="42">
        <v>3715.431</v>
      </c>
      <c r="I34" s="1">
        <v>4769.067</v>
      </c>
      <c r="K34" s="1">
        <v>6596</v>
      </c>
      <c r="L34" s="1">
        <v>10428.904</v>
      </c>
      <c r="M34" s="1">
        <v>12880</v>
      </c>
      <c r="N34" s="1">
        <v>18718</v>
      </c>
      <c r="O34" s="1">
        <v>23113</v>
      </c>
      <c r="P34" s="1">
        <v>7589.2169999999996</v>
      </c>
      <c r="Q34" s="1">
        <v>8185.0029999999997</v>
      </c>
      <c r="R34" s="1">
        <v>7678.8159999999998</v>
      </c>
      <c r="S34" s="1">
        <v>4854</v>
      </c>
      <c r="T34" s="1">
        <v>6006</v>
      </c>
      <c r="U34" s="1">
        <v>31579.172999999999</v>
      </c>
      <c r="V34" s="1">
        <v>57394.196000000004</v>
      </c>
      <c r="W34" s="1">
        <v>74403.312000000005</v>
      </c>
      <c r="X34" s="1">
        <v>78197.368000000002</v>
      </c>
      <c r="Y34" s="1">
        <v>77530</v>
      </c>
      <c r="Z34" s="1">
        <v>78256</v>
      </c>
      <c r="AA34" s="1">
        <v>83216</v>
      </c>
      <c r="AB34" s="1">
        <v>76661</v>
      </c>
      <c r="AC34" s="1">
        <v>69337</v>
      </c>
    </row>
    <row r="35" spans="1:29">
      <c r="A35" s="1" t="s">
        <v>105</v>
      </c>
      <c r="F35" s="42">
        <v>11917.04</v>
      </c>
      <c r="I35" s="1">
        <v>23122.144</v>
      </c>
      <c r="K35" s="1">
        <v>27826.215889999999</v>
      </c>
      <c r="L35" s="1">
        <v>36008.963000000003</v>
      </c>
      <c r="M35" s="1">
        <v>38497.555999999997</v>
      </c>
      <c r="N35" s="1">
        <v>46315.764999999999</v>
      </c>
      <c r="O35" s="1">
        <v>58959.713000000003</v>
      </c>
      <c r="P35" s="1">
        <v>62468.472999999998</v>
      </c>
      <c r="Q35" s="1">
        <v>71131.273000000001</v>
      </c>
      <c r="R35" s="1">
        <v>66918.856</v>
      </c>
      <c r="S35" s="1">
        <v>65543.323999999993</v>
      </c>
      <c r="T35" s="1">
        <v>70850.069000000003</v>
      </c>
      <c r="U35" s="1">
        <v>96483.797000000006</v>
      </c>
      <c r="V35" s="1">
        <v>134312.64000000001</v>
      </c>
      <c r="W35" s="1">
        <v>160676.584</v>
      </c>
      <c r="X35" s="1">
        <v>161689.57199999999</v>
      </c>
      <c r="Y35" s="1">
        <v>94953.93</v>
      </c>
      <c r="Z35" s="1">
        <v>89339.134999999995</v>
      </c>
      <c r="AA35" s="1">
        <v>80671.671000000002</v>
      </c>
      <c r="AB35" s="1">
        <v>118235.217</v>
      </c>
      <c r="AC35" s="1">
        <v>109834.573</v>
      </c>
    </row>
    <row r="36" spans="1:29">
      <c r="A36" s="1" t="s">
        <v>109</v>
      </c>
      <c r="F36" s="42">
        <v>34042.978000000003</v>
      </c>
      <c r="I36" s="1">
        <v>34815.010999999999</v>
      </c>
      <c r="K36" s="1">
        <v>36559.004739999997</v>
      </c>
      <c r="L36" s="1">
        <v>48315.076999999997</v>
      </c>
      <c r="M36" s="1">
        <v>55184.428999999996</v>
      </c>
      <c r="N36" s="1">
        <v>71054.964000000007</v>
      </c>
      <c r="O36" s="1">
        <v>79958.491999999998</v>
      </c>
      <c r="P36" s="1">
        <v>91294.406000000003</v>
      </c>
      <c r="Q36" s="1">
        <v>92553.752999999997</v>
      </c>
      <c r="R36" s="1">
        <v>91321.186000000002</v>
      </c>
      <c r="S36" s="1">
        <v>91681.850999999995</v>
      </c>
      <c r="T36" s="1">
        <v>101010.355</v>
      </c>
      <c r="U36" s="1">
        <v>147044.15299999999</v>
      </c>
      <c r="V36" s="1">
        <v>259562.677</v>
      </c>
      <c r="W36" s="1">
        <v>360922.46100000001</v>
      </c>
      <c r="X36" s="1">
        <v>267137.98800000001</v>
      </c>
      <c r="Y36" s="1">
        <v>261999.10800000001</v>
      </c>
      <c r="Z36" s="1">
        <v>240115.89</v>
      </c>
      <c r="AA36" s="1">
        <v>219902.13200000001</v>
      </c>
      <c r="AB36" s="1">
        <v>195941.57199999999</v>
      </c>
      <c r="AC36" s="1">
        <v>201108.67199999999</v>
      </c>
    </row>
    <row r="37" spans="1:29">
      <c r="A37" s="1" t="s">
        <v>113</v>
      </c>
      <c r="F37" s="42">
        <v>20107.417000000001</v>
      </c>
      <c r="I37" s="1">
        <v>15070.585999999999</v>
      </c>
      <c r="K37" s="1">
        <v>15103.471</v>
      </c>
      <c r="L37" s="1">
        <v>15104.151</v>
      </c>
      <c r="M37" s="1">
        <v>16789.447</v>
      </c>
      <c r="N37" s="1">
        <v>21617.975999999999</v>
      </c>
      <c r="O37" s="1">
        <v>23284.128000000001</v>
      </c>
      <c r="P37" s="1">
        <v>28291.036</v>
      </c>
      <c r="Q37" s="1">
        <v>31461.557000000001</v>
      </c>
      <c r="R37" s="1">
        <v>28706.698</v>
      </c>
      <c r="S37" s="1">
        <v>25941.855</v>
      </c>
      <c r="T37" s="1">
        <v>25396.742999999999</v>
      </c>
      <c r="U37" s="1">
        <v>29846.776999999998</v>
      </c>
      <c r="V37" s="1">
        <v>63110.180999999997</v>
      </c>
      <c r="W37" s="1">
        <v>66267.486000000004</v>
      </c>
      <c r="X37" s="1">
        <v>56216.989000000001</v>
      </c>
      <c r="Y37" s="1">
        <v>79979.520000000004</v>
      </c>
      <c r="Z37" s="1">
        <v>64037.822999999997</v>
      </c>
      <c r="AA37" s="1">
        <v>58774.997000000003</v>
      </c>
      <c r="AB37" s="1">
        <v>44705.43</v>
      </c>
      <c r="AC37" s="1">
        <v>42778.034</v>
      </c>
    </row>
    <row r="38" spans="1:29">
      <c r="A38" s="1" t="s">
        <v>115</v>
      </c>
      <c r="F38" s="42">
        <v>62941.292000000001</v>
      </c>
      <c r="I38" s="1">
        <v>97187.994000000006</v>
      </c>
      <c r="K38" s="1">
        <v>117579.56786</v>
      </c>
      <c r="L38" s="1">
        <v>135148.5</v>
      </c>
      <c r="M38" s="1">
        <v>149781.834</v>
      </c>
      <c r="N38" s="1">
        <v>170460.13800000001</v>
      </c>
      <c r="O38" s="1">
        <v>200695.76</v>
      </c>
      <c r="P38" s="1">
        <v>192977.32</v>
      </c>
      <c r="Q38" s="1">
        <v>214728.46299999999</v>
      </c>
      <c r="R38" s="1">
        <v>226161.77600000001</v>
      </c>
      <c r="S38" s="1">
        <v>203829.598</v>
      </c>
      <c r="T38" s="1">
        <v>215684.38500000001</v>
      </c>
      <c r="U38" s="1">
        <v>285259.603</v>
      </c>
      <c r="V38" s="1">
        <v>380708.299</v>
      </c>
      <c r="W38" s="1">
        <v>446118.01699999999</v>
      </c>
      <c r="X38" s="1">
        <v>458905.364</v>
      </c>
      <c r="Y38" s="1">
        <v>381940.00099999999</v>
      </c>
      <c r="Z38" s="1">
        <v>363357.30099999998</v>
      </c>
      <c r="AA38" s="1">
        <v>353515.07900000003</v>
      </c>
      <c r="AB38" s="1">
        <v>395850.49300000002</v>
      </c>
      <c r="AC38" s="1">
        <v>383131.962</v>
      </c>
    </row>
    <row r="39" spans="1:29">
      <c r="A39" s="24" t="s">
        <v>117</v>
      </c>
      <c r="B39" s="24"/>
      <c r="C39" s="24"/>
      <c r="D39" s="24"/>
      <c r="E39" s="24"/>
      <c r="F39" s="45">
        <v>8959.2019999999993</v>
      </c>
      <c r="G39" s="24"/>
      <c r="H39" s="24"/>
      <c r="I39" s="24">
        <v>9312.7849999999999</v>
      </c>
      <c r="J39" s="24"/>
      <c r="K39" s="24">
        <v>9280.8619999999992</v>
      </c>
      <c r="L39" s="24">
        <v>10877.563</v>
      </c>
      <c r="M39" s="24">
        <v>11458.098</v>
      </c>
      <c r="N39" s="24">
        <v>13454.329</v>
      </c>
      <c r="O39" s="24">
        <v>15015.192999999999</v>
      </c>
      <c r="P39" s="24">
        <v>17386.672999999999</v>
      </c>
      <c r="Q39" s="24">
        <v>18399.277999999998</v>
      </c>
      <c r="R39" s="24">
        <v>16769.592000000001</v>
      </c>
      <c r="S39" s="24">
        <v>18733.757000000001</v>
      </c>
      <c r="T39" s="24">
        <v>22720.276000000002</v>
      </c>
      <c r="U39" s="24">
        <v>26879.7</v>
      </c>
      <c r="V39" s="24">
        <v>34137.167999999998</v>
      </c>
      <c r="W39" s="24">
        <v>42229.68</v>
      </c>
      <c r="X39" s="24">
        <v>39406.769999999997</v>
      </c>
      <c r="Y39" s="24">
        <v>37948.508000000002</v>
      </c>
      <c r="Z39" s="24">
        <v>36125.832000000002</v>
      </c>
      <c r="AA39" s="24">
        <v>38398.396999999997</v>
      </c>
      <c r="AB39" s="24">
        <v>37605.434000000001</v>
      </c>
      <c r="AC39" s="24">
        <v>39413.33</v>
      </c>
    </row>
    <row r="40" spans="1:29">
      <c r="A40" s="7" t="s">
        <v>121</v>
      </c>
      <c r="B40" s="48">
        <f>SUM(B42:B53)</f>
        <v>0</v>
      </c>
      <c r="C40" s="48">
        <f t="shared" ref="C40:AC40" si="11">SUM(C42:C53)</f>
        <v>0</v>
      </c>
      <c r="D40" s="48">
        <f t="shared" si="11"/>
        <v>0</v>
      </c>
      <c r="E40" s="48">
        <f t="shared" si="11"/>
        <v>0</v>
      </c>
      <c r="F40" s="48">
        <f t="shared" si="11"/>
        <v>458137.32299999997</v>
      </c>
      <c r="G40" s="48">
        <f t="shared" si="11"/>
        <v>0</v>
      </c>
      <c r="H40" s="48">
        <f t="shared" si="11"/>
        <v>0</v>
      </c>
      <c r="I40" s="48">
        <f t="shared" si="11"/>
        <v>482772.12400000001</v>
      </c>
      <c r="J40" s="48">
        <f t="shared" si="11"/>
        <v>0</v>
      </c>
      <c r="K40" s="48">
        <f t="shared" si="11"/>
        <v>520565.47435000003</v>
      </c>
      <c r="L40" s="48">
        <f t="shared" si="11"/>
        <v>603348.48300000001</v>
      </c>
      <c r="M40" s="48">
        <f t="shared" si="11"/>
        <v>683996.13300000003</v>
      </c>
      <c r="N40" s="48">
        <f t="shared" si="11"/>
        <v>874506.59399999992</v>
      </c>
      <c r="O40" s="48">
        <f t="shared" si="11"/>
        <v>1030548.6199999999</v>
      </c>
      <c r="P40" s="48">
        <f t="shared" si="11"/>
        <v>1112065.9139999999</v>
      </c>
      <c r="Q40" s="48">
        <f t="shared" si="11"/>
        <v>1187643.138</v>
      </c>
      <c r="R40" s="48">
        <f t="shared" si="11"/>
        <v>1189204.774</v>
      </c>
      <c r="S40" s="48">
        <f t="shared" si="11"/>
        <v>1257824.4779999999</v>
      </c>
      <c r="T40" s="48">
        <f t="shared" si="11"/>
        <v>1399190.1700000002</v>
      </c>
      <c r="U40" s="48">
        <f t="shared" si="11"/>
        <v>1756970.0340000002</v>
      </c>
      <c r="V40" s="48">
        <f t="shared" si="11"/>
        <v>2675056.7649999997</v>
      </c>
      <c r="W40" s="48">
        <f t="shared" si="11"/>
        <v>3235147.9779999997</v>
      </c>
      <c r="X40" s="48">
        <f t="shared" si="11"/>
        <v>3058836.8170000003</v>
      </c>
      <c r="Y40" s="48">
        <f t="shared" si="11"/>
        <v>2340113.6529999999</v>
      </c>
      <c r="Z40" s="48">
        <f t="shared" si="11"/>
        <v>2213070.4910000004</v>
      </c>
      <c r="AA40" s="48">
        <f t="shared" si="11"/>
        <v>2064604.8979999996</v>
      </c>
      <c r="AB40" s="48">
        <f t="shared" si="11"/>
        <v>2244715.6349999998</v>
      </c>
      <c r="AC40" s="48">
        <f t="shared" si="11"/>
        <v>2107008.3429999999</v>
      </c>
    </row>
    <row r="41" spans="1:29">
      <c r="A41" s="7" t="s">
        <v>119</v>
      </c>
      <c r="X41" s="1">
        <v>0</v>
      </c>
      <c r="Y41" s="1" t="e">
        <f>#REF!/1000</f>
        <v>#REF!</v>
      </c>
      <c r="AB41" s="1">
        <v>0</v>
      </c>
      <c r="AC41" s="1">
        <v>0</v>
      </c>
    </row>
    <row r="42" spans="1:29">
      <c r="A42" s="1" t="s">
        <v>93</v>
      </c>
      <c r="F42" s="42">
        <v>81541.101999999999</v>
      </c>
      <c r="I42" s="1">
        <v>92195.679000000004</v>
      </c>
      <c r="K42" s="1">
        <v>106955.26203</v>
      </c>
      <c r="L42" s="1">
        <v>132167.41500000001</v>
      </c>
      <c r="M42" s="1">
        <v>146743.864</v>
      </c>
      <c r="N42" s="1">
        <v>196031.15299999999</v>
      </c>
      <c r="O42" s="1">
        <v>226262.603</v>
      </c>
      <c r="P42" s="1">
        <v>249814.29300000001</v>
      </c>
      <c r="Q42" s="1">
        <v>270560.65899999999</v>
      </c>
      <c r="R42" s="1">
        <v>273057.93099999998</v>
      </c>
      <c r="S42" s="1">
        <v>283880.821</v>
      </c>
      <c r="T42" s="1">
        <v>310747.93900000001</v>
      </c>
      <c r="U42" s="1">
        <v>372080.56699999998</v>
      </c>
      <c r="V42" s="1">
        <v>534901.61399999994</v>
      </c>
      <c r="W42" s="1">
        <v>652052.90700000001</v>
      </c>
      <c r="X42" s="1">
        <v>626175.47900000005</v>
      </c>
      <c r="Y42" s="1">
        <v>354526.42099999997</v>
      </c>
      <c r="Z42" s="1">
        <v>340380.27299999999</v>
      </c>
      <c r="AA42" s="1">
        <v>325271.08199999999</v>
      </c>
      <c r="AB42" s="1">
        <v>475489.56300000002</v>
      </c>
      <c r="AC42" s="1">
        <v>452172.02100000001</v>
      </c>
    </row>
    <row r="43" spans="1:29">
      <c r="A43" s="1" t="s">
        <v>58</v>
      </c>
      <c r="F43" s="42">
        <v>35894.133000000002</v>
      </c>
      <c r="I43" s="1">
        <v>31162.965</v>
      </c>
      <c r="K43" s="1">
        <v>32957.919000000002</v>
      </c>
      <c r="L43" s="1">
        <v>41785.059000000001</v>
      </c>
      <c r="M43" s="1">
        <v>46877.142999999996</v>
      </c>
      <c r="N43" s="1">
        <v>63728.273999999998</v>
      </c>
      <c r="O43" s="1">
        <v>79299.035999999993</v>
      </c>
      <c r="P43" s="1">
        <v>80908.767999999996</v>
      </c>
      <c r="Q43" s="1">
        <v>84272.368000000002</v>
      </c>
      <c r="R43" s="1">
        <v>83251.353000000003</v>
      </c>
      <c r="S43" s="1">
        <v>90076.712</v>
      </c>
      <c r="T43" s="1">
        <v>97441.001000000004</v>
      </c>
      <c r="U43" s="1">
        <v>126133.518</v>
      </c>
      <c r="V43" s="1">
        <v>233632.65100000001</v>
      </c>
      <c r="W43" s="1">
        <v>285832.00699999998</v>
      </c>
      <c r="X43" s="1">
        <v>286446.87900000002</v>
      </c>
      <c r="Y43" s="1">
        <v>291052.15600000002</v>
      </c>
      <c r="Z43" s="1">
        <v>264328.11599999998</v>
      </c>
      <c r="AA43" s="1">
        <v>241829.073</v>
      </c>
      <c r="AB43" s="1">
        <v>172378.73300000001</v>
      </c>
      <c r="AC43" s="1">
        <v>151683.65299999999</v>
      </c>
    </row>
    <row r="44" spans="1:29">
      <c r="A44" s="1" t="s">
        <v>94</v>
      </c>
      <c r="F44" s="42">
        <v>36690.879999999997</v>
      </c>
      <c r="I44" s="1">
        <v>33635.659</v>
      </c>
      <c r="K44" s="1">
        <v>33614.815000000002</v>
      </c>
      <c r="L44" s="1">
        <v>39550.008999999998</v>
      </c>
      <c r="M44" s="1">
        <v>44458.81</v>
      </c>
      <c r="N44" s="1">
        <v>57127.116000000002</v>
      </c>
      <c r="O44" s="1">
        <v>76810.228000000003</v>
      </c>
      <c r="P44" s="1">
        <v>84453.762000000002</v>
      </c>
      <c r="Q44" s="1">
        <v>88417.676999999996</v>
      </c>
      <c r="R44" s="1">
        <v>85232.896999999997</v>
      </c>
      <c r="S44" s="1">
        <v>78837.088000000003</v>
      </c>
      <c r="T44" s="1">
        <v>88969.206999999995</v>
      </c>
      <c r="U44" s="1">
        <v>118130.77499999999</v>
      </c>
      <c r="V44" s="1">
        <v>194689.685</v>
      </c>
      <c r="W44" s="1">
        <v>224373.905</v>
      </c>
      <c r="X44" s="1">
        <v>183433.17199999999</v>
      </c>
      <c r="Y44" s="1">
        <v>161394.39000000001</v>
      </c>
      <c r="Z44" s="1">
        <v>148655.671</v>
      </c>
      <c r="AA44" s="1">
        <v>145110.55600000001</v>
      </c>
      <c r="AB44" s="1">
        <v>140344.83600000001</v>
      </c>
      <c r="AC44" s="1">
        <v>130790.882</v>
      </c>
    </row>
    <row r="45" spans="1:29">
      <c r="A45" s="1" t="s">
        <v>95</v>
      </c>
      <c r="F45" s="42">
        <v>22111.895</v>
      </c>
      <c r="I45" s="1">
        <v>26670.175999999999</v>
      </c>
      <c r="K45" s="1">
        <v>30049.691569999999</v>
      </c>
      <c r="L45" s="1">
        <v>31947.821</v>
      </c>
      <c r="M45" s="1">
        <v>36669.658000000003</v>
      </c>
      <c r="N45" s="1">
        <v>45194.972000000002</v>
      </c>
      <c r="O45" s="1">
        <v>52233.298999999999</v>
      </c>
      <c r="P45" s="1">
        <v>58148.451000000001</v>
      </c>
      <c r="Q45" s="1">
        <v>61489.440999999999</v>
      </c>
      <c r="R45" s="1">
        <v>61142.400000000001</v>
      </c>
      <c r="S45" s="1">
        <v>60714.108999999997</v>
      </c>
      <c r="T45" s="1">
        <v>63582.250999999997</v>
      </c>
      <c r="U45" s="1">
        <v>73454.153000000006</v>
      </c>
      <c r="V45" s="1">
        <v>117473.32799999999</v>
      </c>
      <c r="W45" s="1">
        <v>144123.33300000001</v>
      </c>
      <c r="X45" s="1">
        <v>138621.26300000001</v>
      </c>
      <c r="Y45" s="1">
        <v>96735.505000000005</v>
      </c>
      <c r="Z45" s="1">
        <v>89448.634999999995</v>
      </c>
      <c r="AA45" s="1">
        <v>87433.542000000001</v>
      </c>
      <c r="AB45" s="1">
        <v>112538.90700000001</v>
      </c>
      <c r="AC45" s="1">
        <v>107988.55100000001</v>
      </c>
    </row>
    <row r="46" spans="1:29">
      <c r="A46" s="1" t="s">
        <v>98</v>
      </c>
      <c r="F46" s="42">
        <v>82606.460999999996</v>
      </c>
      <c r="I46" s="1">
        <v>85294.850999999995</v>
      </c>
      <c r="K46" s="1">
        <v>74542.26535999999</v>
      </c>
      <c r="L46" s="1">
        <v>80980.663</v>
      </c>
      <c r="M46" s="1">
        <v>96499.462</v>
      </c>
      <c r="N46" s="1">
        <v>128685.734</v>
      </c>
      <c r="O46" s="1">
        <v>151484.94200000001</v>
      </c>
      <c r="P46" s="1">
        <v>157522.83199999999</v>
      </c>
      <c r="Q46" s="1">
        <v>183310.65100000001</v>
      </c>
      <c r="R46" s="1">
        <v>186858.81599999999</v>
      </c>
      <c r="S46" s="1">
        <v>206674.652</v>
      </c>
      <c r="T46" s="1">
        <v>240143.48499999999</v>
      </c>
      <c r="U46" s="1">
        <v>301316.04300000001</v>
      </c>
      <c r="V46" s="1">
        <v>482813.76299999998</v>
      </c>
      <c r="W46" s="1">
        <v>550504.29099999997</v>
      </c>
      <c r="X46" s="1">
        <v>516788.35800000001</v>
      </c>
      <c r="Y46" s="1">
        <v>445175.71</v>
      </c>
      <c r="Z46" s="1">
        <v>409076.88199999998</v>
      </c>
      <c r="AA46" s="1">
        <v>373434.076</v>
      </c>
      <c r="AB46" s="1">
        <v>339317.59899999999</v>
      </c>
      <c r="AC46" s="1">
        <v>309976.17800000001</v>
      </c>
    </row>
    <row r="47" spans="1:29">
      <c r="A47" s="1" t="s">
        <v>99</v>
      </c>
      <c r="F47" s="42">
        <v>45284.364999999998</v>
      </c>
      <c r="I47" s="1">
        <v>63437.224999999999</v>
      </c>
      <c r="K47" s="1">
        <v>71957.903519999993</v>
      </c>
      <c r="L47" s="1">
        <v>67900.914000000004</v>
      </c>
      <c r="M47" s="1">
        <v>76642.358999999997</v>
      </c>
      <c r="N47" s="1">
        <v>89599.914000000004</v>
      </c>
      <c r="O47" s="1">
        <v>101265.879</v>
      </c>
      <c r="P47" s="1">
        <v>104961.989</v>
      </c>
      <c r="Q47" s="1">
        <v>109522.75199999999</v>
      </c>
      <c r="R47" s="1">
        <v>107044.651</v>
      </c>
      <c r="S47" s="1">
        <v>125578.56600000001</v>
      </c>
      <c r="T47" s="1">
        <v>137863.565</v>
      </c>
      <c r="U47" s="1">
        <v>157846.28</v>
      </c>
      <c r="V47" s="1">
        <v>239136.71100000001</v>
      </c>
      <c r="W47" s="1">
        <v>263847</v>
      </c>
      <c r="X47" s="1">
        <v>262850.78499999997</v>
      </c>
      <c r="Y47" s="1">
        <v>207846.2</v>
      </c>
      <c r="Z47" s="1">
        <v>199549.837</v>
      </c>
      <c r="AA47" s="1">
        <v>193710.86199999999</v>
      </c>
      <c r="AB47" s="1">
        <v>221538.33199999999</v>
      </c>
      <c r="AC47" s="1">
        <v>213296.34899999999</v>
      </c>
    </row>
    <row r="48" spans="1:29">
      <c r="A48" s="1" t="s">
        <v>59</v>
      </c>
      <c r="F48" s="42">
        <v>28591.628000000001</v>
      </c>
      <c r="I48" s="1">
        <v>15336.77</v>
      </c>
      <c r="K48" s="1">
        <v>31438.546999999999</v>
      </c>
      <c r="L48" s="1">
        <v>25617.631000000001</v>
      </c>
      <c r="M48" s="1">
        <v>36554.216</v>
      </c>
      <c r="N48" s="1">
        <v>38315.629000000001</v>
      </c>
      <c r="O48" s="1">
        <v>44693.875</v>
      </c>
      <c r="P48" s="1">
        <v>50962.451000000001</v>
      </c>
      <c r="Q48" s="1">
        <v>52300.667000000001</v>
      </c>
      <c r="R48" s="1">
        <v>51090.375999999997</v>
      </c>
      <c r="S48" s="1">
        <v>53856.423000000003</v>
      </c>
      <c r="T48" s="1">
        <v>65060.512000000002</v>
      </c>
      <c r="U48" s="1">
        <v>73773.379000000001</v>
      </c>
      <c r="V48" s="1">
        <v>122326.274</v>
      </c>
      <c r="W48" s="1">
        <v>201163.372</v>
      </c>
      <c r="X48" s="1">
        <v>201715.076</v>
      </c>
      <c r="Y48" s="1">
        <v>187883.128</v>
      </c>
      <c r="Z48" s="1">
        <v>209317.56899999999</v>
      </c>
      <c r="AA48" s="1">
        <v>191097.03</v>
      </c>
      <c r="AB48" s="1">
        <v>171083.7</v>
      </c>
      <c r="AC48" s="1">
        <v>163349.16699999999</v>
      </c>
    </row>
    <row r="49" spans="1:29">
      <c r="A49" s="1" t="s">
        <v>101</v>
      </c>
      <c r="F49" s="42">
        <v>10745.26</v>
      </c>
      <c r="I49" s="1">
        <v>9636.6020000000008</v>
      </c>
      <c r="K49" s="1">
        <v>16791.222000000002</v>
      </c>
      <c r="L49" s="1">
        <v>20308.251</v>
      </c>
      <c r="M49" s="1">
        <v>21569.381000000001</v>
      </c>
      <c r="N49" s="1">
        <v>26458.186000000002</v>
      </c>
      <c r="O49" s="1">
        <v>26645.143</v>
      </c>
      <c r="P49" s="1">
        <v>30146.323</v>
      </c>
      <c r="Q49" s="1">
        <v>29337.643</v>
      </c>
      <c r="R49" s="1">
        <v>26737.457999999999</v>
      </c>
      <c r="S49" s="1">
        <v>28825.766</v>
      </c>
      <c r="T49" s="1">
        <v>32558.187000000002</v>
      </c>
      <c r="U49" s="1">
        <v>39238.834000000003</v>
      </c>
      <c r="V49" s="1">
        <v>64513.184000000001</v>
      </c>
      <c r="W49" s="1">
        <v>79830.998999999996</v>
      </c>
      <c r="X49" s="1">
        <v>78720.432000000001</v>
      </c>
      <c r="Y49" s="1">
        <v>62018.667999999998</v>
      </c>
      <c r="Z49" s="1">
        <v>58576.832000000002</v>
      </c>
      <c r="AA49" s="1">
        <v>57907.964</v>
      </c>
      <c r="AB49" s="1">
        <v>55422.038</v>
      </c>
      <c r="AC49" s="1">
        <v>53999.925999999999</v>
      </c>
    </row>
    <row r="50" spans="1:29">
      <c r="A50" s="1" t="s">
        <v>107</v>
      </c>
      <c r="F50" s="42">
        <v>7381.9229999999998</v>
      </c>
      <c r="I50" s="1">
        <v>6487.7039999999997</v>
      </c>
      <c r="K50" s="1">
        <v>7065.6201900000005</v>
      </c>
      <c r="L50" s="1">
        <v>10671.605</v>
      </c>
      <c r="M50" s="1">
        <v>9923.7430000000004</v>
      </c>
      <c r="N50" s="1">
        <v>9555.8369999999995</v>
      </c>
      <c r="O50" s="1">
        <v>11104.59</v>
      </c>
      <c r="P50" s="1">
        <v>11166.844999999999</v>
      </c>
      <c r="Q50" s="1">
        <v>12148.177</v>
      </c>
      <c r="R50" s="1">
        <v>11159.550999999999</v>
      </c>
      <c r="S50" s="1">
        <v>10875.76</v>
      </c>
      <c r="T50" s="1">
        <v>8118.6840000000002</v>
      </c>
      <c r="U50" s="1">
        <v>14572.871999999999</v>
      </c>
      <c r="V50" s="1">
        <v>19878.719000000001</v>
      </c>
      <c r="W50" s="1">
        <v>22236.569</v>
      </c>
      <c r="X50" s="1">
        <v>22295.571</v>
      </c>
      <c r="Y50" s="1">
        <v>19891.511999999999</v>
      </c>
      <c r="Z50" s="1">
        <v>19272.128000000001</v>
      </c>
      <c r="AA50" s="1">
        <v>16864.223999999998</v>
      </c>
      <c r="AB50" s="1">
        <v>20491.671999999999</v>
      </c>
      <c r="AC50" s="1">
        <v>20922.186000000002</v>
      </c>
    </row>
    <row r="51" spans="1:29">
      <c r="A51" s="1" t="s">
        <v>108</v>
      </c>
      <c r="F51" s="42">
        <v>68779.13</v>
      </c>
      <c r="I51" s="1">
        <v>82086.381999999998</v>
      </c>
      <c r="K51" s="1">
        <v>79961.206000000006</v>
      </c>
      <c r="L51" s="1">
        <v>102357.57</v>
      </c>
      <c r="M51" s="1">
        <v>109754.853</v>
      </c>
      <c r="N51" s="1">
        <v>139560.47899999999</v>
      </c>
      <c r="O51" s="1">
        <v>169262.29800000001</v>
      </c>
      <c r="P51" s="1">
        <v>186309.677</v>
      </c>
      <c r="Q51" s="1">
        <v>200161.98499999999</v>
      </c>
      <c r="R51" s="1">
        <v>208250.43100000001</v>
      </c>
      <c r="S51" s="1">
        <v>227639.71900000001</v>
      </c>
      <c r="T51" s="1">
        <v>250081.53400000001</v>
      </c>
      <c r="U51" s="1">
        <v>347395.17300000001</v>
      </c>
      <c r="V51" s="1">
        <v>465184.29100000003</v>
      </c>
      <c r="W51" s="1">
        <v>559818.91500000004</v>
      </c>
      <c r="X51" s="1">
        <v>490696.11099999998</v>
      </c>
      <c r="Y51" s="1">
        <v>423455.83100000001</v>
      </c>
      <c r="Z51" s="1">
        <v>384183.77100000001</v>
      </c>
      <c r="AA51" s="1">
        <v>347426.67099999997</v>
      </c>
      <c r="AB51" s="1">
        <v>326780.46999999997</v>
      </c>
      <c r="AC51" s="1">
        <v>307455.81599999999</v>
      </c>
    </row>
    <row r="52" spans="1:29">
      <c r="A52" s="1" t="s">
        <v>112</v>
      </c>
      <c r="F52" s="42">
        <v>264.49700000000001</v>
      </c>
      <c r="I52" s="1">
        <v>427.13099999999997</v>
      </c>
      <c r="K52" s="1">
        <v>4629.1546799999996</v>
      </c>
      <c r="L52" s="1">
        <v>5889.25</v>
      </c>
      <c r="M52" s="1">
        <v>6424.7479999999996</v>
      </c>
      <c r="N52" s="1">
        <v>11024.703</v>
      </c>
      <c r="O52" s="1">
        <v>6497.0159999999996</v>
      </c>
      <c r="P52" s="1">
        <v>7854.915</v>
      </c>
      <c r="Q52" s="1">
        <v>7611.1260000000002</v>
      </c>
      <c r="R52" s="1">
        <v>7319.1890000000003</v>
      </c>
      <c r="S52" s="1">
        <v>7854.21</v>
      </c>
      <c r="T52" s="1">
        <v>8069.42</v>
      </c>
      <c r="U52" s="1">
        <v>16910.744999999999</v>
      </c>
      <c r="V52" s="1">
        <v>14960.049000000001</v>
      </c>
      <c r="W52" s="1">
        <v>15783.316999999999</v>
      </c>
      <c r="X52" s="1">
        <v>15395.504000000001</v>
      </c>
      <c r="Y52" s="1">
        <v>22655.613000000001</v>
      </c>
      <c r="Z52" s="1">
        <v>23487.544000000002</v>
      </c>
      <c r="AA52" s="1">
        <v>22560.617999999999</v>
      </c>
      <c r="AB52" s="1">
        <v>20942.87</v>
      </c>
      <c r="AC52" s="1">
        <v>20745.659</v>
      </c>
    </row>
    <row r="53" spans="1:29">
      <c r="A53" s="24" t="s">
        <v>116</v>
      </c>
      <c r="B53" s="24"/>
      <c r="C53" s="24"/>
      <c r="D53" s="24"/>
      <c r="E53" s="24"/>
      <c r="F53" s="45">
        <v>38246.048999999999</v>
      </c>
      <c r="G53" s="24"/>
      <c r="H53" s="24"/>
      <c r="I53" s="24">
        <v>36400.980000000003</v>
      </c>
      <c r="J53" s="24"/>
      <c r="K53" s="24">
        <v>30601.867999999999</v>
      </c>
      <c r="L53" s="24">
        <v>44172.294999999998</v>
      </c>
      <c r="M53" s="24">
        <v>51877.896000000001</v>
      </c>
      <c r="N53" s="24">
        <v>69224.596999999994</v>
      </c>
      <c r="O53" s="24">
        <v>84989.710999999996</v>
      </c>
      <c r="P53" s="24">
        <v>89815.607999999993</v>
      </c>
      <c r="Q53" s="24">
        <v>88509.991999999998</v>
      </c>
      <c r="R53" s="24">
        <v>88059.721000000005</v>
      </c>
      <c r="S53" s="24">
        <v>83010.652000000002</v>
      </c>
      <c r="T53" s="24">
        <v>96554.384999999995</v>
      </c>
      <c r="U53" s="24">
        <v>116117.69500000001</v>
      </c>
      <c r="V53" s="24">
        <v>185546.49600000001</v>
      </c>
      <c r="W53" s="24">
        <v>235581.36300000001</v>
      </c>
      <c r="X53" s="24">
        <v>235698.18700000001</v>
      </c>
      <c r="Y53" s="24">
        <v>67478.519</v>
      </c>
      <c r="Z53" s="24">
        <v>66793.232999999993</v>
      </c>
      <c r="AA53" s="24">
        <v>61959.199999999997</v>
      </c>
      <c r="AB53" s="24">
        <v>188386.91500000001</v>
      </c>
      <c r="AC53" s="24">
        <v>174627.95499999999</v>
      </c>
    </row>
    <row r="54" spans="1:29">
      <c r="A54" s="7" t="s">
        <v>122</v>
      </c>
      <c r="B54" s="48">
        <f>SUM(B56:B64)</f>
        <v>0</v>
      </c>
      <c r="C54" s="48">
        <f t="shared" ref="C54:AC54" si="12">SUM(C56:C64)</f>
        <v>0</v>
      </c>
      <c r="D54" s="48">
        <f t="shared" si="12"/>
        <v>0</v>
      </c>
      <c r="E54" s="48">
        <f t="shared" si="12"/>
        <v>0</v>
      </c>
      <c r="F54" s="48">
        <f t="shared" si="12"/>
        <v>350080.946</v>
      </c>
      <c r="G54" s="48">
        <f t="shared" si="12"/>
        <v>0</v>
      </c>
      <c r="H54" s="48">
        <f t="shared" si="12"/>
        <v>0</v>
      </c>
      <c r="I54" s="48">
        <f t="shared" si="12"/>
        <v>469255.70899999997</v>
      </c>
      <c r="J54" s="48">
        <f t="shared" si="12"/>
        <v>0</v>
      </c>
      <c r="K54" s="48">
        <f t="shared" si="12"/>
        <v>492221.36109000002</v>
      </c>
      <c r="L54" s="48">
        <f t="shared" si="12"/>
        <v>492044.09600000002</v>
      </c>
      <c r="M54" s="48">
        <f t="shared" si="12"/>
        <v>556757.94499999995</v>
      </c>
      <c r="N54" s="48">
        <f t="shared" si="12"/>
        <v>703145.53599999996</v>
      </c>
      <c r="O54" s="48">
        <f t="shared" si="12"/>
        <v>768918.24699999997</v>
      </c>
      <c r="P54" s="48">
        <f t="shared" si="12"/>
        <v>855683.10200000007</v>
      </c>
      <c r="Q54" s="48">
        <f t="shared" si="12"/>
        <v>902364.23899999994</v>
      </c>
      <c r="R54" s="48">
        <f t="shared" si="12"/>
        <v>887614.41500000015</v>
      </c>
      <c r="S54" s="48">
        <f t="shared" si="12"/>
        <v>909475.25800000015</v>
      </c>
      <c r="T54" s="48">
        <f t="shared" si="12"/>
        <v>1004186.085</v>
      </c>
      <c r="U54" s="48">
        <f t="shared" si="12"/>
        <v>1178753.675</v>
      </c>
      <c r="V54" s="48">
        <f t="shared" si="12"/>
        <v>1681962.6950000001</v>
      </c>
      <c r="W54" s="48">
        <f t="shared" si="12"/>
        <v>1899424.0530000003</v>
      </c>
      <c r="X54" s="48">
        <f t="shared" si="12"/>
        <v>1983440.5249999999</v>
      </c>
      <c r="Y54" s="48">
        <f t="shared" si="12"/>
        <v>1988484.4190000002</v>
      </c>
      <c r="Z54" s="48">
        <f t="shared" si="12"/>
        <v>2000147.4900000002</v>
      </c>
      <c r="AA54" s="48">
        <f t="shared" si="12"/>
        <v>2000691.3639999998</v>
      </c>
      <c r="AB54" s="48">
        <f t="shared" si="12"/>
        <v>1862083.0370000002</v>
      </c>
      <c r="AC54" s="48">
        <f t="shared" si="12"/>
        <v>1771522.6810000001</v>
      </c>
    </row>
    <row r="55" spans="1:29">
      <c r="A55" s="7" t="s">
        <v>119</v>
      </c>
      <c r="X55" s="1">
        <v>0</v>
      </c>
      <c r="Y55" s="1" t="e">
        <f>#REF!/1000</f>
        <v>#REF!</v>
      </c>
      <c r="AB55" s="1">
        <v>0</v>
      </c>
      <c r="AC55" s="1">
        <v>0</v>
      </c>
    </row>
    <row r="56" spans="1:29">
      <c r="A56" s="1" t="s">
        <v>89</v>
      </c>
      <c r="F56" s="42">
        <v>10352.684999999999</v>
      </c>
      <c r="I56" s="1">
        <v>20086.994999999999</v>
      </c>
      <c r="K56" s="1">
        <v>22395.585749999995</v>
      </c>
      <c r="L56" s="1">
        <v>22884.227999999999</v>
      </c>
      <c r="M56" s="1">
        <v>27945.898000000001</v>
      </c>
      <c r="N56" s="1">
        <v>30618.280999999999</v>
      </c>
      <c r="O56" s="1">
        <v>35176.105000000003</v>
      </c>
      <c r="P56" s="1">
        <v>38590.362999999998</v>
      </c>
      <c r="Q56" s="1">
        <v>41638.222000000002</v>
      </c>
      <c r="R56" s="1">
        <v>44179.421999999999</v>
      </c>
      <c r="S56" s="1">
        <v>45862.161</v>
      </c>
      <c r="T56" s="1">
        <v>56003.580999999998</v>
      </c>
      <c r="U56" s="1">
        <v>67398.293999999994</v>
      </c>
      <c r="V56" s="1">
        <v>93789.888000000006</v>
      </c>
      <c r="W56" s="1">
        <v>112810.609</v>
      </c>
      <c r="X56" s="1">
        <v>116112.789</v>
      </c>
      <c r="Y56" s="1">
        <v>114378.068</v>
      </c>
      <c r="Z56" s="1">
        <v>112925.88800000001</v>
      </c>
      <c r="AA56" s="1">
        <v>113033.417</v>
      </c>
      <c r="AB56" s="1">
        <v>107093.34</v>
      </c>
      <c r="AC56" s="1">
        <v>109041.755</v>
      </c>
    </row>
    <row r="57" spans="1:29">
      <c r="A57" s="1" t="s">
        <v>96</v>
      </c>
      <c r="F57" s="42">
        <v>2890.732</v>
      </c>
      <c r="I57" s="1">
        <v>3576.1840000000002</v>
      </c>
      <c r="K57" s="1">
        <v>4207.3310000000001</v>
      </c>
      <c r="L57" s="1">
        <v>6463.7290000000003</v>
      </c>
      <c r="M57" s="1">
        <v>7232.9949999999999</v>
      </c>
      <c r="N57" s="1">
        <v>8739.2350000000006</v>
      </c>
      <c r="O57" s="1">
        <v>10764.989</v>
      </c>
      <c r="P57" s="1">
        <v>12450.057000000001</v>
      </c>
      <c r="Q57" s="1">
        <v>13668.038</v>
      </c>
      <c r="R57" s="1">
        <v>14432.06</v>
      </c>
      <c r="S57" s="1">
        <v>15709.299000000001</v>
      </c>
      <c r="T57" s="1">
        <v>17573.492999999999</v>
      </c>
      <c r="U57" s="1">
        <v>20800.847000000002</v>
      </c>
      <c r="V57" s="1">
        <v>32325.916000000001</v>
      </c>
      <c r="W57" s="1">
        <v>40916.656999999999</v>
      </c>
      <c r="X57" s="1">
        <v>41952.811000000002</v>
      </c>
      <c r="Y57" s="1">
        <v>43535.764000000003</v>
      </c>
      <c r="Z57" s="1">
        <v>41706.186999999998</v>
      </c>
      <c r="AA57" s="1">
        <v>40448.370000000003</v>
      </c>
      <c r="AB57" s="1">
        <v>36754.108</v>
      </c>
      <c r="AC57" s="1">
        <v>34167.281999999999</v>
      </c>
    </row>
    <row r="58" spans="1:29" s="11" customFormat="1">
      <c r="A58" s="1" t="s">
        <v>97</v>
      </c>
      <c r="B58" s="1"/>
      <c r="C58" s="1"/>
      <c r="D58" s="1"/>
      <c r="E58" s="1"/>
      <c r="F58" s="42">
        <v>38282.154000000002</v>
      </c>
      <c r="G58" s="1"/>
      <c r="H58" s="1"/>
      <c r="I58" s="1">
        <v>48136.161</v>
      </c>
      <c r="J58" s="1"/>
      <c r="K58" s="1">
        <v>44314.383000000002</v>
      </c>
      <c r="L58" s="1">
        <v>63029.008000000002</v>
      </c>
      <c r="M58" s="1">
        <v>67820.525999999998</v>
      </c>
      <c r="N58" s="1">
        <v>76300.654999999999</v>
      </c>
      <c r="O58" s="1">
        <v>85574.767999999996</v>
      </c>
      <c r="P58" s="1">
        <v>87726.025999999998</v>
      </c>
      <c r="Q58" s="1">
        <v>90101.862999999998</v>
      </c>
      <c r="R58" s="1">
        <v>87453.365000000005</v>
      </c>
      <c r="S58" s="1">
        <v>89182.104000000007</v>
      </c>
      <c r="T58" s="1">
        <v>102870.068</v>
      </c>
      <c r="U58" s="1">
        <v>120771.931</v>
      </c>
      <c r="V58" s="1">
        <v>177500.69899999999</v>
      </c>
      <c r="W58" s="1">
        <v>207389.698</v>
      </c>
      <c r="X58" s="1">
        <v>223952.13</v>
      </c>
      <c r="Y58" s="1">
        <v>215401.12400000001</v>
      </c>
      <c r="Z58" s="1">
        <v>221853.00099999999</v>
      </c>
      <c r="AA58" s="1">
        <v>218682.288</v>
      </c>
      <c r="AB58" s="1">
        <v>202676.489</v>
      </c>
      <c r="AC58" s="1">
        <v>188030.07699999999</v>
      </c>
    </row>
    <row r="59" spans="1:29">
      <c r="A59" s="1" t="s">
        <v>103</v>
      </c>
      <c r="F59" s="42">
        <v>3334.6550000000002</v>
      </c>
      <c r="I59" s="1">
        <v>4371.2870000000003</v>
      </c>
      <c r="K59" s="1">
        <v>5598.6363399999973</v>
      </c>
      <c r="L59" s="1">
        <v>3988.5140000000001</v>
      </c>
      <c r="M59" s="1">
        <v>4132.0919999999996</v>
      </c>
      <c r="N59" s="1">
        <v>5173.826</v>
      </c>
      <c r="O59" s="1">
        <v>6381.32</v>
      </c>
      <c r="P59" s="1">
        <v>6813.58</v>
      </c>
      <c r="Q59" s="1">
        <v>7213.2579999999998</v>
      </c>
      <c r="R59" s="1">
        <v>5847.85</v>
      </c>
      <c r="S59" s="1">
        <v>7323.0309999999999</v>
      </c>
      <c r="T59" s="1">
        <v>7661.5640000000003</v>
      </c>
      <c r="U59" s="1">
        <v>9855.3410000000003</v>
      </c>
      <c r="V59" s="1">
        <v>18934.175999999999</v>
      </c>
      <c r="W59" s="1">
        <v>23462.859</v>
      </c>
      <c r="X59" s="1">
        <v>21773.437999999998</v>
      </c>
      <c r="Y59" s="1">
        <v>20753.016</v>
      </c>
      <c r="Z59" s="1">
        <v>20753.030999999999</v>
      </c>
      <c r="AA59" s="1">
        <v>22561.075000000001</v>
      </c>
      <c r="AB59" s="1">
        <v>21931.026999999998</v>
      </c>
      <c r="AC59" s="1">
        <v>19247.745999999999</v>
      </c>
    </row>
    <row r="60" spans="1:29">
      <c r="A60" s="1" t="s">
        <v>104</v>
      </c>
      <c r="F60" s="42">
        <v>48836.508999999998</v>
      </c>
      <c r="I60" s="1">
        <v>62369.902000000002</v>
      </c>
      <c r="K60" s="1">
        <v>72368.998999999996</v>
      </c>
      <c r="L60" s="1">
        <v>79147.426999999996</v>
      </c>
      <c r="M60" s="1">
        <v>87293.539000000004</v>
      </c>
      <c r="N60" s="1">
        <v>132703.92300000001</v>
      </c>
      <c r="O60" s="1">
        <v>134186.51500000001</v>
      </c>
      <c r="P60" s="1">
        <v>152317.91</v>
      </c>
      <c r="Q60" s="1">
        <v>157771.12599999999</v>
      </c>
      <c r="R60" s="1">
        <v>159968.15299999999</v>
      </c>
      <c r="S60" s="1">
        <v>175450.9</v>
      </c>
      <c r="T60" s="1">
        <v>196408.75</v>
      </c>
      <c r="U60" s="1">
        <v>234372.204</v>
      </c>
      <c r="V60" s="1">
        <v>348121.033</v>
      </c>
      <c r="W60" s="1">
        <v>369434.81300000002</v>
      </c>
      <c r="X60" s="1">
        <v>381218.924</v>
      </c>
      <c r="Y60" s="1">
        <v>353712.96500000003</v>
      </c>
      <c r="Z60" s="1">
        <v>358294.48700000002</v>
      </c>
      <c r="AA60" s="1">
        <v>345613.33500000002</v>
      </c>
      <c r="AB60" s="1">
        <v>312179.07500000001</v>
      </c>
      <c r="AC60" s="1">
        <v>286130.11200000002</v>
      </c>
    </row>
    <row r="61" spans="1:29">
      <c r="A61" s="1" t="s">
        <v>106</v>
      </c>
      <c r="F61" s="42">
        <v>191751.94399999999</v>
      </c>
      <c r="I61" s="1">
        <v>266958.44199999998</v>
      </c>
      <c r="K61" s="1">
        <v>277960.53000000003</v>
      </c>
      <c r="L61" s="1">
        <v>247100.997</v>
      </c>
      <c r="M61" s="1">
        <v>284518.84600000002</v>
      </c>
      <c r="N61" s="1">
        <v>351107.61700000003</v>
      </c>
      <c r="O61" s="1">
        <v>384139.67099999997</v>
      </c>
      <c r="P61" s="1">
        <v>431195.17800000001</v>
      </c>
      <c r="Q61" s="1">
        <v>452219.46799999999</v>
      </c>
      <c r="R61" s="1">
        <v>439950.386</v>
      </c>
      <c r="S61" s="1">
        <v>434522.66700000002</v>
      </c>
      <c r="T61" s="1">
        <v>467157.24699999997</v>
      </c>
      <c r="U61" s="1">
        <v>543429.64300000004</v>
      </c>
      <c r="V61" s="1">
        <v>738163.28599999996</v>
      </c>
      <c r="W61" s="1">
        <v>829066.49300000002</v>
      </c>
      <c r="X61" s="1">
        <v>877610.73</v>
      </c>
      <c r="Y61" s="1">
        <v>912728.89399999997</v>
      </c>
      <c r="Z61" s="1">
        <v>922198.85499999998</v>
      </c>
      <c r="AA61" s="1">
        <v>941071.57200000004</v>
      </c>
      <c r="AB61" s="1">
        <v>883583.64599999995</v>
      </c>
      <c r="AC61" s="1">
        <v>847065.40800000005</v>
      </c>
    </row>
    <row r="62" spans="1:29">
      <c r="A62" s="1" t="s">
        <v>110</v>
      </c>
      <c r="F62" s="42">
        <v>43840.81</v>
      </c>
      <c r="I62" s="1">
        <v>53620.792000000001</v>
      </c>
      <c r="K62" s="1">
        <v>55571.451999999997</v>
      </c>
      <c r="L62" s="1">
        <v>60404.692999999999</v>
      </c>
      <c r="M62" s="1">
        <v>67475.053</v>
      </c>
      <c r="N62" s="1">
        <v>85784.173999999999</v>
      </c>
      <c r="O62" s="1">
        <v>98524.150999999998</v>
      </c>
      <c r="P62" s="1">
        <v>110531.336</v>
      </c>
      <c r="Q62" s="1">
        <v>123353.961</v>
      </c>
      <c r="R62" s="1">
        <v>122039.042</v>
      </c>
      <c r="S62" s="1">
        <v>127541.891</v>
      </c>
      <c r="T62" s="1">
        <v>140058.364</v>
      </c>
      <c r="U62" s="1">
        <v>158608.302</v>
      </c>
      <c r="V62" s="1">
        <v>243465.75899999999</v>
      </c>
      <c r="W62" s="1">
        <v>278712.30099999998</v>
      </c>
      <c r="X62" s="1">
        <v>280382.87199999997</v>
      </c>
      <c r="Y62" s="1">
        <v>281894.36099999998</v>
      </c>
      <c r="Z62" s="1">
        <v>275772.78999999998</v>
      </c>
      <c r="AA62" s="1">
        <v>274230.80900000001</v>
      </c>
      <c r="AB62" s="1">
        <v>257884.655</v>
      </c>
      <c r="AC62" s="1">
        <v>251734.92499999999</v>
      </c>
    </row>
    <row r="63" spans="1:29">
      <c r="A63" s="1" t="s">
        <v>111</v>
      </c>
      <c r="F63" s="42">
        <v>8152.2079999999996</v>
      </c>
      <c r="I63" s="1">
        <v>6944.5079999999998</v>
      </c>
      <c r="K63" s="1">
        <v>6341.89</v>
      </c>
      <c r="L63" s="1">
        <v>5259.9660000000003</v>
      </c>
      <c r="M63" s="1">
        <v>6512.9769999999999</v>
      </c>
      <c r="N63" s="1">
        <v>8128.73</v>
      </c>
      <c r="O63" s="1">
        <v>8608.8960000000006</v>
      </c>
      <c r="P63" s="1">
        <v>10350.325999999999</v>
      </c>
      <c r="Q63" s="1">
        <v>11247.188</v>
      </c>
      <c r="R63" s="1">
        <v>8682.6630000000005</v>
      </c>
      <c r="S63" s="1">
        <v>9367.8439999999991</v>
      </c>
      <c r="T63" s="1">
        <v>11568.453</v>
      </c>
      <c r="U63" s="1">
        <v>14718.976000000001</v>
      </c>
      <c r="V63" s="1">
        <v>20686.281999999999</v>
      </c>
      <c r="W63" s="1">
        <v>26078.377</v>
      </c>
      <c r="X63" s="1">
        <v>29893.620999999999</v>
      </c>
      <c r="Y63" s="1">
        <v>30652.724999999999</v>
      </c>
      <c r="Z63" s="1">
        <v>31234.982</v>
      </c>
      <c r="AA63" s="1">
        <v>30658.342000000001</v>
      </c>
      <c r="AB63" s="1">
        <v>30914.32</v>
      </c>
      <c r="AC63" s="1">
        <v>29196.967000000001</v>
      </c>
    </row>
    <row r="64" spans="1:29">
      <c r="A64" s="24" t="s">
        <v>114</v>
      </c>
      <c r="B64" s="24"/>
      <c r="C64" s="24"/>
      <c r="D64" s="24"/>
      <c r="E64" s="24"/>
      <c r="F64" s="45">
        <v>2639.2489999999998</v>
      </c>
      <c r="G64" s="24"/>
      <c r="H64" s="24"/>
      <c r="I64" s="24">
        <v>3191.4380000000001</v>
      </c>
      <c r="J64" s="24"/>
      <c r="K64" s="24">
        <v>3462.5540000000001</v>
      </c>
      <c r="L64" s="24">
        <v>3765.5340000000001</v>
      </c>
      <c r="M64" s="24">
        <v>3826.0189999999998</v>
      </c>
      <c r="N64" s="24">
        <v>4589.0950000000003</v>
      </c>
      <c r="O64" s="24">
        <v>5561.8320000000003</v>
      </c>
      <c r="P64" s="24">
        <v>5708.326</v>
      </c>
      <c r="Q64" s="24">
        <v>5151.1149999999998</v>
      </c>
      <c r="R64" s="24">
        <v>5061.4740000000002</v>
      </c>
      <c r="S64" s="24">
        <v>4515.3609999999999</v>
      </c>
      <c r="T64" s="24">
        <v>4884.5649999999996</v>
      </c>
      <c r="U64" s="24">
        <v>8798.1370000000006</v>
      </c>
      <c r="V64" s="24">
        <v>8975.6560000000009</v>
      </c>
      <c r="W64" s="24">
        <v>11552.245999999999</v>
      </c>
      <c r="X64" s="24">
        <v>10543.21</v>
      </c>
      <c r="Y64" s="24">
        <v>15427.502</v>
      </c>
      <c r="Z64" s="24">
        <v>15408.269</v>
      </c>
      <c r="AA64" s="24">
        <v>14392.156000000001</v>
      </c>
      <c r="AB64" s="24">
        <v>9066.3770000000004</v>
      </c>
      <c r="AC64" s="24">
        <v>6908.4089999999997</v>
      </c>
    </row>
    <row r="65" spans="1:29">
      <c r="A65" s="46" t="s">
        <v>90</v>
      </c>
      <c r="B65" s="46"/>
      <c r="C65" s="46"/>
      <c r="D65" s="46"/>
      <c r="E65" s="46"/>
      <c r="F65" s="47">
        <v>0</v>
      </c>
      <c r="G65" s="46"/>
      <c r="H65" s="46"/>
      <c r="I65" s="46">
        <v>0</v>
      </c>
      <c r="J65" s="46"/>
      <c r="K65" s="46">
        <v>0</v>
      </c>
      <c r="L65" s="46">
        <v>0</v>
      </c>
      <c r="M65" s="46">
        <v>0</v>
      </c>
      <c r="N65" s="46">
        <v>0</v>
      </c>
      <c r="O65" s="46">
        <v>0</v>
      </c>
      <c r="P65" s="46">
        <v>0</v>
      </c>
      <c r="Q65" s="46">
        <v>0</v>
      </c>
      <c r="R65" s="46">
        <v>0</v>
      </c>
      <c r="S65" s="46">
        <v>0</v>
      </c>
      <c r="T65" s="46">
        <v>0</v>
      </c>
      <c r="U65" s="46"/>
      <c r="V65" s="46">
        <v>0</v>
      </c>
      <c r="W65" s="46">
        <v>0</v>
      </c>
      <c r="X65" s="24"/>
      <c r="Y65" s="24"/>
      <c r="Z65" s="24"/>
      <c r="AA65" s="24"/>
      <c r="AB65" s="24"/>
      <c r="AC65" s="24"/>
    </row>
    <row r="67" spans="1:29">
      <c r="I67" s="20" t="s">
        <v>78</v>
      </c>
      <c r="J67" s="20" t="s">
        <v>75</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abColor indexed="62"/>
  </sheetPr>
  <dimension ref="A1:AC102"/>
  <sheetViews>
    <sheetView showZeros="0" zoomScale="80" zoomScaleNormal="80" workbookViewId="0">
      <pane xSplit="1" ySplit="5" topLeftCell="Q6" activePane="bottomRight" state="frozen"/>
      <selection activeCell="B52" sqref="B52"/>
      <selection pane="topRight" activeCell="B52" sqref="B52"/>
      <selection pane="bottomLeft" activeCell="B52" sqref="B52"/>
      <selection pane="bottomRight" activeCell="AA32" sqref="AA32"/>
    </sheetView>
  </sheetViews>
  <sheetFormatPr defaultColWidth="9.7109375" defaultRowHeight="12.75"/>
  <cols>
    <col min="1" max="1" width="23.42578125" style="44" customWidth="1"/>
    <col min="2" max="21" width="12.42578125" style="1" customWidth="1"/>
    <col min="22" max="23" width="12.42578125" style="85" customWidth="1"/>
    <col min="24" max="57" width="10.7109375" style="1" customWidth="1"/>
    <col min="58" max="16384" width="9.7109375" style="1"/>
  </cols>
  <sheetData>
    <row r="1" spans="1:29">
      <c r="A1" s="7" t="s">
        <v>39</v>
      </c>
      <c r="B1"/>
      <c r="C1"/>
      <c r="D1"/>
      <c r="E1"/>
      <c r="F1"/>
      <c r="G1"/>
      <c r="H1"/>
      <c r="I1"/>
      <c r="J1"/>
      <c r="K1"/>
      <c r="L1"/>
      <c r="M1"/>
      <c r="N1"/>
      <c r="O1"/>
      <c r="P1"/>
      <c r="Q1"/>
      <c r="R1"/>
      <c r="S1"/>
      <c r="T1"/>
      <c r="U1"/>
      <c r="V1" s="81"/>
      <c r="W1" s="81"/>
      <c r="AA1" s="1">
        <v>1000</v>
      </c>
    </row>
    <row r="2" spans="1:29">
      <c r="A2" s="9"/>
      <c r="B2"/>
      <c r="C2"/>
      <c r="D2"/>
      <c r="E2"/>
      <c r="F2"/>
      <c r="G2"/>
      <c r="H2"/>
      <c r="I2"/>
      <c r="J2"/>
      <c r="K2"/>
      <c r="L2"/>
      <c r="M2"/>
      <c r="N2"/>
      <c r="O2"/>
      <c r="P2"/>
      <c r="Q2"/>
      <c r="R2"/>
      <c r="S2"/>
      <c r="T2"/>
      <c r="U2"/>
      <c r="V2" s="81"/>
      <c r="W2" s="81"/>
    </row>
    <row r="3" spans="1:29">
      <c r="A3" s="1" t="s">
        <v>26</v>
      </c>
      <c r="B3"/>
      <c r="C3"/>
      <c r="D3"/>
      <c r="E3"/>
      <c r="F3"/>
      <c r="G3"/>
      <c r="H3"/>
      <c r="I3"/>
      <c r="J3"/>
      <c r="K3"/>
      <c r="L3"/>
      <c r="M3"/>
      <c r="N3"/>
      <c r="O3"/>
      <c r="P3"/>
      <c r="Q3"/>
      <c r="R3"/>
      <c r="S3"/>
      <c r="T3"/>
      <c r="U3"/>
      <c r="V3" s="81"/>
      <c r="W3" s="81"/>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82">
        <v>2010</v>
      </c>
      <c r="W4" s="82">
        <v>2011</v>
      </c>
      <c r="X4" s="33" t="s">
        <v>140</v>
      </c>
      <c r="Y4" s="33" t="s">
        <v>142</v>
      </c>
      <c r="Z4" s="33" t="s">
        <v>143</v>
      </c>
      <c r="AA4" s="33" t="s">
        <v>144</v>
      </c>
      <c r="AB4" s="96" t="s">
        <v>149</v>
      </c>
      <c r="AC4" s="96" t="s">
        <v>150</v>
      </c>
    </row>
    <row r="5" spans="1:29" s="8" customFormat="1">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2" t="s">
        <v>1</v>
      </c>
      <c r="W5" s="82" t="s">
        <v>1</v>
      </c>
      <c r="X5" s="82" t="s">
        <v>1</v>
      </c>
      <c r="Y5" s="82" t="s">
        <v>1</v>
      </c>
      <c r="Z5" s="82" t="s">
        <v>1</v>
      </c>
      <c r="AA5" s="82" t="s">
        <v>1</v>
      </c>
      <c r="AB5" s="82" t="s">
        <v>1</v>
      </c>
      <c r="AC5" s="82" t="s">
        <v>1</v>
      </c>
    </row>
    <row r="6" spans="1:29">
      <c r="A6" s="24" t="s">
        <v>118</v>
      </c>
      <c r="B6" s="1">
        <f>139510+320704</f>
        <v>460214</v>
      </c>
      <c r="C6" s="1">
        <f>137127+322654</f>
        <v>459781</v>
      </c>
      <c r="D6" s="1">
        <f>206028+390847</f>
        <v>596875</v>
      </c>
      <c r="E6" s="1">
        <f>873535.984+815009.936</f>
        <v>1688545.92</v>
      </c>
      <c r="F6" s="49">
        <f>+F7+F25+F40+F54+F65</f>
        <v>2469830.5260000001</v>
      </c>
      <c r="G6" s="1">
        <f>1033064.189+1151686.646+198775.876</f>
        <v>2383526.7110000001</v>
      </c>
      <c r="H6" s="1">
        <f>1071150.183+1477700.791</f>
        <v>2548850.9739999999</v>
      </c>
      <c r="I6" s="49">
        <f>+I7+I25+I40+I54+I65</f>
        <v>2473567.3259999999</v>
      </c>
      <c r="J6" s="1">
        <f>1266198.778+1639842.742</f>
        <v>2906041.52</v>
      </c>
      <c r="K6" s="49">
        <f t="shared" ref="K6:U6" si="0">+K7+K25+K40+K54+K65</f>
        <v>3121292.3624499999</v>
      </c>
      <c r="L6" s="49">
        <f t="shared" si="0"/>
        <v>3440453.8459999999</v>
      </c>
      <c r="M6" s="49">
        <f t="shared" si="0"/>
        <v>3919988.0130000003</v>
      </c>
      <c r="N6" s="49">
        <f t="shared" si="0"/>
        <v>9941163.188000001</v>
      </c>
      <c r="O6" s="49">
        <f t="shared" si="0"/>
        <v>10489420.162</v>
      </c>
      <c r="P6" s="49">
        <f t="shared" si="0"/>
        <v>12040545.375</v>
      </c>
      <c r="Q6" s="49">
        <f t="shared" si="0"/>
        <v>12290086.002999999</v>
      </c>
      <c r="R6" s="49">
        <f t="shared" si="0"/>
        <v>12824068.991</v>
      </c>
      <c r="S6" s="49">
        <f t="shared" si="0"/>
        <v>14286515.348999999</v>
      </c>
      <c r="T6" s="49">
        <f t="shared" si="0"/>
        <v>14655069.877000002</v>
      </c>
      <c r="U6" s="49">
        <f t="shared" si="0"/>
        <v>11234963.261999998</v>
      </c>
      <c r="V6" s="83">
        <f t="shared" ref="V6:W6" si="1">+V7+V25+V40+V54+V65</f>
        <v>2860185.6950000003</v>
      </c>
      <c r="W6" s="83">
        <f t="shared" si="1"/>
        <v>3354121.1599999997</v>
      </c>
      <c r="X6" s="83">
        <f t="shared" ref="X6:Y6" si="2">+X7+X25+X40+X54+X65</f>
        <v>3163493.3810000005</v>
      </c>
      <c r="Y6" s="83">
        <f t="shared" si="2"/>
        <v>2742308.2409999999</v>
      </c>
      <c r="Z6" s="83">
        <f t="shared" ref="Z6:AA6" si="3">+Z7+Z25+Z40+Z54+Z65</f>
        <v>3180302.7119999998</v>
      </c>
      <c r="AA6" s="83">
        <f t="shared" si="3"/>
        <v>2801078.7950000004</v>
      </c>
      <c r="AB6" s="83">
        <f t="shared" ref="AB6:AC6" si="4">+AB7+AB25+AB40+AB54+AB65</f>
        <v>6469743.5310000004</v>
      </c>
      <c r="AC6" s="83">
        <f t="shared" si="4"/>
        <v>9161119.6150000002</v>
      </c>
    </row>
    <row r="7" spans="1:29">
      <c r="A7" s="1" t="s">
        <v>56</v>
      </c>
      <c r="B7" s="48">
        <f>SUM(B8:B24)</f>
        <v>155981</v>
      </c>
      <c r="C7" s="48">
        <f t="shared" ref="C7:U7" si="5">SUM(C8:C24)</f>
        <v>121173</v>
      </c>
      <c r="D7" s="48">
        <f t="shared" si="5"/>
        <v>190288</v>
      </c>
      <c r="E7" s="48">
        <f t="shared" si="5"/>
        <v>625365.74600000004</v>
      </c>
      <c r="F7" s="48">
        <f t="shared" si="5"/>
        <v>646159.40300000005</v>
      </c>
      <c r="G7" s="48">
        <f t="shared" si="5"/>
        <v>671347.55700000003</v>
      </c>
      <c r="H7" s="48">
        <f t="shared" si="5"/>
        <v>630170.55599999998</v>
      </c>
      <c r="I7" s="48">
        <f t="shared" si="5"/>
        <v>763446.95</v>
      </c>
      <c r="J7" s="48">
        <f t="shared" si="5"/>
        <v>996976.20100000012</v>
      </c>
      <c r="K7" s="48">
        <f t="shared" si="5"/>
        <v>1081000.1402699999</v>
      </c>
      <c r="L7" s="48">
        <f t="shared" si="5"/>
        <v>1053774.4479999999</v>
      </c>
      <c r="M7" s="48">
        <f t="shared" si="5"/>
        <v>993035.08600000001</v>
      </c>
      <c r="N7" s="48">
        <f t="shared" si="5"/>
        <v>3669364.0920000002</v>
      </c>
      <c r="O7" s="48">
        <f t="shared" si="5"/>
        <v>3448998.8880000003</v>
      </c>
      <c r="P7" s="48">
        <f t="shared" si="5"/>
        <v>3989679.4249999998</v>
      </c>
      <c r="Q7" s="48">
        <f t="shared" si="5"/>
        <v>4231126.2929999996</v>
      </c>
      <c r="R7" s="48">
        <f t="shared" si="5"/>
        <v>4053995.71</v>
      </c>
      <c r="S7" s="48">
        <f t="shared" si="5"/>
        <v>4528694.2209999999</v>
      </c>
      <c r="T7" s="48">
        <f t="shared" si="5"/>
        <v>4770529.3660000004</v>
      </c>
      <c r="U7" s="48">
        <f t="shared" si="5"/>
        <v>4126490.1279999996</v>
      </c>
      <c r="V7" s="84">
        <f t="shared" ref="V7:W7" si="6">SUM(V8:V24)</f>
        <v>1282832.807</v>
      </c>
      <c r="W7" s="84">
        <f t="shared" si="6"/>
        <v>1478250.9029999999</v>
      </c>
      <c r="X7" s="84">
        <f t="shared" ref="X7:Y7" si="7">SUM(X8:X24)</f>
        <v>1693401.7680000004</v>
      </c>
      <c r="Y7" s="84">
        <f t="shared" si="7"/>
        <v>1481073.273</v>
      </c>
      <c r="Z7" s="84">
        <f t="shared" ref="Z7:AA7" si="8">SUM(Z8:Z24)</f>
        <v>1442746.2020000003</v>
      </c>
      <c r="AA7" s="84">
        <f t="shared" si="8"/>
        <v>1509383.9830000002</v>
      </c>
      <c r="AB7" s="84">
        <f t="shared" ref="AB7:AC7" si="9">SUM(AB8:AB24)</f>
        <v>2924779.7629999998</v>
      </c>
      <c r="AC7" s="84">
        <f t="shared" si="9"/>
        <v>3090276.0759999999</v>
      </c>
    </row>
    <row r="8" spans="1:29">
      <c r="A8" s="7" t="s">
        <v>119</v>
      </c>
    </row>
    <row r="9" spans="1:29">
      <c r="A9" s="1" t="s">
        <v>3</v>
      </c>
      <c r="B9" s="85">
        <f>2618+6972</f>
        <v>9590</v>
      </c>
      <c r="C9" s="85">
        <f>3145+6550</f>
        <v>9695</v>
      </c>
      <c r="D9" s="85">
        <f>4493+7242</f>
        <v>11735</v>
      </c>
      <c r="E9" s="85">
        <f>26373.854+27078.472</f>
        <v>53452.326000000001</v>
      </c>
      <c r="F9" s="88">
        <v>59985.256999999998</v>
      </c>
      <c r="G9" s="85">
        <f>29031.542+31495.057</f>
        <v>60526.599000000002</v>
      </c>
      <c r="H9" s="85">
        <f>28330.162+37127.276</f>
        <v>65457.437999999995</v>
      </c>
      <c r="I9" s="85">
        <v>74937.37</v>
      </c>
      <c r="J9" s="85">
        <f>34650.388+62128.575</f>
        <v>96778.962999999989</v>
      </c>
      <c r="K9" s="85">
        <v>74889.264999999999</v>
      </c>
      <c r="L9" s="85">
        <v>104605.75999999999</v>
      </c>
      <c r="M9" s="85">
        <v>83015.157000000007</v>
      </c>
      <c r="N9" s="85">
        <v>239170.92600000001</v>
      </c>
      <c r="O9" s="85">
        <v>225273.36499999999</v>
      </c>
      <c r="P9" s="85">
        <v>253348.16699999999</v>
      </c>
      <c r="Q9" s="85">
        <v>303165.897</v>
      </c>
      <c r="R9" s="85">
        <v>314447.11099999998</v>
      </c>
      <c r="S9" s="85">
        <v>324777.22600000002</v>
      </c>
      <c r="T9" s="85">
        <v>299966.10800000001</v>
      </c>
      <c r="U9" s="85">
        <v>229134.851</v>
      </c>
      <c r="V9" s="85">
        <v>73749.327999999994</v>
      </c>
      <c r="W9" s="85">
        <v>47164.377</v>
      </c>
      <c r="X9" s="1">
        <v>34296.440999999999</v>
      </c>
      <c r="Y9" s="1">
        <v>41360.152999999998</v>
      </c>
      <c r="Z9" s="1">
        <v>32964.173999999999</v>
      </c>
      <c r="AA9" s="1">
        <v>27588.072</v>
      </c>
      <c r="AB9" s="1">
        <v>238772.44099999999</v>
      </c>
      <c r="AC9" s="1">
        <v>37659.218999999997</v>
      </c>
    </row>
    <row r="10" spans="1:29">
      <c r="A10" s="1" t="s">
        <v>4</v>
      </c>
      <c r="B10" s="85">
        <f>2416+3003</f>
        <v>5419</v>
      </c>
      <c r="C10" s="85">
        <f>2997+3139</f>
        <v>6136</v>
      </c>
      <c r="D10" s="85">
        <f>3130+3171</f>
        <v>6301</v>
      </c>
      <c r="E10" s="85">
        <f>13602.273+23441.01+0</f>
        <v>37043.282999999996</v>
      </c>
      <c r="F10" s="88">
        <v>27118.651999999998</v>
      </c>
      <c r="G10" s="85">
        <f>13413.237+18153.547</f>
        <v>31566.784</v>
      </c>
      <c r="H10" s="85">
        <f>10921.293+22272.673</f>
        <v>33193.966</v>
      </c>
      <c r="I10" s="85">
        <v>52852.290999999997</v>
      </c>
      <c r="J10" s="85">
        <f>12203.91+29780.226</f>
        <v>41984.135999999999</v>
      </c>
      <c r="K10" s="85">
        <v>43295.675999999999</v>
      </c>
      <c r="L10" s="85">
        <v>31106.238000000001</v>
      </c>
      <c r="M10" s="85">
        <v>51608.53</v>
      </c>
      <c r="N10" s="85">
        <v>160068.49600000001</v>
      </c>
      <c r="O10" s="85">
        <v>131600.416</v>
      </c>
      <c r="P10" s="85">
        <v>131058.12699999999</v>
      </c>
      <c r="Q10" s="85">
        <v>147771.68700000001</v>
      </c>
      <c r="R10" s="85">
        <v>175402.14499999999</v>
      </c>
      <c r="S10" s="85">
        <v>191038.954</v>
      </c>
      <c r="T10" s="85">
        <v>203614.39199999999</v>
      </c>
      <c r="U10" s="85">
        <v>168742.247</v>
      </c>
      <c r="V10" s="85">
        <v>37624.216</v>
      </c>
      <c r="W10" s="85">
        <v>40365.682000000001</v>
      </c>
      <c r="X10" s="1">
        <v>40505.623</v>
      </c>
      <c r="Y10" s="1">
        <v>45834.428</v>
      </c>
      <c r="Z10" s="1">
        <v>47612.66</v>
      </c>
      <c r="AA10" s="1">
        <v>55279.923000000003</v>
      </c>
      <c r="AB10" s="1">
        <v>100469.10400000001</v>
      </c>
      <c r="AC10" s="1">
        <v>84097.255000000005</v>
      </c>
    </row>
    <row r="11" spans="1:29">
      <c r="A11" s="1" t="s">
        <v>52</v>
      </c>
      <c r="B11" s="85"/>
      <c r="C11" s="85"/>
      <c r="D11" s="85">
        <f>2601+0</f>
        <v>2601</v>
      </c>
      <c r="E11" s="85">
        <v>23107.506000000001</v>
      </c>
      <c r="F11" s="88">
        <v>23412.978999999999</v>
      </c>
      <c r="G11" s="85"/>
      <c r="H11" s="85"/>
      <c r="I11" s="85">
        <v>19629.350999999999</v>
      </c>
      <c r="J11" s="85">
        <f>2157.529+12937.172</f>
        <v>15094.701000000001</v>
      </c>
      <c r="K11" s="85">
        <v>11732.259</v>
      </c>
      <c r="L11" s="85">
        <v>15782.645</v>
      </c>
      <c r="M11" s="85">
        <v>0</v>
      </c>
      <c r="N11" s="85">
        <v>6300.8789999999999</v>
      </c>
      <c r="O11" s="85">
        <v>7585.2280000000001</v>
      </c>
      <c r="P11" s="85">
        <v>8432.6170000000002</v>
      </c>
      <c r="Q11" s="85">
        <v>10091.314</v>
      </c>
      <c r="R11" s="85">
        <v>7743.7730000000001</v>
      </c>
      <c r="S11" s="85">
        <v>6094.6360000000004</v>
      </c>
      <c r="T11" s="85">
        <v>9405.9419999999991</v>
      </c>
      <c r="U11" s="85">
        <v>12699.620999999999</v>
      </c>
      <c r="V11" s="85">
        <v>1203.116</v>
      </c>
      <c r="W11" s="85">
        <v>6906.3329999999996</v>
      </c>
      <c r="X11" s="1">
        <v>64824.699000000001</v>
      </c>
      <c r="Y11" s="1">
        <v>0</v>
      </c>
      <c r="Z11" s="1">
        <v>3379.625</v>
      </c>
      <c r="AA11" s="1">
        <v>4306.2370000000001</v>
      </c>
      <c r="AB11" s="1">
        <v>0</v>
      </c>
      <c r="AC11" s="1">
        <v>0</v>
      </c>
    </row>
    <row r="12" spans="1:29">
      <c r="A12" s="1" t="s">
        <v>5</v>
      </c>
      <c r="B12" s="85">
        <f>383+1119</f>
        <v>1502</v>
      </c>
      <c r="C12" s="85">
        <f>0+929</f>
        <v>929</v>
      </c>
      <c r="D12" s="85">
        <f>194+1441</f>
        <v>1635</v>
      </c>
      <c r="E12" s="85">
        <f>1976.954+20396.517+0</f>
        <v>22373.471000000001</v>
      </c>
      <c r="F12" s="88">
        <v>8542.1620000000003</v>
      </c>
      <c r="G12" s="85">
        <f>1129.336+5724.632</f>
        <v>6853.9679999999998</v>
      </c>
      <c r="H12" s="85">
        <f>479.047+3318.708</f>
        <v>3797.7550000000001</v>
      </c>
      <c r="I12" s="85">
        <v>16049.128000000001</v>
      </c>
      <c r="J12" s="85">
        <f>1608.655+16368.577</f>
        <v>17977.232</v>
      </c>
      <c r="K12" s="85">
        <v>11424.467000000001</v>
      </c>
      <c r="L12" s="85">
        <v>-1906.933</v>
      </c>
      <c r="M12" s="85">
        <v>23273.379000000001</v>
      </c>
      <c r="N12" s="85">
        <v>518723.326</v>
      </c>
      <c r="O12" s="85">
        <v>547206.51199999999</v>
      </c>
      <c r="P12" s="85">
        <v>496717.33399999997</v>
      </c>
      <c r="Q12" s="85">
        <v>491263.49800000002</v>
      </c>
      <c r="R12" s="85">
        <v>501446.99400000001</v>
      </c>
      <c r="S12" s="85">
        <v>516074.092</v>
      </c>
      <c r="T12" s="85">
        <v>543494.79</v>
      </c>
      <c r="U12" s="85">
        <v>444252.96500000003</v>
      </c>
      <c r="V12" s="85">
        <v>120428.125</v>
      </c>
      <c r="W12" s="85">
        <v>134169.65</v>
      </c>
      <c r="X12" s="1">
        <v>319317.83799999999</v>
      </c>
      <c r="Y12" s="1">
        <v>269136.87199999997</v>
      </c>
      <c r="Z12" s="1">
        <v>188761.86300000001</v>
      </c>
      <c r="AA12" s="1">
        <v>170537.08900000001</v>
      </c>
      <c r="AB12" s="1">
        <v>96977.455000000002</v>
      </c>
      <c r="AC12" s="1">
        <v>306879.97899999999</v>
      </c>
    </row>
    <row r="13" spans="1:29">
      <c r="A13" s="1" t="s">
        <v>6</v>
      </c>
      <c r="B13" s="85">
        <v>28</v>
      </c>
      <c r="C13" s="85">
        <v>0</v>
      </c>
      <c r="D13" s="85">
        <f>0+8</f>
        <v>8</v>
      </c>
      <c r="E13" s="85">
        <f>326.509+529.623+0</f>
        <v>856.13200000000006</v>
      </c>
      <c r="F13" s="88">
        <v>0</v>
      </c>
      <c r="G13" s="85">
        <f>114.245+381.767</f>
        <v>496.012</v>
      </c>
      <c r="H13" s="85">
        <f>1.871+488.499</f>
        <v>490.37</v>
      </c>
      <c r="I13" s="85">
        <v>-521.31200000000001</v>
      </c>
      <c r="J13" s="85">
        <f>81.357+424.44</f>
        <v>505.79700000000003</v>
      </c>
      <c r="K13" s="85">
        <v>1453.6089999999999</v>
      </c>
      <c r="L13" s="85">
        <v>-3268.7719999999999</v>
      </c>
      <c r="M13" s="85">
        <v>550.63800000000003</v>
      </c>
      <c r="N13" s="85">
        <v>83873.345000000001</v>
      </c>
      <c r="O13" s="85">
        <v>42323.964999999997</v>
      </c>
      <c r="P13" s="85">
        <v>87085.839000000007</v>
      </c>
      <c r="Q13" s="85">
        <v>85998.217999999993</v>
      </c>
      <c r="R13" s="85">
        <v>107209.284</v>
      </c>
      <c r="S13" s="85">
        <v>125418.923</v>
      </c>
      <c r="T13" s="85">
        <v>84578.258000000002</v>
      </c>
      <c r="U13" s="85">
        <v>135961.27799999999</v>
      </c>
      <c r="V13" s="85">
        <v>30971.863000000001</v>
      </c>
      <c r="W13" s="85">
        <v>30485.423999999999</v>
      </c>
      <c r="X13" s="1">
        <v>28541.196</v>
      </c>
      <c r="Y13" s="1">
        <v>14374.092000000001</v>
      </c>
      <c r="Z13" s="1">
        <v>29192.637999999999</v>
      </c>
      <c r="AA13" s="1">
        <v>25749.984</v>
      </c>
      <c r="AB13" s="1">
        <v>78741.807000000001</v>
      </c>
      <c r="AC13" s="1">
        <v>74172.672000000006</v>
      </c>
    </row>
    <row r="14" spans="1:29">
      <c r="A14" s="1" t="s">
        <v>7</v>
      </c>
      <c r="B14" s="85">
        <f>17275+10814</f>
        <v>28089</v>
      </c>
      <c r="C14" s="85">
        <f>21555+11120</f>
        <v>32675</v>
      </c>
      <c r="D14" s="85">
        <f>23411+11755</f>
        <v>35166</v>
      </c>
      <c r="E14" s="85">
        <f>47727.043+15632.715+0</f>
        <v>63359.758000000002</v>
      </c>
      <c r="F14" s="88">
        <v>65733.835000000006</v>
      </c>
      <c r="G14" s="85">
        <f>64639.523+13919.07</f>
        <v>78558.592999999993</v>
      </c>
      <c r="H14" s="85">
        <f>64196.825+18536.2</f>
        <v>82733.024999999994</v>
      </c>
      <c r="I14" s="85">
        <v>80651.142999999996</v>
      </c>
      <c r="J14" s="85">
        <f>58061.303+15000.84</f>
        <v>73062.142999999996</v>
      </c>
      <c r="K14" s="85">
        <v>94575.377999999997</v>
      </c>
      <c r="L14" s="85">
        <v>91058.21</v>
      </c>
      <c r="M14" s="85">
        <v>83444.370999999999</v>
      </c>
      <c r="N14" s="85">
        <v>144793.55300000001</v>
      </c>
      <c r="O14" s="85">
        <v>150028.78400000001</v>
      </c>
      <c r="P14" s="85">
        <v>163121.76500000001</v>
      </c>
      <c r="Q14" s="85">
        <v>175115.99900000001</v>
      </c>
      <c r="R14" s="85">
        <v>172523.38800000001</v>
      </c>
      <c r="S14" s="85">
        <v>191596.679</v>
      </c>
      <c r="T14" s="85">
        <v>197651.524</v>
      </c>
      <c r="U14" s="85">
        <v>234510.02</v>
      </c>
      <c r="V14" s="85">
        <v>15515.602000000001</v>
      </c>
      <c r="W14" s="85">
        <v>13169.796</v>
      </c>
      <c r="X14" s="1">
        <v>20010.253000000001</v>
      </c>
      <c r="Y14" s="1">
        <v>20531.905999999999</v>
      </c>
      <c r="Z14" s="1">
        <v>16710.169999999998</v>
      </c>
      <c r="AA14" s="1">
        <v>15194.678</v>
      </c>
      <c r="AB14" s="1">
        <v>13852.931</v>
      </c>
      <c r="AC14" s="1">
        <v>28935.257000000001</v>
      </c>
    </row>
    <row r="15" spans="1:29">
      <c r="A15" s="1" t="s">
        <v>8</v>
      </c>
      <c r="B15" s="85">
        <f>1789+2582</f>
        <v>4371</v>
      </c>
      <c r="C15" s="85">
        <f>1655+1018</f>
        <v>2673</v>
      </c>
      <c r="D15" s="85">
        <f>3676+863</f>
        <v>4539</v>
      </c>
      <c r="E15" s="85">
        <f>2458.931+10651.723+0</f>
        <v>13110.654</v>
      </c>
      <c r="F15" s="88">
        <v>4612.7610000000004</v>
      </c>
      <c r="G15" s="85">
        <f>2099.201+14874.151</f>
        <v>16973.351999999999</v>
      </c>
      <c r="H15" s="85">
        <f>3019.534+11187.7</f>
        <v>14207.234</v>
      </c>
      <c r="I15" s="85">
        <v>47968.286</v>
      </c>
      <c r="J15" s="85">
        <f>5476.2+12701.492</f>
        <v>18177.691999999999</v>
      </c>
      <c r="K15" s="85">
        <v>22117.074000000001</v>
      </c>
      <c r="L15" s="85">
        <v>19235.145</v>
      </c>
      <c r="M15" s="85">
        <v>21108.478999999999</v>
      </c>
      <c r="N15" s="85">
        <v>68666.335000000006</v>
      </c>
      <c r="O15" s="85">
        <v>95158.706999999995</v>
      </c>
      <c r="P15" s="85">
        <v>121900.78200000001</v>
      </c>
      <c r="Q15" s="85">
        <v>105427.76300000001</v>
      </c>
      <c r="R15" s="85">
        <v>108662.65</v>
      </c>
      <c r="S15" s="85">
        <v>127806.64200000001</v>
      </c>
      <c r="T15" s="85">
        <v>148647.65900000001</v>
      </c>
      <c r="U15" s="85">
        <v>102510.08100000001</v>
      </c>
      <c r="V15" s="85">
        <v>40287.796000000002</v>
      </c>
      <c r="W15" s="85">
        <v>50921.256000000001</v>
      </c>
      <c r="X15" s="1">
        <v>50693.142</v>
      </c>
      <c r="Y15" s="1">
        <v>85231.438999999998</v>
      </c>
      <c r="Z15" s="1">
        <v>76531.243000000002</v>
      </c>
      <c r="AA15" s="1">
        <v>33662.578000000001</v>
      </c>
      <c r="AB15" s="1">
        <v>159606.51500000001</v>
      </c>
      <c r="AC15" s="101">
        <v>-8368.0139999999992</v>
      </c>
    </row>
    <row r="16" spans="1:29">
      <c r="A16" s="1" t="s">
        <v>9</v>
      </c>
      <c r="B16" s="85">
        <v>2714</v>
      </c>
      <c r="C16" s="85">
        <f>0+2456</f>
        <v>2456</v>
      </c>
      <c r="D16" s="85">
        <v>4474</v>
      </c>
      <c r="E16" s="85">
        <f>8991.102+115367.608+0</f>
        <v>124358.70999999999</v>
      </c>
      <c r="F16" s="88">
        <v>64875.127</v>
      </c>
      <c r="G16" s="85">
        <f>23741.496+25348.964+1181.129</f>
        <v>50271.589</v>
      </c>
      <c r="H16" s="85">
        <f>25625.297+32787.496</f>
        <v>58412.792999999998</v>
      </c>
      <c r="I16" s="85">
        <v>53558.995999999999</v>
      </c>
      <c r="J16" s="85">
        <f>25818.844+32977.355</f>
        <v>58796.199000000008</v>
      </c>
      <c r="K16" s="85">
        <v>61572.336859999996</v>
      </c>
      <c r="L16" s="85">
        <v>76481.482999999993</v>
      </c>
      <c r="M16" s="85">
        <v>57868.023000000001</v>
      </c>
      <c r="N16" s="85">
        <v>86907.554999999993</v>
      </c>
      <c r="O16" s="85">
        <v>58168.512000000002</v>
      </c>
      <c r="P16" s="85">
        <v>62588.654999999999</v>
      </c>
      <c r="Q16" s="85">
        <v>81252.293999999994</v>
      </c>
      <c r="R16" s="85">
        <v>59471.716</v>
      </c>
      <c r="S16" s="85">
        <v>71765.159</v>
      </c>
      <c r="T16" s="85">
        <v>83587.819000000003</v>
      </c>
      <c r="U16" s="85">
        <v>47667.364000000001</v>
      </c>
      <c r="V16" s="85">
        <v>23543.127</v>
      </c>
      <c r="W16" s="85">
        <v>45584.421000000002</v>
      </c>
      <c r="X16" s="1">
        <v>51454.718999999997</v>
      </c>
      <c r="Y16" s="1">
        <v>26376.871999999999</v>
      </c>
      <c r="Z16" s="1">
        <v>70360.039000000004</v>
      </c>
      <c r="AA16" s="1">
        <v>33306.398999999998</v>
      </c>
      <c r="AB16" s="1">
        <v>169246.10699999999</v>
      </c>
      <c r="AC16" s="1">
        <v>184230.14600000001</v>
      </c>
    </row>
    <row r="17" spans="1:29">
      <c r="A17" s="1" t="s">
        <v>10</v>
      </c>
      <c r="B17" s="85">
        <f>10+1956+968</f>
        <v>2934</v>
      </c>
      <c r="C17" s="85">
        <f>479+2629</f>
        <v>3108</v>
      </c>
      <c r="D17" s="85">
        <f>502+2589</f>
        <v>3091</v>
      </c>
      <c r="E17" s="85">
        <f>5345.816+7149.766</f>
        <v>12495.581999999999</v>
      </c>
      <c r="F17" s="88">
        <v>11428.174000000001</v>
      </c>
      <c r="G17" s="85">
        <f>7265.143+10788.515+1375.083</f>
        <v>19428.740999999998</v>
      </c>
      <c r="H17" s="85">
        <f>9024.19+6521.925</f>
        <v>15546.115000000002</v>
      </c>
      <c r="I17" s="85">
        <v>36171.748</v>
      </c>
      <c r="J17" s="85">
        <f>10843.949+21840.909</f>
        <v>32684.858</v>
      </c>
      <c r="K17" s="85">
        <v>25410.331999999999</v>
      </c>
      <c r="L17" s="85">
        <v>40729.012999999999</v>
      </c>
      <c r="M17" s="85">
        <v>44873.514999999999</v>
      </c>
      <c r="N17" s="85">
        <v>124120.558</v>
      </c>
      <c r="O17" s="85">
        <v>151415.48499999999</v>
      </c>
      <c r="P17" s="85">
        <v>152071.038</v>
      </c>
      <c r="Q17" s="85">
        <v>178457.234</v>
      </c>
      <c r="R17" s="85">
        <v>142057.53200000001</v>
      </c>
      <c r="S17" s="85">
        <v>149998.46599999999</v>
      </c>
      <c r="T17" s="85">
        <v>136198.326</v>
      </c>
      <c r="U17" s="85">
        <v>96172.873999999996</v>
      </c>
      <c r="V17" s="85">
        <v>36462.446000000004</v>
      </c>
      <c r="W17" s="85">
        <v>46535.156000000003</v>
      </c>
      <c r="X17" s="1">
        <v>62448.815999999999</v>
      </c>
      <c r="Y17" s="1">
        <v>18097.921999999999</v>
      </c>
      <c r="Z17" s="1">
        <v>16144.821</v>
      </c>
      <c r="AA17" s="1">
        <v>17691.047999999999</v>
      </c>
      <c r="AB17" s="1">
        <v>40736.038</v>
      </c>
      <c r="AC17" s="1">
        <v>24087.738000000001</v>
      </c>
    </row>
    <row r="18" spans="1:29">
      <c r="A18" s="1" t="s">
        <v>11</v>
      </c>
      <c r="B18" s="85">
        <f>734+20480+323+1859</f>
        <v>23396</v>
      </c>
      <c r="C18" s="85">
        <f>951+494</f>
        <v>1445</v>
      </c>
      <c r="D18" s="85">
        <v>1695</v>
      </c>
      <c r="E18" s="85">
        <f>4802.398+0</f>
        <v>4802.3980000000001</v>
      </c>
      <c r="F18" s="88">
        <v>23137.257000000001</v>
      </c>
      <c r="G18" s="85">
        <f>6915.632+10041.652+12395.03</f>
        <v>29352.313999999998</v>
      </c>
      <c r="H18" s="85">
        <f>8729.648+8522.857</f>
        <v>17252.504999999997</v>
      </c>
      <c r="I18" s="85">
        <v>12320.513999999999</v>
      </c>
      <c r="J18" s="85">
        <f>5181.517+16679.313</f>
        <v>21860.829999999998</v>
      </c>
      <c r="K18" s="85">
        <v>29607.871999999999</v>
      </c>
      <c r="L18" s="85">
        <v>24452.421999999999</v>
      </c>
      <c r="M18" s="85">
        <v>-7735.6610000000001</v>
      </c>
      <c r="N18" s="85">
        <v>200899.82699999999</v>
      </c>
      <c r="O18" s="85">
        <v>207088.46400000001</v>
      </c>
      <c r="P18" s="85">
        <v>234691.234</v>
      </c>
      <c r="Q18" s="85">
        <v>251905.01199999999</v>
      </c>
      <c r="R18" s="85">
        <v>297994.592</v>
      </c>
      <c r="S18" s="85">
        <v>343161.88500000001</v>
      </c>
      <c r="T18" s="85">
        <v>356240.39500000002</v>
      </c>
      <c r="U18" s="85">
        <v>403163.53399999999</v>
      </c>
      <c r="V18" s="85">
        <v>41058.944000000003</v>
      </c>
      <c r="W18" s="85">
        <v>45905.446000000004</v>
      </c>
      <c r="X18" s="1">
        <v>43854.811000000002</v>
      </c>
      <c r="Y18" s="1">
        <v>21712.556</v>
      </c>
      <c r="Z18" s="1">
        <v>40903.622000000003</v>
      </c>
      <c r="AA18" s="1">
        <v>47043.133999999998</v>
      </c>
      <c r="AB18" s="1">
        <v>41785.019</v>
      </c>
      <c r="AC18" s="1">
        <v>64635.207000000002</v>
      </c>
    </row>
    <row r="19" spans="1:29">
      <c r="A19" s="1" t="s">
        <v>12</v>
      </c>
      <c r="B19" s="85">
        <v>225</v>
      </c>
      <c r="C19" s="85">
        <f>0+234</f>
        <v>234</v>
      </c>
      <c r="D19" s="85">
        <v>254</v>
      </c>
      <c r="E19" s="85">
        <f>5030.557+5011.255</f>
        <v>10041.812</v>
      </c>
      <c r="F19" s="88">
        <v>12284.870999999999</v>
      </c>
      <c r="G19" s="85">
        <f>6757.301+639.19+56306.441</f>
        <v>63702.932000000001</v>
      </c>
      <c r="H19" s="85">
        <f>6713.507+-7419.903</f>
        <v>-706.39600000000064</v>
      </c>
      <c r="I19" s="85">
        <v>4735.6530000000002</v>
      </c>
      <c r="J19" s="85">
        <f>3615.003+1254.056</f>
        <v>4869.0590000000002</v>
      </c>
      <c r="K19" s="85">
        <v>-2798.1750000000002</v>
      </c>
      <c r="L19" s="85">
        <v>8817.1080000000002</v>
      </c>
      <c r="M19" s="85">
        <v>5753.335</v>
      </c>
      <c r="N19" s="85">
        <v>104123.80100000001</v>
      </c>
      <c r="O19" s="85">
        <v>134400.856</v>
      </c>
      <c r="P19" s="85">
        <v>136199.36600000001</v>
      </c>
      <c r="Q19" s="85">
        <v>134195.68700000001</v>
      </c>
      <c r="R19" s="85">
        <v>153268.95199999999</v>
      </c>
      <c r="S19" s="85">
        <v>169268.61</v>
      </c>
      <c r="T19" s="85">
        <v>148740.902</v>
      </c>
      <c r="U19" s="85">
        <v>114824.95699999999</v>
      </c>
      <c r="V19" s="85">
        <v>14453.154</v>
      </c>
      <c r="W19" s="85">
        <v>8867.5679999999993</v>
      </c>
      <c r="X19" s="1">
        <v>6140.92</v>
      </c>
      <c r="Y19" s="1">
        <v>6354.5569999999998</v>
      </c>
      <c r="Z19" s="1">
        <v>8308.8799999999992</v>
      </c>
      <c r="AA19" s="1">
        <v>20139.548999999999</v>
      </c>
      <c r="AB19" s="1">
        <v>48175.28</v>
      </c>
      <c r="AC19" s="1">
        <v>89041.072</v>
      </c>
    </row>
    <row r="20" spans="1:29">
      <c r="A20" s="1" t="s">
        <v>13</v>
      </c>
      <c r="B20" s="85">
        <f>345+2288</f>
        <v>2633</v>
      </c>
      <c r="C20" s="85">
        <f>219+6957</f>
        <v>7176</v>
      </c>
      <c r="D20" s="85">
        <f>212+4600</f>
        <v>4812</v>
      </c>
      <c r="E20" s="85">
        <f>7266.975+(-631.75)</f>
        <v>6635.2250000000004</v>
      </c>
      <c r="F20" s="88">
        <v>8670.973</v>
      </c>
      <c r="G20" s="85">
        <f>9685.121+2848.413</f>
        <v>12533.534</v>
      </c>
      <c r="H20" s="85">
        <f>6867.347+8168.518</f>
        <v>15035.865</v>
      </c>
      <c r="I20" s="85">
        <v>25650.865000000002</v>
      </c>
      <c r="J20" s="85">
        <f>5597.852+5550.959</f>
        <v>11148.811</v>
      </c>
      <c r="K20" s="85">
        <v>21358.992999999999</v>
      </c>
      <c r="L20" s="85">
        <v>24072.507000000001</v>
      </c>
      <c r="M20" s="85">
        <v>14088.707</v>
      </c>
      <c r="N20" s="85">
        <v>98323.161999999997</v>
      </c>
      <c r="O20" s="85">
        <v>110396.905</v>
      </c>
      <c r="P20" s="85">
        <v>116647.391</v>
      </c>
      <c r="Q20" s="85">
        <v>129615.72900000001</v>
      </c>
      <c r="R20" s="85">
        <v>141382.565</v>
      </c>
      <c r="S20" s="85">
        <v>155563.416</v>
      </c>
      <c r="T20" s="85">
        <v>148724.12599999999</v>
      </c>
      <c r="U20" s="85">
        <v>113014.88800000001</v>
      </c>
      <c r="V20" s="85">
        <v>14053.531999999999</v>
      </c>
      <c r="W20" s="85">
        <v>16800.859</v>
      </c>
      <c r="X20" s="1">
        <v>14180.745000000001</v>
      </c>
      <c r="Y20" s="1">
        <v>32193.424999999999</v>
      </c>
      <c r="Z20" s="1">
        <v>15218.449000000001</v>
      </c>
      <c r="AA20" s="1">
        <v>18060.965</v>
      </c>
      <c r="AB20" s="1">
        <v>23324.516</v>
      </c>
      <c r="AC20" s="1">
        <v>45074.485000000001</v>
      </c>
    </row>
    <row r="21" spans="1:29" s="11" customFormat="1">
      <c r="A21" s="1" t="s">
        <v>14</v>
      </c>
      <c r="B21" s="85">
        <v>2225</v>
      </c>
      <c r="C21" s="85">
        <f>1055+2319</f>
        <v>3374</v>
      </c>
      <c r="D21" s="85">
        <f>2195+908</f>
        <v>3103</v>
      </c>
      <c r="E21" s="85">
        <f>5573.744+5182.374</f>
        <v>10756.117999999999</v>
      </c>
      <c r="F21" s="88">
        <v>21967.646000000001</v>
      </c>
      <c r="G21" s="85">
        <f>3313.658+6180.627</f>
        <v>9494.2849999999999</v>
      </c>
      <c r="H21" s="85">
        <f>2490.234+8695.559</f>
        <v>11185.793</v>
      </c>
      <c r="I21" s="85">
        <v>12621.532999999999</v>
      </c>
      <c r="J21" s="85">
        <f>2734.973-613.996</f>
        <v>2120.9769999999999</v>
      </c>
      <c r="K21" s="85">
        <v>14452.046279999999</v>
      </c>
      <c r="L21" s="85">
        <v>42999.277999999998</v>
      </c>
      <c r="M21" s="85">
        <v>-7325.9849999999997</v>
      </c>
      <c r="N21" s="85">
        <v>114964.27899999999</v>
      </c>
      <c r="O21" s="85">
        <v>56352.512000000002</v>
      </c>
      <c r="P21" s="85">
        <v>162504.228</v>
      </c>
      <c r="Q21" s="85">
        <v>166077.307</v>
      </c>
      <c r="R21" s="85">
        <v>167403.69899999999</v>
      </c>
      <c r="S21" s="85">
        <v>150518.47899999999</v>
      </c>
      <c r="T21" s="85">
        <v>161678.34</v>
      </c>
      <c r="U21" s="85">
        <v>175166.28400000001</v>
      </c>
      <c r="V21" s="85">
        <v>10089.815000000001</v>
      </c>
      <c r="W21" s="85">
        <v>634.91800000000001</v>
      </c>
      <c r="X21" s="1">
        <v>257.39100000000002</v>
      </c>
      <c r="Y21" s="1">
        <v>3451.2689999999998</v>
      </c>
      <c r="Z21" s="1">
        <v>615.05499999999995</v>
      </c>
      <c r="AA21" s="1">
        <v>3988</v>
      </c>
      <c r="AB21" s="1">
        <v>83148.236999999994</v>
      </c>
      <c r="AC21" s="1">
        <v>74567.392000000007</v>
      </c>
    </row>
    <row r="22" spans="1:29">
      <c r="A22" s="1" t="s">
        <v>15</v>
      </c>
      <c r="B22" s="85">
        <f>25042+25346</f>
        <v>50388</v>
      </c>
      <c r="C22" s="85">
        <f>16809+24265</f>
        <v>41074</v>
      </c>
      <c r="D22" s="85">
        <f>56514+45498</f>
        <v>102012</v>
      </c>
      <c r="E22" s="85">
        <f>90600.104+112646.57</f>
        <v>203246.674</v>
      </c>
      <c r="F22" s="88">
        <v>271274.522</v>
      </c>
      <c r="G22" s="85">
        <f>93450.362+138880.092</f>
        <v>232330.454</v>
      </c>
      <c r="H22" s="85">
        <f>106875.733+166590.12</f>
        <v>273465.853</v>
      </c>
      <c r="I22" s="85">
        <v>270594.85800000001</v>
      </c>
      <c r="J22" s="85">
        <f>163257.133+391819.731</f>
        <v>555076.86400000006</v>
      </c>
      <c r="K22" s="85">
        <v>596007.03099999996</v>
      </c>
      <c r="L22" s="85">
        <v>532553.70200000005</v>
      </c>
      <c r="M22" s="85">
        <v>576507.196</v>
      </c>
      <c r="N22" s="85">
        <v>1303992.5209999999</v>
      </c>
      <c r="O22" s="85">
        <v>1149106.33</v>
      </c>
      <c r="P22" s="85">
        <v>1458486.797</v>
      </c>
      <c r="Q22" s="85">
        <v>1555000.693</v>
      </c>
      <c r="R22" s="85">
        <v>1255260.855</v>
      </c>
      <c r="S22" s="85">
        <v>1524960.175</v>
      </c>
      <c r="T22" s="85">
        <v>1691759.48</v>
      </c>
      <c r="U22" s="85">
        <v>1263210.831</v>
      </c>
      <c r="V22" s="85">
        <v>719021.90800000005</v>
      </c>
      <c r="W22" s="85">
        <v>965490.11399999994</v>
      </c>
      <c r="X22" s="1">
        <v>885167.16</v>
      </c>
      <c r="Y22" s="1">
        <v>833358.55799999996</v>
      </c>
      <c r="Z22" s="1">
        <v>837689.42700000003</v>
      </c>
      <c r="AA22" s="1">
        <v>962844.69400000002</v>
      </c>
      <c r="AB22" s="1">
        <v>1551595.01</v>
      </c>
      <c r="AC22" s="1">
        <v>1801306.1089999999</v>
      </c>
    </row>
    <row r="23" spans="1:29">
      <c r="A23" s="1" t="s">
        <v>16</v>
      </c>
      <c r="B23" s="85">
        <f>843+1100+717</f>
        <v>2660</v>
      </c>
      <c r="C23" s="85">
        <f>2115+3858</f>
        <v>5973</v>
      </c>
      <c r="D23" s="85">
        <f>2116+2172</f>
        <v>4288</v>
      </c>
      <c r="E23" s="85">
        <f>5169.946+24592.226</f>
        <v>29762.171999999999</v>
      </c>
      <c r="F23" s="88">
        <v>6960.3090000000002</v>
      </c>
      <c r="G23" s="85">
        <f>9825.084+17952.76+314.598</f>
        <v>28092.441999999999</v>
      </c>
      <c r="H23" s="85">
        <f>8510.019+-3187.69</f>
        <v>5322.3289999999997</v>
      </c>
      <c r="I23" s="85">
        <v>28434.585999999999</v>
      </c>
      <c r="J23" s="85">
        <f>6469.053+16035.937</f>
        <v>22504.989999999998</v>
      </c>
      <c r="K23" s="85">
        <v>42244.004000000001</v>
      </c>
      <c r="L23" s="85">
        <v>12235.732</v>
      </c>
      <c r="M23" s="85">
        <v>4797.7550000000001</v>
      </c>
      <c r="N23" s="85">
        <v>292489.39600000001</v>
      </c>
      <c r="O23" s="85">
        <v>281056.30800000002</v>
      </c>
      <c r="P23" s="85">
        <v>305178.05599999998</v>
      </c>
      <c r="Q23" s="85">
        <v>317077.55099999998</v>
      </c>
      <c r="R23" s="85">
        <v>344404.46100000001</v>
      </c>
      <c r="S23" s="85">
        <v>374119.85600000003</v>
      </c>
      <c r="T23" s="85">
        <v>447272.49900000001</v>
      </c>
      <c r="U23" s="85">
        <v>473328.23499999999</v>
      </c>
      <c r="V23" s="85">
        <v>82574.803</v>
      </c>
      <c r="W23" s="85">
        <v>5532.1840000000002</v>
      </c>
      <c r="X23" s="1">
        <v>31221.897000000001</v>
      </c>
      <c r="Y23" s="1">
        <v>39168.161999999997</v>
      </c>
      <c r="Z23" s="1">
        <v>34980.684999999998</v>
      </c>
      <c r="AA23" s="1">
        <v>49385.631000000001</v>
      </c>
      <c r="AB23" s="1">
        <v>46601.394999999997</v>
      </c>
      <c r="AC23" s="1">
        <v>51367.663999999997</v>
      </c>
    </row>
    <row r="24" spans="1:29">
      <c r="A24" s="24" t="s">
        <v>17</v>
      </c>
      <c r="B24" s="86">
        <f>15445+4362</f>
        <v>19807</v>
      </c>
      <c r="C24" s="86">
        <f>0+4225</f>
        <v>4225</v>
      </c>
      <c r="D24" s="86">
        <v>4574</v>
      </c>
      <c r="E24" s="86">
        <f>9751.004+212.921+0</f>
        <v>9963.9250000000011</v>
      </c>
      <c r="F24" s="89">
        <v>36154.877999999997</v>
      </c>
      <c r="G24" s="86">
        <f>15898.841+15267.117</f>
        <v>31165.957999999999</v>
      </c>
      <c r="H24" s="86">
        <f>12740.762+22035.149</f>
        <v>34775.911</v>
      </c>
      <c r="I24" s="86">
        <v>27791.94</v>
      </c>
      <c r="J24" s="86">
        <f>11799.014+12533.935</f>
        <v>24332.949000000001</v>
      </c>
      <c r="K24" s="86">
        <v>33657.972130000002</v>
      </c>
      <c r="L24" s="86">
        <v>34820.910000000003</v>
      </c>
      <c r="M24" s="86">
        <v>41207.646999999997</v>
      </c>
      <c r="N24" s="86">
        <v>121946.133</v>
      </c>
      <c r="O24" s="86">
        <v>101836.539</v>
      </c>
      <c r="P24" s="86">
        <v>99648.028999999995</v>
      </c>
      <c r="Q24" s="86">
        <v>98710.41</v>
      </c>
      <c r="R24" s="86">
        <v>105315.993</v>
      </c>
      <c r="S24" s="86">
        <v>106531.023</v>
      </c>
      <c r="T24" s="86">
        <v>108968.806</v>
      </c>
      <c r="U24" s="86">
        <v>112130.098</v>
      </c>
      <c r="V24" s="86">
        <v>21795.031999999999</v>
      </c>
      <c r="W24" s="86">
        <v>19717.719000000001</v>
      </c>
      <c r="X24" s="24">
        <v>40486.116999999998</v>
      </c>
      <c r="Y24" s="24">
        <v>23891.062000000002</v>
      </c>
      <c r="Z24" s="24">
        <v>23372.850999999999</v>
      </c>
      <c r="AA24" s="24">
        <v>24606.002</v>
      </c>
      <c r="AB24" s="24">
        <v>231747.908</v>
      </c>
      <c r="AC24" s="24">
        <v>232589.89499999999</v>
      </c>
    </row>
    <row r="25" spans="1:29">
      <c r="A25" s="7" t="s">
        <v>120</v>
      </c>
      <c r="B25" s="84">
        <f>SUM(B27:B39)</f>
        <v>0</v>
      </c>
      <c r="C25" s="84">
        <f t="shared" ref="C25:AC25" si="10">SUM(C27:C39)</f>
        <v>0</v>
      </c>
      <c r="D25" s="84">
        <f t="shared" si="10"/>
        <v>0</v>
      </c>
      <c r="E25" s="84">
        <f t="shared" si="10"/>
        <v>0</v>
      </c>
      <c r="F25" s="84">
        <f t="shared" si="10"/>
        <v>428782.60999999993</v>
      </c>
      <c r="G25" s="84">
        <f t="shared" si="10"/>
        <v>0</v>
      </c>
      <c r="H25" s="84">
        <f t="shared" si="10"/>
        <v>0</v>
      </c>
      <c r="I25" s="84">
        <f t="shared" si="10"/>
        <v>590864.63800000015</v>
      </c>
      <c r="J25" s="84">
        <f t="shared" si="10"/>
        <v>0</v>
      </c>
      <c r="K25" s="84">
        <f t="shared" si="10"/>
        <v>585961.24126000004</v>
      </c>
      <c r="L25" s="84">
        <f t="shared" si="10"/>
        <v>850975.01100000006</v>
      </c>
      <c r="M25" s="84">
        <f t="shared" si="10"/>
        <v>956937.8550000001</v>
      </c>
      <c r="N25" s="84">
        <f t="shared" si="10"/>
        <v>2373069.2050000001</v>
      </c>
      <c r="O25" s="84">
        <f t="shared" si="10"/>
        <v>2804058.6120000002</v>
      </c>
      <c r="P25" s="84">
        <f t="shared" si="10"/>
        <v>2847720.3679999993</v>
      </c>
      <c r="Q25" s="84">
        <f t="shared" si="10"/>
        <v>3057400.9870000002</v>
      </c>
      <c r="R25" s="84">
        <f t="shared" si="10"/>
        <v>3351770.6989999996</v>
      </c>
      <c r="S25" s="84">
        <f t="shared" si="10"/>
        <v>3927651.2889999994</v>
      </c>
      <c r="T25" s="84">
        <f t="shared" si="10"/>
        <v>3235640.0880000005</v>
      </c>
      <c r="U25" s="84">
        <f t="shared" si="10"/>
        <v>2881221.1860000002</v>
      </c>
      <c r="V25" s="84">
        <f t="shared" si="10"/>
        <v>613416.84299999999</v>
      </c>
      <c r="W25" s="84">
        <f t="shared" si="10"/>
        <v>801255.00399999996</v>
      </c>
      <c r="X25" s="84">
        <f t="shared" si="10"/>
        <v>566152.34500000009</v>
      </c>
      <c r="Y25" s="84">
        <f t="shared" si="10"/>
        <v>563017.19200000004</v>
      </c>
      <c r="Z25" s="84">
        <f t="shared" si="10"/>
        <v>741962.40399999998</v>
      </c>
      <c r="AA25" s="84">
        <f t="shared" si="10"/>
        <v>477942.26300000004</v>
      </c>
      <c r="AB25" s="84">
        <f t="shared" si="10"/>
        <v>1666571.3640000001</v>
      </c>
      <c r="AC25" s="84">
        <f t="shared" si="10"/>
        <v>3452903.0060000001</v>
      </c>
    </row>
    <row r="26" spans="1:29">
      <c r="A26" s="7" t="s">
        <v>119</v>
      </c>
      <c r="B26" s="85"/>
      <c r="C26" s="85"/>
      <c r="D26" s="85"/>
      <c r="E26" s="85"/>
      <c r="F26" s="85"/>
      <c r="G26" s="85"/>
      <c r="H26" s="85"/>
      <c r="I26" s="85"/>
      <c r="J26" s="85"/>
      <c r="K26" s="85"/>
      <c r="L26" s="85"/>
      <c r="M26" s="85"/>
      <c r="N26" s="85"/>
      <c r="O26" s="85"/>
      <c r="P26" s="85"/>
      <c r="Q26" s="85"/>
      <c r="R26" s="85"/>
      <c r="S26" s="85"/>
      <c r="T26" s="85"/>
      <c r="U26" s="85"/>
      <c r="X26" s="1">
        <v>0</v>
      </c>
      <c r="Y26" s="1">
        <v>0</v>
      </c>
      <c r="AB26" s="1">
        <v>0</v>
      </c>
      <c r="AC26" s="1">
        <v>0</v>
      </c>
    </row>
    <row r="27" spans="1:29">
      <c r="A27" s="1" t="s">
        <v>85</v>
      </c>
      <c r="B27" s="85"/>
      <c r="C27" s="85"/>
      <c r="D27" s="85"/>
      <c r="E27" s="85"/>
      <c r="F27" s="88">
        <v>1751.7239999999999</v>
      </c>
      <c r="G27" s="85"/>
      <c r="H27" s="85"/>
      <c r="I27" s="85">
        <v>3150.183</v>
      </c>
      <c r="J27" s="85"/>
      <c r="K27" s="85">
        <v>6390.7860000000001</v>
      </c>
      <c r="L27" s="85">
        <v>7029.0959999999995</v>
      </c>
      <c r="M27" s="85">
        <v>7347.5230000000001</v>
      </c>
      <c r="N27" s="85">
        <v>6368.6350000000002</v>
      </c>
      <c r="O27" s="85">
        <v>63735.3</v>
      </c>
      <c r="P27" s="85">
        <v>64468.09</v>
      </c>
      <c r="Q27" s="85">
        <v>80866.502999999997</v>
      </c>
      <c r="R27" s="85">
        <v>76781.919999999998</v>
      </c>
      <c r="S27" s="85">
        <v>64113.042999999998</v>
      </c>
      <c r="T27" s="85">
        <v>89500.743000000002</v>
      </c>
      <c r="U27" s="85">
        <v>4931.2950000000001</v>
      </c>
      <c r="V27" s="85">
        <v>4479.1809999999996</v>
      </c>
      <c r="W27" s="85">
        <v>7275.8590000000004</v>
      </c>
      <c r="X27" s="1">
        <v>15349.705</v>
      </c>
      <c r="Y27" s="1">
        <v>13310.278</v>
      </c>
      <c r="Z27" s="1">
        <v>10549.563</v>
      </c>
      <c r="AA27" s="1">
        <v>152.74199999999999</v>
      </c>
      <c r="AB27" s="1">
        <v>571.01</v>
      </c>
      <c r="AC27" s="1">
        <v>17767.936000000002</v>
      </c>
    </row>
    <row r="28" spans="1:29">
      <c r="A28" s="1" t="s">
        <v>86</v>
      </c>
      <c r="B28" s="85"/>
      <c r="C28" s="85"/>
      <c r="D28" s="85"/>
      <c r="E28" s="85"/>
      <c r="F28" s="88">
        <v>38398.534</v>
      </c>
      <c r="G28" s="85"/>
      <c r="H28" s="85"/>
      <c r="I28" s="85">
        <v>73610.955000000002</v>
      </c>
      <c r="J28" s="85"/>
      <c r="K28" s="85">
        <v>73294.493000000002</v>
      </c>
      <c r="L28" s="85">
        <v>70269.967999999993</v>
      </c>
      <c r="M28" s="85">
        <v>67784.010999999999</v>
      </c>
      <c r="N28" s="85">
        <v>194121.32500000001</v>
      </c>
      <c r="O28" s="85">
        <v>201318.12700000001</v>
      </c>
      <c r="P28" s="85">
        <v>224302.451</v>
      </c>
      <c r="Q28" s="85">
        <v>234875.367</v>
      </c>
      <c r="R28" s="85">
        <v>259300.758</v>
      </c>
      <c r="S28" s="85">
        <v>285741.109</v>
      </c>
      <c r="T28" s="85">
        <v>329515.12900000002</v>
      </c>
      <c r="U28" s="85">
        <v>314218.66600000003</v>
      </c>
      <c r="V28" s="85">
        <v>11563.308000000001</v>
      </c>
      <c r="W28" s="85">
        <v>9678.7960000000003</v>
      </c>
      <c r="X28" s="1">
        <v>10038.035</v>
      </c>
      <c r="Y28" s="1">
        <v>16542.839</v>
      </c>
      <c r="Z28" s="1">
        <v>10396.897000000001</v>
      </c>
      <c r="AA28" s="1">
        <v>9825.1869999999999</v>
      </c>
      <c r="AB28" s="1">
        <v>302203.04100000003</v>
      </c>
      <c r="AC28" s="1">
        <v>316959.09499999997</v>
      </c>
    </row>
    <row r="29" spans="1:29">
      <c r="A29" s="1" t="s">
        <v>87</v>
      </c>
      <c r="B29" s="85"/>
      <c r="C29" s="85"/>
      <c r="D29" s="85"/>
      <c r="E29" s="85"/>
      <c r="F29" s="88">
        <v>220160.71100000001</v>
      </c>
      <c r="G29" s="85"/>
      <c r="H29" s="85"/>
      <c r="I29" s="85">
        <v>367771.66600000003</v>
      </c>
      <c r="J29" s="85"/>
      <c r="K29" s="85">
        <v>361362.47200000001</v>
      </c>
      <c r="L29" s="85">
        <v>567797.48899999994</v>
      </c>
      <c r="M29" s="85">
        <v>726701.549</v>
      </c>
      <c r="N29" s="85">
        <v>1115166.774</v>
      </c>
      <c r="O29" s="85">
        <v>1268958.8559999999</v>
      </c>
      <c r="P29" s="85">
        <v>1426446.01</v>
      </c>
      <c r="Q29" s="85">
        <v>1442094.602</v>
      </c>
      <c r="R29" s="85">
        <v>1516817.99</v>
      </c>
      <c r="S29" s="85">
        <v>2064797.6529999999</v>
      </c>
      <c r="T29" s="85">
        <v>1378285.399</v>
      </c>
      <c r="U29" s="85">
        <v>1229389.3370000001</v>
      </c>
      <c r="V29" s="85">
        <v>197746.788</v>
      </c>
      <c r="W29" s="85">
        <v>311714.38400000002</v>
      </c>
      <c r="X29" s="1">
        <v>216079.45699999999</v>
      </c>
      <c r="Y29" s="1">
        <v>198007.78</v>
      </c>
      <c r="Z29" s="1">
        <v>345322.72499999998</v>
      </c>
      <c r="AA29" s="1">
        <v>159991.856</v>
      </c>
      <c r="AB29" s="1">
        <v>447726.359</v>
      </c>
      <c r="AC29" s="1">
        <v>1846415.7420000001</v>
      </c>
    </row>
    <row r="30" spans="1:29">
      <c r="A30" s="1" t="s">
        <v>88</v>
      </c>
      <c r="B30" s="85"/>
      <c r="C30" s="85"/>
      <c r="D30" s="85"/>
      <c r="E30" s="85"/>
      <c r="F30" s="88">
        <v>67407.687999999995</v>
      </c>
      <c r="G30" s="85"/>
      <c r="H30" s="85"/>
      <c r="I30" s="85">
        <v>37908.542999999998</v>
      </c>
      <c r="J30" s="85"/>
      <c r="K30" s="85">
        <v>41415.106</v>
      </c>
      <c r="L30" s="85">
        <v>88085.37</v>
      </c>
      <c r="M30" s="85">
        <v>86452.842999999993</v>
      </c>
      <c r="N30" s="85">
        <v>-126661.238</v>
      </c>
      <c r="O30" s="85">
        <v>167544.34700000001</v>
      </c>
      <c r="P30" s="85">
        <v>145567.954</v>
      </c>
      <c r="Q30" s="85">
        <v>211191.07699999999</v>
      </c>
      <c r="R30" s="85">
        <v>230976.285</v>
      </c>
      <c r="S30" s="85">
        <v>251063.209</v>
      </c>
      <c r="T30" s="85">
        <v>261334.47</v>
      </c>
      <c r="U30" s="85">
        <v>275532.37</v>
      </c>
      <c r="V30" s="85">
        <v>138306.228</v>
      </c>
      <c r="W30" s="85">
        <v>151840.04500000001</v>
      </c>
      <c r="X30" s="1">
        <v>18301.147000000001</v>
      </c>
      <c r="Y30" s="1">
        <v>18034.13</v>
      </c>
      <c r="Z30" s="1">
        <v>27968.741999999998</v>
      </c>
      <c r="AA30" s="1">
        <v>13813.288</v>
      </c>
      <c r="AB30" s="1">
        <v>247449.549</v>
      </c>
      <c r="AC30" s="1">
        <v>586138.90899999999</v>
      </c>
    </row>
    <row r="31" spans="1:29">
      <c r="A31" s="1" t="s">
        <v>91</v>
      </c>
      <c r="B31" s="85"/>
      <c r="C31" s="85"/>
      <c r="D31" s="85"/>
      <c r="E31" s="85"/>
      <c r="F31" s="88">
        <v>3938.5810000000001</v>
      </c>
      <c r="G31" s="85"/>
      <c r="H31" s="85"/>
      <c r="I31" s="85">
        <v>1569.8150000000001</v>
      </c>
      <c r="J31" s="85"/>
      <c r="K31" s="85">
        <v>1264.626</v>
      </c>
      <c r="L31" s="85">
        <v>1069.3579999999999</v>
      </c>
      <c r="M31" s="85">
        <v>1504.9390000000001</v>
      </c>
      <c r="N31" s="85">
        <v>114676.83</v>
      </c>
      <c r="O31" s="85">
        <v>50197.803999999996</v>
      </c>
      <c r="P31" s="85">
        <v>50188.493999999999</v>
      </c>
      <c r="Q31" s="85">
        <v>47807.680999999997</v>
      </c>
      <c r="R31" s="85">
        <v>65325.326999999997</v>
      </c>
      <c r="S31" s="85">
        <v>82746.460000000006</v>
      </c>
      <c r="T31" s="85">
        <v>95815.483999999997</v>
      </c>
      <c r="U31" s="85">
        <v>99541.370999999999</v>
      </c>
      <c r="V31" s="85">
        <v>-17585.931</v>
      </c>
      <c r="W31" s="85">
        <v>2010.4659999999999</v>
      </c>
      <c r="X31" s="1">
        <v>21583.532999999999</v>
      </c>
      <c r="Y31" s="1">
        <v>17230.315999999999</v>
      </c>
      <c r="Z31" s="1">
        <v>32452.36</v>
      </c>
      <c r="AA31" s="1">
        <v>23602.202000000001</v>
      </c>
      <c r="AB31" s="1">
        <v>128303.427</v>
      </c>
      <c r="AC31" s="1">
        <v>103740.486</v>
      </c>
    </row>
    <row r="32" spans="1:29">
      <c r="A32" s="1" t="s">
        <v>92</v>
      </c>
      <c r="B32" s="85"/>
      <c r="C32" s="85"/>
      <c r="D32" s="85"/>
      <c r="E32" s="85"/>
      <c r="F32" s="88">
        <v>3922.6489999999999</v>
      </c>
      <c r="G32" s="85"/>
      <c r="H32" s="85"/>
      <c r="I32" s="85">
        <v>2758.7440000000001</v>
      </c>
      <c r="J32" s="85"/>
      <c r="K32" s="85">
        <v>11163.925999999999</v>
      </c>
      <c r="L32" s="85">
        <v>9880.0630000000001</v>
      </c>
      <c r="M32" s="85">
        <v>19199.971000000001</v>
      </c>
      <c r="N32" s="85">
        <v>45997.184999999998</v>
      </c>
      <c r="O32" s="85">
        <v>20866.732</v>
      </c>
      <c r="P32" s="85">
        <v>27732.438999999998</v>
      </c>
      <c r="Q32" s="85">
        <v>59446.680999999997</v>
      </c>
      <c r="R32" s="85">
        <v>57030.557000000001</v>
      </c>
      <c r="S32" s="85">
        <v>53783.504000000001</v>
      </c>
      <c r="T32" s="85">
        <v>66598.837</v>
      </c>
      <c r="U32" s="85">
        <v>69441.664999999994</v>
      </c>
      <c r="V32" s="85">
        <v>20966.594000000001</v>
      </c>
      <c r="W32" s="85">
        <v>15694.442999999999</v>
      </c>
      <c r="X32" s="1">
        <v>17986.904999999999</v>
      </c>
      <c r="Y32" s="1">
        <v>22595.231</v>
      </c>
      <c r="Z32" s="1">
        <v>21363.580999999998</v>
      </c>
      <c r="AA32" s="1">
        <v>18870.396000000001</v>
      </c>
      <c r="AB32" s="1">
        <v>36314.205000000002</v>
      </c>
      <c r="AC32" s="1">
        <v>43543.671000000002</v>
      </c>
    </row>
    <row r="33" spans="1:29">
      <c r="A33" s="1" t="s">
        <v>100</v>
      </c>
      <c r="B33" s="85"/>
      <c r="C33" s="85"/>
      <c r="D33" s="85"/>
      <c r="E33" s="85"/>
      <c r="F33" s="88">
        <v>2352.627</v>
      </c>
      <c r="G33" s="85"/>
      <c r="H33" s="85"/>
      <c r="I33" s="85">
        <v>1883.377</v>
      </c>
      <c r="J33" s="85"/>
      <c r="K33" s="85">
        <v>161.17099999999999</v>
      </c>
      <c r="L33" s="85">
        <v>2894.52</v>
      </c>
      <c r="M33" s="85">
        <v>6117.5640000000003</v>
      </c>
      <c r="N33" s="85">
        <v>24438.981</v>
      </c>
      <c r="O33" s="85">
        <v>49025.207999999999</v>
      </c>
      <c r="P33" s="85">
        <v>49702.283000000003</v>
      </c>
      <c r="Q33" s="85">
        <v>49968.650999999998</v>
      </c>
      <c r="R33" s="85">
        <v>53715.038999999997</v>
      </c>
      <c r="S33" s="85">
        <v>53959.516000000003</v>
      </c>
      <c r="T33" s="85">
        <v>53557.188000000002</v>
      </c>
      <c r="U33" s="85">
        <v>27238.966</v>
      </c>
      <c r="V33" s="85">
        <v>3327.3009999999999</v>
      </c>
      <c r="W33" s="85">
        <v>5426.866</v>
      </c>
      <c r="X33" s="1">
        <v>3658.9569999999999</v>
      </c>
      <c r="Y33" s="1">
        <v>4318.3209999999999</v>
      </c>
      <c r="Z33" s="1">
        <v>4398.393</v>
      </c>
      <c r="AA33" s="1">
        <v>3800.0920000000001</v>
      </c>
      <c r="AB33" s="1">
        <v>14813.036</v>
      </c>
      <c r="AC33" s="1">
        <v>14123.683000000001</v>
      </c>
    </row>
    <row r="34" spans="1:29">
      <c r="A34" s="1" t="s">
        <v>102</v>
      </c>
      <c r="B34" s="85"/>
      <c r="C34" s="85"/>
      <c r="D34" s="85"/>
      <c r="E34" s="85"/>
      <c r="F34" s="88">
        <v>2122.1869999999999</v>
      </c>
      <c r="G34" s="85"/>
      <c r="H34" s="85"/>
      <c r="I34" s="85">
        <v>166.203</v>
      </c>
      <c r="J34" s="85"/>
      <c r="K34" s="85">
        <v>1325.095</v>
      </c>
      <c r="L34" s="85">
        <v>-357.351</v>
      </c>
      <c r="M34" s="85">
        <v>-3427.549</v>
      </c>
      <c r="N34" s="85">
        <v>50169.762999999999</v>
      </c>
      <c r="O34" s="85">
        <v>60813.968999999997</v>
      </c>
      <c r="P34" s="85">
        <v>71201.471000000005</v>
      </c>
      <c r="Q34" s="85">
        <v>78723.22</v>
      </c>
      <c r="R34" s="85">
        <v>95087.793999999994</v>
      </c>
      <c r="S34" s="85">
        <v>110911.658</v>
      </c>
      <c r="T34" s="85">
        <v>89411.423999999999</v>
      </c>
      <c r="U34" s="85">
        <v>115499.052</v>
      </c>
      <c r="V34" s="85">
        <v>31495.127</v>
      </c>
      <c r="W34" s="85">
        <v>39981.048000000003</v>
      </c>
      <c r="X34" s="1">
        <v>12745.449000000001</v>
      </c>
      <c r="Y34" s="1">
        <v>30060.080999999998</v>
      </c>
      <c r="Z34" s="1">
        <v>37456.714</v>
      </c>
      <c r="AA34" s="1">
        <v>3209.9229999999998</v>
      </c>
      <c r="AB34" s="1">
        <v>13043</v>
      </c>
      <c r="AC34" s="1">
        <v>24724</v>
      </c>
    </row>
    <row r="35" spans="1:29">
      <c r="A35" s="1" t="s">
        <v>105</v>
      </c>
      <c r="B35" s="85"/>
      <c r="C35" s="85"/>
      <c r="D35" s="85"/>
      <c r="E35" s="85"/>
      <c r="F35" s="88">
        <v>17802.794999999998</v>
      </c>
      <c r="G35" s="85"/>
      <c r="H35" s="85"/>
      <c r="I35" s="85">
        <v>25629.412</v>
      </c>
      <c r="J35" s="85"/>
      <c r="K35" s="85">
        <v>2341.8052599999996</v>
      </c>
      <c r="L35" s="85">
        <v>5913.6210000000001</v>
      </c>
      <c r="M35" s="85">
        <v>-21327.036</v>
      </c>
      <c r="N35" s="85">
        <v>165174.52600000001</v>
      </c>
      <c r="O35" s="85">
        <v>137034.99</v>
      </c>
      <c r="P35" s="85">
        <v>131773.72700000001</v>
      </c>
      <c r="Q35" s="85">
        <v>184222.152</v>
      </c>
      <c r="R35" s="85">
        <v>223918.48800000001</v>
      </c>
      <c r="S35" s="85">
        <v>187696.155</v>
      </c>
      <c r="T35" s="85">
        <v>227952.99100000001</v>
      </c>
      <c r="U35" s="85">
        <v>203346.245</v>
      </c>
      <c r="V35" s="85">
        <v>146603.908</v>
      </c>
      <c r="W35" s="85">
        <v>161178.33100000001</v>
      </c>
      <c r="X35" s="1">
        <v>131787.99</v>
      </c>
      <c r="Y35" s="1">
        <v>128535.535</v>
      </c>
      <c r="Z35" s="1">
        <v>132200.36900000001</v>
      </c>
      <c r="AA35" s="1">
        <v>136108.81899999999</v>
      </c>
      <c r="AB35" s="1">
        <v>169326.65</v>
      </c>
      <c r="AC35" s="1">
        <v>190551.93799999999</v>
      </c>
    </row>
    <row r="36" spans="1:29">
      <c r="A36" s="1" t="s">
        <v>109</v>
      </c>
      <c r="B36" s="85"/>
      <c r="C36" s="85"/>
      <c r="D36" s="85"/>
      <c r="E36" s="85"/>
      <c r="F36" s="88">
        <v>7618.3770000000004</v>
      </c>
      <c r="G36" s="85"/>
      <c r="H36" s="85"/>
      <c r="I36" s="85">
        <v>10235.164000000001</v>
      </c>
      <c r="J36" s="85"/>
      <c r="K36" s="85">
        <v>25655.098999999998</v>
      </c>
      <c r="L36" s="85">
        <v>17138.856</v>
      </c>
      <c r="M36" s="85">
        <v>2882.0909999999999</v>
      </c>
      <c r="N36" s="85">
        <v>168081.26199999999</v>
      </c>
      <c r="O36" s="85">
        <v>181499.26199999999</v>
      </c>
      <c r="P36" s="85">
        <v>184165.01300000001</v>
      </c>
      <c r="Q36" s="85">
        <v>188172.70600000001</v>
      </c>
      <c r="R36" s="85">
        <v>224389.84299999999</v>
      </c>
      <c r="S36" s="85">
        <v>242018.06599999999</v>
      </c>
      <c r="T36" s="85">
        <v>186128.712</v>
      </c>
      <c r="U36" s="85">
        <v>105696.989</v>
      </c>
      <c r="V36" s="85">
        <v>34796.856</v>
      </c>
      <c r="W36" s="85">
        <v>36041.165000000001</v>
      </c>
      <c r="X36" s="1">
        <v>46664.654000000002</v>
      </c>
      <c r="Y36" s="1">
        <v>45910.964</v>
      </c>
      <c r="Z36" s="1">
        <v>74573.604999999996</v>
      </c>
      <c r="AA36" s="1">
        <v>70698.154999999999</v>
      </c>
      <c r="AB36" s="1">
        <v>123309.003</v>
      </c>
      <c r="AC36" s="1">
        <v>116813.227</v>
      </c>
    </row>
    <row r="37" spans="1:29">
      <c r="A37" s="1" t="s">
        <v>113</v>
      </c>
      <c r="B37" s="85"/>
      <c r="C37" s="85"/>
      <c r="D37" s="85"/>
      <c r="E37" s="85"/>
      <c r="F37" s="88">
        <v>16746.885999999999</v>
      </c>
      <c r="G37" s="85"/>
      <c r="H37" s="85"/>
      <c r="I37" s="85">
        <v>12397.204</v>
      </c>
      <c r="J37" s="85"/>
      <c r="K37" s="85">
        <v>28874.077000000001</v>
      </c>
      <c r="L37" s="85">
        <v>12967.609</v>
      </c>
      <c r="M37" s="85">
        <v>10102.757</v>
      </c>
      <c r="N37" s="85">
        <v>308576.26</v>
      </c>
      <c r="O37" s="85">
        <v>308014.59600000002</v>
      </c>
      <c r="P37" s="85">
        <v>135869.91399999999</v>
      </c>
      <c r="Q37" s="85">
        <v>105377.942</v>
      </c>
      <c r="R37" s="85">
        <v>128265.985</v>
      </c>
      <c r="S37" s="85">
        <v>123269.61199999999</v>
      </c>
      <c r="T37" s="85">
        <v>80766.186000000002</v>
      </c>
      <c r="U37" s="85">
        <v>79292.917000000001</v>
      </c>
      <c r="V37" s="85">
        <v>40439.639000000003</v>
      </c>
      <c r="W37" s="85">
        <v>47186.587</v>
      </c>
      <c r="X37" s="1">
        <v>49857.021999999997</v>
      </c>
      <c r="Y37" s="1">
        <v>48691.605000000003</v>
      </c>
      <c r="Z37" s="1">
        <v>44388.555999999997</v>
      </c>
      <c r="AA37" s="1">
        <v>35642.114999999998</v>
      </c>
      <c r="AB37" s="1">
        <v>61987.85</v>
      </c>
      <c r="AC37" s="1">
        <v>108604.003</v>
      </c>
    </row>
    <row r="38" spans="1:29">
      <c r="A38" s="1" t="s">
        <v>115</v>
      </c>
      <c r="B38" s="85"/>
      <c r="C38" s="85"/>
      <c r="D38" s="85"/>
      <c r="E38" s="85"/>
      <c r="F38" s="88">
        <v>36171.442999999999</v>
      </c>
      <c r="G38" s="85"/>
      <c r="H38" s="85"/>
      <c r="I38" s="85">
        <v>47306.235999999997</v>
      </c>
      <c r="J38" s="85"/>
      <c r="K38" s="85">
        <v>30030.487000000001</v>
      </c>
      <c r="L38" s="85">
        <v>70598.743000000002</v>
      </c>
      <c r="M38" s="85">
        <v>42152.642</v>
      </c>
      <c r="N38" s="85">
        <v>292010.74300000002</v>
      </c>
      <c r="O38" s="85">
        <v>279001.76400000002</v>
      </c>
      <c r="P38" s="85">
        <v>320391.59600000002</v>
      </c>
      <c r="Q38" s="85">
        <v>357408.17499999999</v>
      </c>
      <c r="R38" s="85">
        <v>401530.46600000001</v>
      </c>
      <c r="S38" s="85">
        <v>388475.20799999998</v>
      </c>
      <c r="T38" s="85">
        <v>357046.342</v>
      </c>
      <c r="U38" s="85">
        <v>335512.16399999999</v>
      </c>
      <c r="V38" s="85">
        <v>1277.8440000000001</v>
      </c>
      <c r="W38" s="85">
        <v>13227.013999999999</v>
      </c>
      <c r="X38" s="1">
        <v>22099.491000000002</v>
      </c>
      <c r="Y38" s="1">
        <v>19780.112000000001</v>
      </c>
      <c r="Z38" s="1">
        <v>0</v>
      </c>
      <c r="AA38" s="1">
        <v>1E-3</v>
      </c>
      <c r="AB38" s="1">
        <v>34912.682000000001</v>
      </c>
      <c r="AC38" s="1">
        <v>40255.851000000002</v>
      </c>
    </row>
    <row r="39" spans="1:29">
      <c r="A39" s="24" t="s">
        <v>117</v>
      </c>
      <c r="B39" s="86"/>
      <c r="C39" s="86"/>
      <c r="D39" s="86"/>
      <c r="E39" s="86"/>
      <c r="F39" s="89">
        <v>10388.407999999999</v>
      </c>
      <c r="G39" s="86"/>
      <c r="H39" s="86"/>
      <c r="I39" s="86">
        <v>6477.1360000000004</v>
      </c>
      <c r="J39" s="86"/>
      <c r="K39" s="86">
        <v>2682.098</v>
      </c>
      <c r="L39" s="86">
        <v>-2312.3310000000001</v>
      </c>
      <c r="M39" s="86">
        <v>11446.55</v>
      </c>
      <c r="N39" s="86">
        <v>14948.159</v>
      </c>
      <c r="O39" s="86">
        <v>16047.656999999999</v>
      </c>
      <c r="P39" s="86">
        <v>15910.925999999999</v>
      </c>
      <c r="Q39" s="86">
        <v>17246.23</v>
      </c>
      <c r="R39" s="86">
        <v>18630.246999999999</v>
      </c>
      <c r="S39" s="86">
        <v>19076.096000000001</v>
      </c>
      <c r="T39" s="86">
        <v>19727.183000000001</v>
      </c>
      <c r="U39" s="86">
        <v>21580.149000000001</v>
      </c>
      <c r="V39" s="86">
        <v>0</v>
      </c>
      <c r="W39" s="86">
        <v>0</v>
      </c>
      <c r="X39" s="24">
        <v>0</v>
      </c>
      <c r="Y39" s="24">
        <v>0</v>
      </c>
      <c r="Z39" s="24">
        <v>890.899</v>
      </c>
      <c r="AA39" s="24">
        <v>2227.4870000000001</v>
      </c>
      <c r="AB39" s="24">
        <v>86611.551999999996</v>
      </c>
      <c r="AC39" s="24">
        <v>43264.464999999997</v>
      </c>
    </row>
    <row r="40" spans="1:29">
      <c r="A40" s="7" t="s">
        <v>121</v>
      </c>
      <c r="B40" s="84">
        <f>SUM(B42:B53)</f>
        <v>0</v>
      </c>
      <c r="C40" s="84">
        <f t="shared" ref="C40:AB40" si="11">SUM(C42:C53)</f>
        <v>0</v>
      </c>
      <c r="D40" s="84">
        <f t="shared" si="11"/>
        <v>0</v>
      </c>
      <c r="E40" s="84">
        <f t="shared" si="11"/>
        <v>0</v>
      </c>
      <c r="F40" s="84">
        <f t="shared" si="11"/>
        <v>967568.74399999995</v>
      </c>
      <c r="G40" s="84">
        <f t="shared" si="11"/>
        <v>0</v>
      </c>
      <c r="H40" s="84">
        <f t="shared" si="11"/>
        <v>0</v>
      </c>
      <c r="I40" s="84">
        <f t="shared" si="11"/>
        <v>594112.40299999993</v>
      </c>
      <c r="J40" s="84">
        <f t="shared" si="11"/>
        <v>0</v>
      </c>
      <c r="K40" s="84">
        <f t="shared" si="11"/>
        <v>828924.55700000003</v>
      </c>
      <c r="L40" s="84">
        <f t="shared" si="11"/>
        <v>792035.10499999998</v>
      </c>
      <c r="M40" s="84">
        <f t="shared" si="11"/>
        <v>1145994.1530000002</v>
      </c>
      <c r="N40" s="84">
        <f t="shared" si="11"/>
        <v>2682373.0320000001</v>
      </c>
      <c r="O40" s="84">
        <f t="shared" si="11"/>
        <v>3012782.3360000001</v>
      </c>
      <c r="P40" s="84">
        <f t="shared" si="11"/>
        <v>3951515.4550000005</v>
      </c>
      <c r="Q40" s="84">
        <f t="shared" si="11"/>
        <v>3557839.6840000004</v>
      </c>
      <c r="R40" s="84">
        <f t="shared" si="11"/>
        <v>3819346.6730000004</v>
      </c>
      <c r="S40" s="84">
        <f t="shared" si="11"/>
        <v>4011949.8029999998</v>
      </c>
      <c r="T40" s="84">
        <f t="shared" si="11"/>
        <v>4946714.6219999995</v>
      </c>
      <c r="U40" s="84">
        <f t="shared" si="11"/>
        <v>2328034.6109999996</v>
      </c>
      <c r="V40" s="84">
        <f t="shared" si="11"/>
        <v>642396.66400000011</v>
      </c>
      <c r="W40" s="84">
        <f t="shared" si="11"/>
        <v>536483.63900000008</v>
      </c>
      <c r="X40" s="84">
        <f t="shared" si="11"/>
        <v>520557.092</v>
      </c>
      <c r="Y40" s="84">
        <f t="shared" si="11"/>
        <v>500996.50599999994</v>
      </c>
      <c r="Z40" s="84">
        <f t="shared" si="11"/>
        <v>740582.66599999997</v>
      </c>
      <c r="AA40" s="84">
        <f t="shared" si="11"/>
        <v>525250.68999999994</v>
      </c>
      <c r="AB40" s="84">
        <f t="shared" si="11"/>
        <v>1470903.8210000002</v>
      </c>
      <c r="AC40" s="84">
        <f>SUM(AC42:AC53)</f>
        <v>1796721.1009999998</v>
      </c>
    </row>
    <row r="41" spans="1:29">
      <c r="A41" s="7" t="s">
        <v>119</v>
      </c>
      <c r="B41" s="85"/>
      <c r="C41" s="85"/>
      <c r="D41" s="85"/>
      <c r="E41" s="85"/>
      <c r="F41" s="85"/>
      <c r="G41" s="85"/>
      <c r="H41" s="85"/>
      <c r="I41" s="85"/>
      <c r="J41" s="85"/>
      <c r="K41" s="85"/>
      <c r="L41" s="85"/>
      <c r="M41" s="85"/>
      <c r="N41" s="85"/>
      <c r="O41" s="85"/>
      <c r="P41" s="85"/>
      <c r="Q41" s="85"/>
      <c r="R41" s="85"/>
      <c r="S41" s="85"/>
      <c r="T41" s="85"/>
      <c r="U41" s="85"/>
      <c r="X41" s="1">
        <v>0</v>
      </c>
      <c r="Y41" s="1">
        <v>0</v>
      </c>
      <c r="AB41" s="1">
        <v>0</v>
      </c>
      <c r="AC41" s="1">
        <v>0</v>
      </c>
    </row>
    <row r="42" spans="1:29">
      <c r="A42" s="1" t="s">
        <v>93</v>
      </c>
      <c r="B42" s="85"/>
      <c r="C42" s="85"/>
      <c r="D42" s="85"/>
      <c r="E42" s="85"/>
      <c r="F42" s="88">
        <v>28301.916000000001</v>
      </c>
      <c r="G42" s="85"/>
      <c r="H42" s="85"/>
      <c r="I42" s="85">
        <v>1403.3430000000001</v>
      </c>
      <c r="J42" s="85"/>
      <c r="K42" s="85">
        <v>-13422.91</v>
      </c>
      <c r="L42" s="85">
        <v>-24699.871999999999</v>
      </c>
      <c r="M42" s="85">
        <v>-47125.56</v>
      </c>
      <c r="N42" s="85">
        <v>510825.61499999999</v>
      </c>
      <c r="O42" s="85">
        <v>608141.53099999996</v>
      </c>
      <c r="P42" s="85">
        <v>1379158.1710000001</v>
      </c>
      <c r="Q42" s="85">
        <v>702377.80099999998</v>
      </c>
      <c r="R42" s="85">
        <v>781742.41</v>
      </c>
      <c r="S42" s="85">
        <v>786470.17799999996</v>
      </c>
      <c r="T42" s="85">
        <v>846592.59</v>
      </c>
      <c r="U42" s="85">
        <v>435931.54800000001</v>
      </c>
      <c r="V42" s="85">
        <v>19598.240000000002</v>
      </c>
      <c r="W42" s="85">
        <v>31008.897000000001</v>
      </c>
      <c r="X42" s="1">
        <v>37223.527000000002</v>
      </c>
      <c r="Y42" s="1">
        <v>31178.307000000001</v>
      </c>
      <c r="Z42" s="1">
        <v>28828.468000000001</v>
      </c>
      <c r="AA42" s="1">
        <v>23256.032999999999</v>
      </c>
      <c r="AB42" s="1">
        <v>267960.54700000002</v>
      </c>
      <c r="AC42" s="1">
        <v>26949.302</v>
      </c>
    </row>
    <row r="43" spans="1:29">
      <c r="A43" s="1" t="s">
        <v>58</v>
      </c>
      <c r="B43" s="85"/>
      <c r="C43" s="85"/>
      <c r="D43" s="85"/>
      <c r="E43" s="85"/>
      <c r="F43" s="88">
        <v>80956.504000000001</v>
      </c>
      <c r="G43" s="85"/>
      <c r="H43" s="85"/>
      <c r="I43" s="85">
        <v>92093.126000000004</v>
      </c>
      <c r="J43" s="85"/>
      <c r="K43" s="85">
        <v>109600.97500000001</v>
      </c>
      <c r="L43" s="85">
        <v>184182.924</v>
      </c>
      <c r="M43" s="85">
        <v>192010.48699999999</v>
      </c>
      <c r="N43" s="85">
        <v>290112.136</v>
      </c>
      <c r="O43" s="85">
        <v>272415.93599999999</v>
      </c>
      <c r="P43" s="85">
        <v>275853.57</v>
      </c>
      <c r="Q43" s="85">
        <v>381974.30699999997</v>
      </c>
      <c r="R43" s="85">
        <v>373350.85800000001</v>
      </c>
      <c r="S43" s="85">
        <v>374024.58100000001</v>
      </c>
      <c r="T43" s="85">
        <v>418622.73800000001</v>
      </c>
      <c r="U43" s="85">
        <v>250112.60200000001</v>
      </c>
      <c r="V43" s="85">
        <v>34351.678999999996</v>
      </c>
      <c r="W43" s="85">
        <v>27552.223000000002</v>
      </c>
      <c r="X43" s="1">
        <v>28299.797999999999</v>
      </c>
      <c r="Y43" s="1">
        <v>20134.73</v>
      </c>
      <c r="Z43" s="1">
        <v>12103.278</v>
      </c>
      <c r="AA43" s="1">
        <v>12291.203</v>
      </c>
      <c r="AB43" s="1">
        <v>12760.593999999999</v>
      </c>
      <c r="AC43" s="1">
        <v>19158.581999999999</v>
      </c>
    </row>
    <row r="44" spans="1:29">
      <c r="A44" s="1" t="s">
        <v>94</v>
      </c>
      <c r="B44" s="85"/>
      <c r="C44" s="85"/>
      <c r="D44" s="85"/>
      <c r="E44" s="85"/>
      <c r="F44" s="88">
        <v>51176.936000000002</v>
      </c>
      <c r="G44" s="85"/>
      <c r="H44" s="85"/>
      <c r="I44" s="85">
        <v>83697.827999999994</v>
      </c>
      <c r="J44" s="85"/>
      <c r="K44" s="85">
        <v>86503.016000000003</v>
      </c>
      <c r="L44" s="85">
        <v>100310.72100000001</v>
      </c>
      <c r="M44" s="85">
        <v>114250.978</v>
      </c>
      <c r="N44" s="85">
        <v>198544.682</v>
      </c>
      <c r="O44" s="85">
        <v>203737.95699999999</v>
      </c>
      <c r="P44" s="85">
        <v>225077.984</v>
      </c>
      <c r="Q44" s="85">
        <v>216942.85800000001</v>
      </c>
      <c r="R44" s="85">
        <v>259536.35200000001</v>
      </c>
      <c r="S44" s="85">
        <v>253875.11799999999</v>
      </c>
      <c r="T44" s="85">
        <v>282054.28899999999</v>
      </c>
      <c r="U44" s="85">
        <v>282918.147</v>
      </c>
      <c r="V44" s="85">
        <v>13664.130999999999</v>
      </c>
      <c r="W44" s="85">
        <v>29893.538</v>
      </c>
      <c r="X44" s="1">
        <v>12899.064</v>
      </c>
      <c r="Y44" s="1">
        <v>18260.253000000001</v>
      </c>
      <c r="Z44" s="1">
        <v>40629.294999999998</v>
      </c>
      <c r="AA44" s="1">
        <v>49258.347000000002</v>
      </c>
      <c r="AB44" s="1">
        <v>58521.684000000001</v>
      </c>
      <c r="AC44" s="1">
        <v>50380.654999999999</v>
      </c>
    </row>
    <row r="45" spans="1:29">
      <c r="A45" s="1" t="s">
        <v>95</v>
      </c>
      <c r="B45" s="85"/>
      <c r="C45" s="85"/>
      <c r="D45" s="85"/>
      <c r="E45" s="85"/>
      <c r="F45" s="88">
        <v>9084.8780000000006</v>
      </c>
      <c r="G45" s="85"/>
      <c r="H45" s="85"/>
      <c r="I45" s="85">
        <v>4880.2039999999997</v>
      </c>
      <c r="J45" s="85"/>
      <c r="K45" s="85">
        <v>11212.912</v>
      </c>
      <c r="L45" s="85">
        <v>7921.5870000000004</v>
      </c>
      <c r="M45" s="85">
        <v>7309.08</v>
      </c>
      <c r="N45" s="85">
        <v>69546.013999999996</v>
      </c>
      <c r="O45" s="85">
        <v>160777.47500000001</v>
      </c>
      <c r="P45" s="85">
        <v>207915.701</v>
      </c>
      <c r="Q45" s="85">
        <v>206238.92800000001</v>
      </c>
      <c r="R45" s="85">
        <v>224835.321</v>
      </c>
      <c r="S45" s="85">
        <v>250618.73300000001</v>
      </c>
      <c r="T45" s="85">
        <v>128880.152</v>
      </c>
      <c r="U45" s="85">
        <v>142856.55100000001</v>
      </c>
      <c r="V45" s="85">
        <v>10242.387000000001</v>
      </c>
      <c r="W45" s="85">
        <v>11377.01</v>
      </c>
      <c r="X45" s="1">
        <v>19239.78</v>
      </c>
      <c r="Y45" s="1">
        <v>13471.387000000001</v>
      </c>
      <c r="Z45" s="1">
        <v>26809.136999999999</v>
      </c>
      <c r="AA45" s="1">
        <v>30917.289000000001</v>
      </c>
      <c r="AB45" s="1">
        <v>85570.06</v>
      </c>
      <c r="AC45" s="1">
        <v>77061.414000000004</v>
      </c>
    </row>
    <row r="46" spans="1:29">
      <c r="A46" s="1" t="s">
        <v>98</v>
      </c>
      <c r="B46" s="85"/>
      <c r="C46" s="85"/>
      <c r="D46" s="85"/>
      <c r="E46" s="85"/>
      <c r="F46" s="88">
        <v>147957.96299999999</v>
      </c>
      <c r="G46" s="85"/>
      <c r="H46" s="85"/>
      <c r="I46" s="85">
        <v>166258.62899999999</v>
      </c>
      <c r="J46" s="85"/>
      <c r="K46" s="85">
        <v>232774.742</v>
      </c>
      <c r="L46" s="85">
        <v>221296.462</v>
      </c>
      <c r="M46" s="85">
        <v>476784.065</v>
      </c>
      <c r="N46" s="85">
        <v>521540.31699999998</v>
      </c>
      <c r="O46" s="85">
        <v>562017.201</v>
      </c>
      <c r="P46" s="85">
        <v>598683.78099999996</v>
      </c>
      <c r="Q46" s="85">
        <v>607455.97499999998</v>
      </c>
      <c r="R46" s="85">
        <v>659922.97600000002</v>
      </c>
      <c r="S46" s="85">
        <v>685988.73499999999</v>
      </c>
      <c r="T46" s="85">
        <v>1606700.5989999999</v>
      </c>
      <c r="U46" s="85">
        <v>150827.90700000001</v>
      </c>
      <c r="V46" s="85">
        <v>44105.192999999999</v>
      </c>
      <c r="W46" s="85">
        <v>43636.114000000001</v>
      </c>
      <c r="X46" s="1">
        <v>41185.991999999998</v>
      </c>
      <c r="Y46" s="1">
        <v>65109.461000000003</v>
      </c>
      <c r="Z46" s="1">
        <v>80952.910999999993</v>
      </c>
      <c r="AA46" s="1">
        <v>57135.512000000002</v>
      </c>
      <c r="AB46" s="1">
        <v>528230.04</v>
      </c>
      <c r="AC46" s="1">
        <v>550633.147</v>
      </c>
    </row>
    <row r="47" spans="1:29">
      <c r="A47" s="1" t="s">
        <v>99</v>
      </c>
      <c r="B47" s="85"/>
      <c r="C47" s="85"/>
      <c r="D47" s="85"/>
      <c r="E47" s="85"/>
      <c r="F47" s="88">
        <v>430163.91899999999</v>
      </c>
      <c r="G47" s="85"/>
      <c r="H47" s="85"/>
      <c r="I47" s="85">
        <v>16748.181</v>
      </c>
      <c r="J47" s="85"/>
      <c r="K47" s="85">
        <v>36035.398999999998</v>
      </c>
      <c r="L47" s="85">
        <v>-14201.619000000001</v>
      </c>
      <c r="M47" s="85">
        <v>49892.019</v>
      </c>
      <c r="N47" s="85">
        <v>164443.17800000001</v>
      </c>
      <c r="O47" s="85">
        <v>222170.94899999999</v>
      </c>
      <c r="P47" s="85">
        <v>212536.99900000001</v>
      </c>
      <c r="Q47" s="85">
        <v>226337.44699999999</v>
      </c>
      <c r="R47" s="85">
        <v>230259.853</v>
      </c>
      <c r="S47" s="85">
        <v>243545.20499999999</v>
      </c>
      <c r="T47" s="85">
        <v>348640.02500000002</v>
      </c>
      <c r="U47" s="85">
        <v>82349.214000000007</v>
      </c>
      <c r="V47" s="85">
        <v>82542.8</v>
      </c>
      <c r="W47" s="85">
        <v>62574.695</v>
      </c>
      <c r="X47" s="1">
        <v>33474.218999999997</v>
      </c>
      <c r="Y47" s="1">
        <v>55594.345999999998</v>
      </c>
      <c r="Z47" s="1">
        <v>66878.710000000006</v>
      </c>
      <c r="AA47" s="1">
        <v>36340.597000000002</v>
      </c>
      <c r="AB47" s="1">
        <v>50901.161</v>
      </c>
      <c r="AC47" s="1">
        <v>369310.924</v>
      </c>
    </row>
    <row r="48" spans="1:29">
      <c r="A48" s="1" t="s">
        <v>59</v>
      </c>
      <c r="B48" s="85"/>
      <c r="C48" s="85"/>
      <c r="D48" s="85"/>
      <c r="E48" s="85"/>
      <c r="F48" s="88">
        <v>29710.751</v>
      </c>
      <c r="G48" s="85"/>
      <c r="H48" s="85"/>
      <c r="I48" s="85">
        <v>30328.108</v>
      </c>
      <c r="J48" s="85"/>
      <c r="K48" s="85">
        <v>63875.156000000003</v>
      </c>
      <c r="L48" s="85">
        <v>38948.434999999998</v>
      </c>
      <c r="M48" s="85">
        <v>109041.993</v>
      </c>
      <c r="N48" s="85">
        <v>159899.38</v>
      </c>
      <c r="O48" s="85">
        <v>169305.046</v>
      </c>
      <c r="P48" s="85">
        <v>158274.79399999999</v>
      </c>
      <c r="Q48" s="85">
        <v>205189.527</v>
      </c>
      <c r="R48" s="85">
        <v>197350.20600000001</v>
      </c>
      <c r="S48" s="85">
        <v>226107.201</v>
      </c>
      <c r="T48" s="85">
        <v>118479.395</v>
      </c>
      <c r="U48" s="85">
        <v>64097.224000000002</v>
      </c>
      <c r="V48" s="85">
        <v>36310.17</v>
      </c>
      <c r="W48" s="85">
        <v>13742.781000000001</v>
      </c>
      <c r="X48" s="1">
        <v>18804.944</v>
      </c>
      <c r="Y48" s="1">
        <v>6358.3190000000004</v>
      </c>
      <c r="Z48" s="1">
        <v>5249.42</v>
      </c>
      <c r="AA48" s="1">
        <v>15816.914000000001</v>
      </c>
      <c r="AB48" s="1">
        <v>9066.1630000000005</v>
      </c>
      <c r="AC48" s="101">
        <v>63947.624000000003</v>
      </c>
    </row>
    <row r="49" spans="1:29">
      <c r="A49" s="1" t="s">
        <v>101</v>
      </c>
      <c r="B49" s="85"/>
      <c r="C49" s="85"/>
      <c r="D49" s="85"/>
      <c r="E49" s="85"/>
      <c r="F49" s="88">
        <v>7982.1080000000002</v>
      </c>
      <c r="G49" s="85"/>
      <c r="H49" s="85"/>
      <c r="I49" s="85">
        <v>15507.641</v>
      </c>
      <c r="J49" s="85"/>
      <c r="K49" s="85">
        <v>20963.623</v>
      </c>
      <c r="L49" s="85">
        <v>17391.53</v>
      </c>
      <c r="M49" s="85">
        <v>19397.741000000002</v>
      </c>
      <c r="N49" s="85">
        <v>76188.379000000001</v>
      </c>
      <c r="O49" s="85">
        <v>82487.69</v>
      </c>
      <c r="P49" s="85">
        <v>73135.142000000007</v>
      </c>
      <c r="Q49" s="85">
        <v>87976.452000000005</v>
      </c>
      <c r="R49" s="85">
        <v>96538.6</v>
      </c>
      <c r="S49" s="85">
        <v>108544.431</v>
      </c>
      <c r="T49" s="85">
        <v>113633.09699999999</v>
      </c>
      <c r="U49" s="85">
        <v>84823.716</v>
      </c>
      <c r="V49" s="85">
        <v>33539.514000000003</v>
      </c>
      <c r="W49" s="85">
        <v>16082.638000000001</v>
      </c>
      <c r="X49" s="1">
        <v>27092.11</v>
      </c>
      <c r="Y49" s="1">
        <v>16098.137000000001</v>
      </c>
      <c r="Z49" s="1">
        <v>17514.965</v>
      </c>
      <c r="AA49" s="1">
        <v>45222.972999999998</v>
      </c>
      <c r="AB49" s="1">
        <v>112628.914</v>
      </c>
      <c r="AC49" s="1">
        <v>107587.87300000001</v>
      </c>
    </row>
    <row r="50" spans="1:29">
      <c r="A50" s="1" t="s">
        <v>107</v>
      </c>
      <c r="B50" s="85"/>
      <c r="C50" s="85"/>
      <c r="D50" s="85"/>
      <c r="E50" s="85"/>
      <c r="F50" s="88">
        <v>790.52700000000004</v>
      </c>
      <c r="G50" s="85"/>
      <c r="H50" s="85"/>
      <c r="I50" s="85">
        <v>3519.0189999999998</v>
      </c>
      <c r="J50" s="85"/>
      <c r="K50" s="85">
        <v>4849.1149999999998</v>
      </c>
      <c r="L50" s="85">
        <v>6166.5820000000003</v>
      </c>
      <c r="M50" s="85">
        <v>1726.27</v>
      </c>
      <c r="N50" s="85">
        <v>35409.5</v>
      </c>
      <c r="O50" s="85">
        <v>32438.767</v>
      </c>
      <c r="P50" s="85">
        <v>41679.699999999997</v>
      </c>
      <c r="Q50" s="85">
        <v>39392.902999999998</v>
      </c>
      <c r="R50" s="85">
        <v>41871.072999999997</v>
      </c>
      <c r="S50" s="85">
        <v>49485.925999999999</v>
      </c>
      <c r="T50" s="85">
        <v>50944.3</v>
      </c>
      <c r="U50" s="85">
        <v>17288.007000000001</v>
      </c>
      <c r="V50" s="85">
        <v>37061.639000000003</v>
      </c>
      <c r="W50" s="85">
        <v>2772.7669999999998</v>
      </c>
      <c r="X50" s="1">
        <v>3373.973</v>
      </c>
      <c r="Y50" s="1">
        <v>2353.5309999999999</v>
      </c>
      <c r="Z50" s="1">
        <v>3941.4029999999998</v>
      </c>
      <c r="AA50" s="1">
        <v>2360.2979999999998</v>
      </c>
      <c r="AB50" s="1">
        <v>13511.212</v>
      </c>
      <c r="AC50" s="1">
        <v>18527.971000000001</v>
      </c>
    </row>
    <row r="51" spans="1:29">
      <c r="A51" s="1" t="s">
        <v>108</v>
      </c>
      <c r="B51" s="85"/>
      <c r="C51" s="85"/>
      <c r="D51" s="85"/>
      <c r="E51" s="85"/>
      <c r="F51" s="88">
        <v>106315.734</v>
      </c>
      <c r="G51" s="85"/>
      <c r="H51" s="85"/>
      <c r="I51" s="85">
        <v>86796.092999999993</v>
      </c>
      <c r="J51" s="85"/>
      <c r="K51" s="85">
        <v>167575.81200000001</v>
      </c>
      <c r="L51" s="85">
        <v>100769.712</v>
      </c>
      <c r="M51" s="85">
        <v>75916.892999999996</v>
      </c>
      <c r="N51" s="85">
        <v>454623.44099999999</v>
      </c>
      <c r="O51" s="85">
        <v>501079.70799999998</v>
      </c>
      <c r="P51" s="85">
        <v>504828.80200000003</v>
      </c>
      <c r="Q51" s="85">
        <v>588570.57400000002</v>
      </c>
      <c r="R51" s="85">
        <v>638206.57200000004</v>
      </c>
      <c r="S51" s="85">
        <v>698967.78799999994</v>
      </c>
      <c r="T51" s="85">
        <v>670933.228</v>
      </c>
      <c r="U51" s="85">
        <v>401339.92200000002</v>
      </c>
      <c r="V51" s="85">
        <v>78204.288</v>
      </c>
      <c r="W51" s="85">
        <v>67313.774000000005</v>
      </c>
      <c r="X51" s="1">
        <v>71525.337</v>
      </c>
      <c r="Y51" s="1">
        <v>83776.475999999995</v>
      </c>
      <c r="Z51" s="1">
        <v>74712.127999999997</v>
      </c>
      <c r="AA51" s="1">
        <v>68465.225999999995</v>
      </c>
      <c r="AB51" s="1">
        <v>81946.381999999998</v>
      </c>
      <c r="AC51" s="1">
        <v>122750.60799999999</v>
      </c>
    </row>
    <row r="52" spans="1:29">
      <c r="A52" s="1" t="s">
        <v>112</v>
      </c>
      <c r="B52" s="85"/>
      <c r="C52" s="85"/>
      <c r="D52" s="85"/>
      <c r="E52" s="85"/>
      <c r="F52" s="88">
        <v>7891.3010000000004</v>
      </c>
      <c r="G52" s="85"/>
      <c r="H52" s="85"/>
      <c r="I52" s="85">
        <v>2357.8519999999999</v>
      </c>
      <c r="J52" s="85"/>
      <c r="K52" s="85">
        <v>2322.616</v>
      </c>
      <c r="L52" s="85">
        <v>2292.6930000000002</v>
      </c>
      <c r="M52" s="85">
        <v>2117.2689999999998</v>
      </c>
      <c r="N52" s="85">
        <v>14149.937</v>
      </c>
      <c r="O52" s="85">
        <v>14642.278</v>
      </c>
      <c r="P52" s="85">
        <v>15915.495000000001</v>
      </c>
      <c r="Q52" s="85">
        <v>17070.773000000001</v>
      </c>
      <c r="R52" s="85">
        <v>18186.945</v>
      </c>
      <c r="S52" s="85">
        <v>15212.665999999999</v>
      </c>
      <c r="T52" s="85">
        <v>12875.066999999999</v>
      </c>
      <c r="U52" s="85">
        <v>8865.7999999999993</v>
      </c>
      <c r="V52" s="85">
        <v>18195.624</v>
      </c>
      <c r="W52" s="85">
        <v>20716.341</v>
      </c>
      <c r="X52" s="1">
        <v>16785.565999999999</v>
      </c>
      <c r="Y52" s="1">
        <v>11358.858</v>
      </c>
      <c r="Z52" s="1">
        <v>11813.223</v>
      </c>
      <c r="AA52" s="1">
        <v>7176.326</v>
      </c>
      <c r="AB52" s="1">
        <v>6846.7809999999999</v>
      </c>
      <c r="AC52" s="1">
        <v>6298.2479999999996</v>
      </c>
    </row>
    <row r="53" spans="1:29">
      <c r="A53" s="24" t="s">
        <v>116</v>
      </c>
      <c r="B53" s="86"/>
      <c r="C53" s="86"/>
      <c r="D53" s="86"/>
      <c r="E53" s="86"/>
      <c r="F53" s="89">
        <v>67236.206999999995</v>
      </c>
      <c r="G53" s="86"/>
      <c r="H53" s="86"/>
      <c r="I53" s="86">
        <v>90522.379000000001</v>
      </c>
      <c r="J53" s="86"/>
      <c r="K53" s="86">
        <v>106634.101</v>
      </c>
      <c r="L53" s="86">
        <v>151655.95000000001</v>
      </c>
      <c r="M53" s="86">
        <v>144672.91800000001</v>
      </c>
      <c r="N53" s="86">
        <v>187090.45300000001</v>
      </c>
      <c r="O53" s="86">
        <v>183567.79800000001</v>
      </c>
      <c r="P53" s="86">
        <v>258455.31599999999</v>
      </c>
      <c r="Q53" s="86">
        <v>278312.13900000002</v>
      </c>
      <c r="R53" s="86">
        <v>297545.50699999998</v>
      </c>
      <c r="S53" s="86">
        <v>319109.24099999998</v>
      </c>
      <c r="T53" s="86">
        <v>348359.14199999999</v>
      </c>
      <c r="U53" s="86">
        <v>406623.973</v>
      </c>
      <c r="V53" s="86">
        <v>234580.99900000001</v>
      </c>
      <c r="W53" s="86">
        <v>209812.861</v>
      </c>
      <c r="X53" s="24">
        <v>210652.78200000001</v>
      </c>
      <c r="Y53" s="24">
        <v>177302.701</v>
      </c>
      <c r="Z53" s="24">
        <v>371149.728</v>
      </c>
      <c r="AA53" s="24">
        <v>177009.97200000001</v>
      </c>
      <c r="AB53" s="24">
        <v>242960.283</v>
      </c>
      <c r="AC53" s="24">
        <v>384114.75300000003</v>
      </c>
    </row>
    <row r="54" spans="1:29">
      <c r="A54" s="7" t="s">
        <v>122</v>
      </c>
      <c r="B54" s="84">
        <f>SUM(B56:B64)</f>
        <v>0</v>
      </c>
      <c r="C54" s="84">
        <f t="shared" ref="C54:AC54" si="12">SUM(C56:C64)</f>
        <v>0</v>
      </c>
      <c r="D54" s="84">
        <f t="shared" si="12"/>
        <v>0</v>
      </c>
      <c r="E54" s="84">
        <f t="shared" si="12"/>
        <v>0</v>
      </c>
      <c r="F54" s="84">
        <f t="shared" si="12"/>
        <v>426430.163</v>
      </c>
      <c r="G54" s="84">
        <f t="shared" si="12"/>
        <v>0</v>
      </c>
      <c r="H54" s="84">
        <f t="shared" si="12"/>
        <v>0</v>
      </c>
      <c r="I54" s="84">
        <f t="shared" si="12"/>
        <v>523436.22900000005</v>
      </c>
      <c r="J54" s="84">
        <f t="shared" si="12"/>
        <v>0</v>
      </c>
      <c r="K54" s="84">
        <f t="shared" si="12"/>
        <v>623467.65899999999</v>
      </c>
      <c r="L54" s="84">
        <f t="shared" si="12"/>
        <v>743211.929</v>
      </c>
      <c r="M54" s="84">
        <f t="shared" si="12"/>
        <v>824020.91899999999</v>
      </c>
      <c r="N54" s="84">
        <f t="shared" si="12"/>
        <v>1211927.024</v>
      </c>
      <c r="O54" s="84">
        <f t="shared" si="12"/>
        <v>1218675.3330000001</v>
      </c>
      <c r="P54" s="84">
        <f t="shared" si="12"/>
        <v>1247345.7010000001</v>
      </c>
      <c r="Q54" s="84">
        <f t="shared" si="12"/>
        <v>1438318.6639999999</v>
      </c>
      <c r="R54" s="84">
        <f t="shared" si="12"/>
        <v>1593231.5589999999</v>
      </c>
      <c r="S54" s="84">
        <f t="shared" si="12"/>
        <v>1809556.8539999998</v>
      </c>
      <c r="T54" s="84">
        <f t="shared" si="12"/>
        <v>1696875.7889999999</v>
      </c>
      <c r="U54" s="84">
        <f t="shared" si="12"/>
        <v>1893541.5989999999</v>
      </c>
      <c r="V54" s="84">
        <f t="shared" si="12"/>
        <v>321539.48099999997</v>
      </c>
      <c r="W54" s="84">
        <f t="shared" si="12"/>
        <v>532315.27400000009</v>
      </c>
      <c r="X54" s="84">
        <f t="shared" si="12"/>
        <v>376704.67000000004</v>
      </c>
      <c r="Y54" s="84">
        <f t="shared" si="12"/>
        <v>197221.215</v>
      </c>
      <c r="Z54" s="84">
        <f t="shared" si="12"/>
        <v>242757.75</v>
      </c>
      <c r="AA54" s="84">
        <f t="shared" si="12"/>
        <v>264684.60599999997</v>
      </c>
      <c r="AB54" s="84">
        <f t="shared" si="12"/>
        <v>381846.63999999996</v>
      </c>
      <c r="AC54" s="84">
        <f t="shared" si="12"/>
        <v>795436.43</v>
      </c>
    </row>
    <row r="55" spans="1:29">
      <c r="A55" s="7" t="s">
        <v>119</v>
      </c>
      <c r="B55" s="85"/>
      <c r="C55" s="85"/>
      <c r="D55" s="85"/>
      <c r="E55" s="85"/>
      <c r="F55" s="85"/>
      <c r="G55" s="85"/>
      <c r="H55" s="85"/>
      <c r="I55" s="85"/>
      <c r="J55" s="85"/>
      <c r="K55" s="85"/>
      <c r="L55" s="85"/>
      <c r="M55" s="85"/>
      <c r="N55" s="85"/>
      <c r="O55" s="85"/>
      <c r="P55" s="85"/>
      <c r="Q55" s="85"/>
      <c r="R55" s="85"/>
      <c r="S55" s="85"/>
      <c r="T55" s="85"/>
      <c r="U55" s="85"/>
      <c r="X55" s="1">
        <v>0</v>
      </c>
      <c r="Y55" s="1">
        <v>0</v>
      </c>
      <c r="AB55" s="1">
        <v>0</v>
      </c>
      <c r="AC55" s="1">
        <v>0</v>
      </c>
    </row>
    <row r="56" spans="1:29">
      <c r="A56" s="1" t="s">
        <v>89</v>
      </c>
      <c r="B56" s="85"/>
      <c r="C56" s="85"/>
      <c r="D56" s="85"/>
      <c r="E56" s="85"/>
      <c r="F56" s="88">
        <v>1363.288</v>
      </c>
      <c r="G56" s="85"/>
      <c r="H56" s="85"/>
      <c r="I56" s="85">
        <v>15507.797</v>
      </c>
      <c r="J56" s="85"/>
      <c r="K56" s="85">
        <v>9125.7440000000006</v>
      </c>
      <c r="L56" s="85">
        <v>13970.813</v>
      </c>
      <c r="M56" s="85">
        <v>29522.133000000002</v>
      </c>
      <c r="N56" s="85">
        <v>126250.534</v>
      </c>
      <c r="O56" s="85">
        <v>158847.52600000001</v>
      </c>
      <c r="P56" s="85">
        <v>185677.601</v>
      </c>
      <c r="Q56" s="85">
        <v>218196.014</v>
      </c>
      <c r="R56" s="85">
        <v>209700.26199999999</v>
      </c>
      <c r="S56" s="85">
        <v>202249.77</v>
      </c>
      <c r="T56" s="85">
        <v>132746.679</v>
      </c>
      <c r="U56" s="85">
        <v>83624.460999999996</v>
      </c>
      <c r="V56" s="85">
        <v>45117.095000000001</v>
      </c>
      <c r="W56" s="85">
        <v>46820.250999999997</v>
      </c>
      <c r="X56" s="1">
        <v>13820.741</v>
      </c>
      <c r="Y56" s="1">
        <v>439.48599999999999</v>
      </c>
      <c r="Z56" s="1">
        <v>3822.86</v>
      </c>
      <c r="AA56" s="1">
        <v>1473.87</v>
      </c>
      <c r="AB56" s="1">
        <v>11685.512000000001</v>
      </c>
      <c r="AC56" s="101">
        <v>316562.2</v>
      </c>
    </row>
    <row r="57" spans="1:29">
      <c r="A57" s="1" t="s">
        <v>96</v>
      </c>
      <c r="B57" s="85"/>
      <c r="C57" s="85"/>
      <c r="D57" s="85"/>
      <c r="E57" s="85"/>
      <c r="F57" s="88">
        <v>8973.6319999999996</v>
      </c>
      <c r="G57" s="85"/>
      <c r="H57" s="85"/>
      <c r="I57" s="85">
        <v>3290.7220000000002</v>
      </c>
      <c r="J57" s="85"/>
      <c r="K57" s="85">
        <v>5415.5129999999999</v>
      </c>
      <c r="L57" s="85">
        <v>10578.504000000001</v>
      </c>
      <c r="M57" s="85">
        <v>7614.915</v>
      </c>
      <c r="N57" s="85">
        <v>30263.764999999999</v>
      </c>
      <c r="O57" s="85">
        <v>32716.592000000001</v>
      </c>
      <c r="P57" s="85">
        <v>26106.454000000002</v>
      </c>
      <c r="Q57" s="85">
        <v>24632.473000000002</v>
      </c>
      <c r="R57" s="85">
        <v>26361.883000000002</v>
      </c>
      <c r="S57" s="85">
        <v>29963.768</v>
      </c>
      <c r="T57" s="85">
        <v>33351.148999999998</v>
      </c>
      <c r="U57" s="85">
        <v>36285.315000000002</v>
      </c>
      <c r="V57" s="85">
        <v>572</v>
      </c>
      <c r="W57" s="85">
        <v>824</v>
      </c>
      <c r="X57" s="1">
        <v>1126.2660000000001</v>
      </c>
      <c r="Y57" s="1">
        <v>16</v>
      </c>
      <c r="Z57" s="1">
        <v>112.001</v>
      </c>
      <c r="AA57" s="1">
        <v>0</v>
      </c>
      <c r="AB57" s="1">
        <v>0</v>
      </c>
      <c r="AC57" s="1">
        <v>0</v>
      </c>
    </row>
    <row r="58" spans="1:29" s="11" customFormat="1">
      <c r="A58" s="1" t="s">
        <v>97</v>
      </c>
      <c r="B58" s="85"/>
      <c r="C58" s="85"/>
      <c r="D58" s="85"/>
      <c r="E58" s="85"/>
      <c r="F58" s="88">
        <v>12242.611000000001</v>
      </c>
      <c r="G58" s="85"/>
      <c r="H58" s="85"/>
      <c r="I58" s="85">
        <v>3381.9119999999998</v>
      </c>
      <c r="J58" s="85"/>
      <c r="K58" s="85">
        <v>13893.763000000001</v>
      </c>
      <c r="L58" s="85">
        <v>82104.876999999993</v>
      </c>
      <c r="M58" s="85">
        <v>80203.464999999997</v>
      </c>
      <c r="N58" s="85">
        <v>140445.891</v>
      </c>
      <c r="O58" s="85">
        <v>134591.41800000001</v>
      </c>
      <c r="P58" s="85">
        <v>145991.81</v>
      </c>
      <c r="Q58" s="85">
        <v>167742.33100000001</v>
      </c>
      <c r="R58" s="85">
        <v>173167.014</v>
      </c>
      <c r="S58" s="85">
        <v>190065.37899999999</v>
      </c>
      <c r="T58" s="85">
        <v>178502.91699999999</v>
      </c>
      <c r="U58" s="85">
        <v>176519.21400000001</v>
      </c>
      <c r="V58" s="85">
        <v>74272.429999999993</v>
      </c>
      <c r="W58" s="85">
        <v>47616.040999999997</v>
      </c>
      <c r="X58" s="1">
        <v>49076.775000000001</v>
      </c>
      <c r="Y58" s="1">
        <v>45213.949000000001</v>
      </c>
      <c r="Z58" s="1">
        <v>54806.735999999997</v>
      </c>
      <c r="AA58" s="1">
        <v>45581.093999999997</v>
      </c>
      <c r="AB58" s="1">
        <v>93140.532999999996</v>
      </c>
      <c r="AC58" s="1">
        <v>79392.793999999994</v>
      </c>
    </row>
    <row r="59" spans="1:29">
      <c r="A59" s="1" t="s">
        <v>103</v>
      </c>
      <c r="B59" s="85"/>
      <c r="C59" s="85"/>
      <c r="D59" s="85"/>
      <c r="E59" s="85"/>
      <c r="F59" s="88">
        <v>17627.335999999999</v>
      </c>
      <c r="G59" s="85"/>
      <c r="H59" s="85"/>
      <c r="I59" s="85">
        <v>15190.97</v>
      </c>
      <c r="J59" s="85"/>
      <c r="K59" s="85">
        <v>11640.334000000001</v>
      </c>
      <c r="L59" s="85">
        <v>19736.28</v>
      </c>
      <c r="M59" s="85">
        <v>24422.940999999999</v>
      </c>
      <c r="N59" s="85">
        <v>59155.881000000001</v>
      </c>
      <c r="O59" s="85">
        <v>53290.046000000002</v>
      </c>
      <c r="P59" s="85">
        <v>43930.474000000002</v>
      </c>
      <c r="Q59" s="85">
        <v>42242.989000000001</v>
      </c>
      <c r="R59" s="85">
        <v>53432.942000000003</v>
      </c>
      <c r="S59" s="85">
        <v>51282.216999999997</v>
      </c>
      <c r="T59" s="85">
        <v>16262.09</v>
      </c>
      <c r="U59" s="85">
        <v>137.01400000000001</v>
      </c>
      <c r="V59" s="85">
        <v>1831.432</v>
      </c>
      <c r="W59" s="85">
        <v>1315.605</v>
      </c>
      <c r="X59" s="1">
        <v>766.96500000000003</v>
      </c>
      <c r="Y59" s="1">
        <v>958.13499999999999</v>
      </c>
      <c r="Z59" s="1">
        <v>746.30499999999995</v>
      </c>
      <c r="AA59" s="1">
        <v>3863.6179999999999</v>
      </c>
      <c r="AB59" s="1">
        <v>10113.232</v>
      </c>
      <c r="AC59" s="1">
        <v>5638.89</v>
      </c>
    </row>
    <row r="60" spans="1:29">
      <c r="A60" s="1" t="s">
        <v>104</v>
      </c>
      <c r="B60" s="85"/>
      <c r="C60" s="85"/>
      <c r="D60" s="85"/>
      <c r="E60" s="85"/>
      <c r="F60" s="88">
        <v>38577.584000000003</v>
      </c>
      <c r="G60" s="85"/>
      <c r="H60" s="85"/>
      <c r="I60" s="85">
        <v>53495.06</v>
      </c>
      <c r="J60" s="85"/>
      <c r="K60" s="85">
        <v>104915.095</v>
      </c>
      <c r="L60" s="85">
        <v>67770.760999999999</v>
      </c>
      <c r="M60" s="85">
        <v>100085.144</v>
      </c>
      <c r="N60" s="85">
        <v>301794.50900000002</v>
      </c>
      <c r="O60" s="85">
        <v>309776.11499999999</v>
      </c>
      <c r="P60" s="85">
        <v>207005.174</v>
      </c>
      <c r="Q60" s="85">
        <v>358153.44099999999</v>
      </c>
      <c r="R60" s="85">
        <v>402923.02299999999</v>
      </c>
      <c r="S60" s="85">
        <v>417570.96</v>
      </c>
      <c r="T60" s="85">
        <v>294648.95899999997</v>
      </c>
      <c r="U60" s="85">
        <v>289999.99200000003</v>
      </c>
      <c r="V60" s="85">
        <v>65127.023999999998</v>
      </c>
      <c r="W60" s="85">
        <v>59334.94</v>
      </c>
      <c r="X60" s="1">
        <v>51415.150999999998</v>
      </c>
      <c r="Y60" s="1">
        <v>25409.032999999999</v>
      </c>
      <c r="Z60" s="1">
        <v>90866.297000000006</v>
      </c>
      <c r="AA60" s="1">
        <v>82104.782999999996</v>
      </c>
      <c r="AB60" s="1">
        <v>108966.595</v>
      </c>
      <c r="AC60" s="1">
        <v>177002.927</v>
      </c>
    </row>
    <row r="61" spans="1:29">
      <c r="A61" s="1" t="s">
        <v>106</v>
      </c>
      <c r="B61" s="85"/>
      <c r="C61" s="85"/>
      <c r="D61" s="85"/>
      <c r="E61" s="85"/>
      <c r="F61" s="88">
        <v>207279.704</v>
      </c>
      <c r="G61" s="85"/>
      <c r="H61" s="85"/>
      <c r="I61" s="85">
        <v>295114.43300000002</v>
      </c>
      <c r="J61" s="85"/>
      <c r="K61" s="85">
        <v>336076.67800000001</v>
      </c>
      <c r="L61" s="85">
        <v>356653.179</v>
      </c>
      <c r="M61" s="85">
        <v>382484.53600000002</v>
      </c>
      <c r="N61" s="85">
        <v>376817.41700000002</v>
      </c>
      <c r="O61" s="85">
        <v>287511.77100000001</v>
      </c>
      <c r="P61" s="85">
        <v>508837.46</v>
      </c>
      <c r="Q61" s="85">
        <v>507930.37</v>
      </c>
      <c r="R61" s="85">
        <v>584045.51899999997</v>
      </c>
      <c r="S61" s="85">
        <v>754452.2</v>
      </c>
      <c r="T61" s="85">
        <v>840000.14300000004</v>
      </c>
      <c r="U61" s="85">
        <v>1087072.078</v>
      </c>
      <c r="V61" s="85">
        <v>133598.49900000001</v>
      </c>
      <c r="W61" s="85">
        <v>375308.43599999999</v>
      </c>
      <c r="X61" s="1">
        <v>254193.769</v>
      </c>
      <c r="Y61" s="1">
        <v>88430.611999999994</v>
      </c>
      <c r="Z61" s="1">
        <v>67377.55</v>
      </c>
      <c r="AA61" s="1">
        <v>108418.397</v>
      </c>
      <c r="AB61" s="1">
        <v>128287.30899999999</v>
      </c>
      <c r="AC61" s="1">
        <v>188044.61499999999</v>
      </c>
    </row>
    <row r="62" spans="1:29">
      <c r="A62" s="1" t="s">
        <v>110</v>
      </c>
      <c r="B62" s="85"/>
      <c r="C62" s="85"/>
      <c r="D62" s="85"/>
      <c r="E62" s="85"/>
      <c r="F62" s="88">
        <v>129513.412</v>
      </c>
      <c r="G62" s="85"/>
      <c r="H62" s="85"/>
      <c r="I62" s="85">
        <v>124419.064</v>
      </c>
      <c r="J62" s="85"/>
      <c r="K62" s="85">
        <v>134556.17800000001</v>
      </c>
      <c r="L62" s="85">
        <v>175678.97700000001</v>
      </c>
      <c r="M62" s="85">
        <v>199459.76199999999</v>
      </c>
      <c r="N62" s="85">
        <v>137844.106</v>
      </c>
      <c r="O62" s="85">
        <v>68668.22</v>
      </c>
      <c r="P62" s="85">
        <v>76636.323999999993</v>
      </c>
      <c r="Q62" s="85">
        <v>81609.815000000002</v>
      </c>
      <c r="R62" s="85">
        <v>88806.202999999994</v>
      </c>
      <c r="S62" s="85">
        <v>96735.724000000002</v>
      </c>
      <c r="T62" s="85">
        <v>106585.80499999999</v>
      </c>
      <c r="U62" s="85">
        <v>122384.001</v>
      </c>
      <c r="V62" s="85">
        <v>1E-3</v>
      </c>
      <c r="W62" s="85">
        <v>0</v>
      </c>
      <c r="X62" s="1">
        <v>0</v>
      </c>
      <c r="Y62" s="1">
        <v>0</v>
      </c>
      <c r="Z62" s="1">
        <v>0</v>
      </c>
      <c r="AA62" s="1">
        <v>167.84299999999999</v>
      </c>
      <c r="AB62" s="1">
        <v>6775.4589999999998</v>
      </c>
      <c r="AC62" s="1">
        <v>3.0000000000000001E-3</v>
      </c>
    </row>
    <row r="63" spans="1:29">
      <c r="A63" s="1" t="s">
        <v>111</v>
      </c>
      <c r="B63" s="85"/>
      <c r="C63" s="85"/>
      <c r="D63" s="85"/>
      <c r="E63" s="85"/>
      <c r="F63" s="88">
        <v>2752.654</v>
      </c>
      <c r="G63" s="85"/>
      <c r="H63" s="85"/>
      <c r="I63" s="85">
        <v>1619.729</v>
      </c>
      <c r="J63" s="85"/>
      <c r="K63" s="85">
        <v>1143.33</v>
      </c>
      <c r="L63" s="85">
        <v>3056.9670000000001</v>
      </c>
      <c r="M63" s="85">
        <v>4002.09</v>
      </c>
      <c r="N63" s="85">
        <v>19241.319</v>
      </c>
      <c r="O63" s="85">
        <v>23080.835999999999</v>
      </c>
      <c r="P63" s="85">
        <v>25865.350999999999</v>
      </c>
      <c r="Q63" s="85">
        <v>25984.741999999998</v>
      </c>
      <c r="R63" s="85">
        <v>24649.653999999999</v>
      </c>
      <c r="S63" s="85">
        <v>28827.055</v>
      </c>
      <c r="T63" s="85">
        <v>47065.29</v>
      </c>
      <c r="U63" s="85">
        <v>49324.487999999998</v>
      </c>
      <c r="V63" s="85">
        <v>0</v>
      </c>
      <c r="W63" s="85">
        <v>1E-3</v>
      </c>
      <c r="X63" s="1">
        <v>0</v>
      </c>
      <c r="Y63" s="1">
        <v>0</v>
      </c>
      <c r="Z63" s="1">
        <v>0</v>
      </c>
      <c r="AA63" s="1">
        <v>0</v>
      </c>
      <c r="AB63" s="1">
        <v>0</v>
      </c>
      <c r="AC63" s="1">
        <v>0</v>
      </c>
    </row>
    <row r="64" spans="1:29">
      <c r="A64" s="24" t="s">
        <v>114</v>
      </c>
      <c r="B64" s="86"/>
      <c r="C64" s="86"/>
      <c r="D64" s="86"/>
      <c r="E64" s="86"/>
      <c r="F64" s="89">
        <v>8099.942</v>
      </c>
      <c r="G64" s="86"/>
      <c r="H64" s="86"/>
      <c r="I64" s="86">
        <v>11416.541999999999</v>
      </c>
      <c r="J64" s="86"/>
      <c r="K64" s="86">
        <v>6701.0240000000003</v>
      </c>
      <c r="L64" s="86">
        <v>13661.571</v>
      </c>
      <c r="M64" s="86">
        <v>-3774.067</v>
      </c>
      <c r="N64" s="86">
        <v>20113.601999999999</v>
      </c>
      <c r="O64" s="86">
        <v>150192.80900000001</v>
      </c>
      <c r="P64" s="86">
        <v>27295.053</v>
      </c>
      <c r="Q64" s="86">
        <v>11826.489</v>
      </c>
      <c r="R64" s="86">
        <v>30145.059000000001</v>
      </c>
      <c r="S64" s="86">
        <v>38409.781000000003</v>
      </c>
      <c r="T64" s="86">
        <v>47712.756999999998</v>
      </c>
      <c r="U64" s="86">
        <v>48195.036</v>
      </c>
      <c r="V64" s="86">
        <v>1021</v>
      </c>
      <c r="W64" s="86">
        <v>1096</v>
      </c>
      <c r="X64" s="24">
        <v>6305.0029999999997</v>
      </c>
      <c r="Y64" s="24">
        <v>36754</v>
      </c>
      <c r="Z64" s="24">
        <v>25026.001</v>
      </c>
      <c r="AA64" s="24">
        <v>23075.001</v>
      </c>
      <c r="AB64" s="24">
        <v>22878</v>
      </c>
      <c r="AC64" s="24">
        <v>28795.001</v>
      </c>
    </row>
    <row r="65" spans="1:29">
      <c r="A65" s="46" t="s">
        <v>90</v>
      </c>
      <c r="B65" s="87"/>
      <c r="C65" s="87"/>
      <c r="D65" s="87"/>
      <c r="E65" s="87"/>
      <c r="F65" s="90">
        <v>889.60599999999999</v>
      </c>
      <c r="G65" s="87"/>
      <c r="H65" s="87"/>
      <c r="I65" s="87">
        <v>1707.106</v>
      </c>
      <c r="J65" s="87"/>
      <c r="K65" s="87">
        <v>1938.7649199999998</v>
      </c>
      <c r="L65" s="87">
        <v>457.35300000000001</v>
      </c>
      <c r="M65" s="87">
        <v>0</v>
      </c>
      <c r="N65" s="87">
        <v>4429.835</v>
      </c>
      <c r="O65" s="87">
        <v>4904.9930000000004</v>
      </c>
      <c r="P65" s="87">
        <v>4284.4260000000004</v>
      </c>
      <c r="Q65" s="87">
        <v>5400.375</v>
      </c>
      <c r="R65" s="87">
        <v>5724.35</v>
      </c>
      <c r="S65" s="87">
        <v>8663.1820000000007</v>
      </c>
      <c r="T65" s="87">
        <v>5310.0119999999997</v>
      </c>
      <c r="U65" s="87">
        <v>5675.7380000000003</v>
      </c>
      <c r="V65" s="87">
        <v>-0.1</v>
      </c>
      <c r="W65" s="87">
        <v>5816.34</v>
      </c>
      <c r="X65" s="24">
        <v>6677.5060000000003</v>
      </c>
      <c r="Y65" s="24">
        <v>5.5E-2</v>
      </c>
      <c r="Z65" s="24">
        <v>12253.69</v>
      </c>
      <c r="AA65" s="24">
        <v>23817.253000000001</v>
      </c>
      <c r="AB65" s="24">
        <v>25641.942999999999</v>
      </c>
      <c r="AC65" s="24">
        <v>25783.002</v>
      </c>
    </row>
    <row r="67" spans="1:29">
      <c r="D67" s="12" t="s">
        <v>54</v>
      </c>
      <c r="F67" s="1" t="s">
        <v>53</v>
      </c>
      <c r="G67" s="1" t="s">
        <v>28</v>
      </c>
      <c r="I67" s="1" t="s">
        <v>53</v>
      </c>
      <c r="J67" s="1" t="s">
        <v>53</v>
      </c>
      <c r="K67" s="1" t="s">
        <v>53</v>
      </c>
      <c r="L67" s="1" t="s">
        <v>69</v>
      </c>
      <c r="O67" s="1" t="s">
        <v>53</v>
      </c>
      <c r="P67" s="1" t="s">
        <v>53</v>
      </c>
      <c r="Q67" s="1" t="s">
        <v>53</v>
      </c>
      <c r="R67" s="1" t="s">
        <v>53</v>
      </c>
    </row>
    <row r="68" spans="1:29">
      <c r="D68" s="12" t="s">
        <v>55</v>
      </c>
      <c r="G68" s="1" t="s">
        <v>30</v>
      </c>
      <c r="I68" s="1" t="s">
        <v>78</v>
      </c>
      <c r="L68" s="1" t="s">
        <v>70</v>
      </c>
      <c r="O68" s="1" t="s">
        <v>78</v>
      </c>
      <c r="P68" s="1" t="s">
        <v>78</v>
      </c>
      <c r="Q68" s="1" t="s">
        <v>78</v>
      </c>
      <c r="R68" s="1" t="s">
        <v>78</v>
      </c>
    </row>
    <row r="69" spans="1:29">
      <c r="D69" s="1" t="s">
        <v>27</v>
      </c>
      <c r="G69" s="1" t="s">
        <v>32</v>
      </c>
      <c r="I69" s="1" t="s">
        <v>79</v>
      </c>
      <c r="J69" s="1" t="s">
        <v>76</v>
      </c>
      <c r="O69" s="1" t="s">
        <v>79</v>
      </c>
      <c r="P69" s="1" t="s">
        <v>79</v>
      </c>
      <c r="Q69" s="1" t="s">
        <v>79</v>
      </c>
      <c r="R69" s="1" t="s">
        <v>79</v>
      </c>
    </row>
    <row r="70" spans="1:29">
      <c r="D70" s="1" t="s">
        <v>29</v>
      </c>
      <c r="G70" s="1" t="s">
        <v>28</v>
      </c>
      <c r="I70" s="1" t="s">
        <v>80</v>
      </c>
      <c r="J70" s="1" t="s">
        <v>72</v>
      </c>
      <c r="Q70" s="1" t="s">
        <v>80</v>
      </c>
      <c r="R70" s="1" t="s">
        <v>80</v>
      </c>
    </row>
    <row r="71" spans="1:29">
      <c r="D71" s="1" t="s">
        <v>31</v>
      </c>
      <c r="J71" s="1" t="s">
        <v>73</v>
      </c>
    </row>
    <row r="72" spans="1:29">
      <c r="D72" s="1" t="s">
        <v>33</v>
      </c>
      <c r="G72" s="1" t="s">
        <v>30</v>
      </c>
      <c r="J72" s="1" t="s">
        <v>74</v>
      </c>
    </row>
    <row r="73" spans="1:29">
      <c r="D73" s="1" t="s">
        <v>34</v>
      </c>
      <c r="G73" s="12" t="s">
        <v>36</v>
      </c>
    </row>
    <row r="74" spans="1:29">
      <c r="B74" s="12"/>
      <c r="D74" s="1" t="s">
        <v>35</v>
      </c>
      <c r="G74" s="12" t="s">
        <v>38</v>
      </c>
    </row>
    <row r="75" spans="1:29">
      <c r="B75" s="35" t="s">
        <v>71</v>
      </c>
      <c r="D75" s="1" t="s">
        <v>37</v>
      </c>
    </row>
    <row r="76" spans="1:29">
      <c r="D76" s="12" t="s">
        <v>36</v>
      </c>
    </row>
    <row r="77" spans="1:29">
      <c r="D77" s="12" t="s">
        <v>38</v>
      </c>
    </row>
    <row r="102" spans="4:4">
      <c r="D102" s="11"/>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12">
    <tabColor indexed="62"/>
  </sheetPr>
  <dimension ref="A1:AC102"/>
  <sheetViews>
    <sheetView showZeros="0" zoomScaleNormal="100" workbookViewId="0">
      <pane xSplit="1" ySplit="5" topLeftCell="M6" activePane="bottomRight" state="frozen"/>
      <selection activeCell="A6" sqref="A6:T65"/>
      <selection pane="topRight" activeCell="A6" sqref="A6:T65"/>
      <selection pane="bottomLeft" activeCell="A6" sqref="A6:T65"/>
      <selection pane="bottomRight" activeCell="AC15" sqref="AC15"/>
    </sheetView>
  </sheetViews>
  <sheetFormatPr defaultColWidth="9.7109375" defaultRowHeight="12.75"/>
  <cols>
    <col min="1" max="1" width="23.42578125" style="44" customWidth="1"/>
    <col min="2" max="23" width="12.42578125" style="1" customWidth="1"/>
    <col min="24" max="57" width="10.7109375" style="1" customWidth="1"/>
    <col min="58" max="16384" width="9.7109375" style="1"/>
  </cols>
  <sheetData>
    <row r="1" spans="1:29">
      <c r="A1" s="7" t="s">
        <v>39</v>
      </c>
      <c r="B1"/>
      <c r="C1"/>
      <c r="D1"/>
      <c r="E1"/>
      <c r="F1"/>
      <c r="G1"/>
      <c r="H1"/>
      <c r="I1"/>
      <c r="J1"/>
      <c r="K1"/>
      <c r="L1"/>
      <c r="M1"/>
      <c r="N1"/>
      <c r="O1"/>
      <c r="P1"/>
      <c r="Q1"/>
      <c r="R1"/>
      <c r="S1"/>
      <c r="T1"/>
      <c r="U1"/>
      <c r="V1"/>
      <c r="W1"/>
    </row>
    <row r="2" spans="1:29">
      <c r="A2" s="9"/>
      <c r="B2"/>
      <c r="C2"/>
      <c r="D2"/>
      <c r="E2"/>
      <c r="F2"/>
      <c r="G2"/>
      <c r="H2"/>
      <c r="I2"/>
      <c r="J2"/>
      <c r="K2"/>
      <c r="L2"/>
      <c r="M2"/>
      <c r="N2"/>
      <c r="O2"/>
      <c r="P2"/>
      <c r="Q2"/>
      <c r="R2"/>
      <c r="S2"/>
      <c r="T2"/>
      <c r="U2"/>
      <c r="V2"/>
      <c r="W2"/>
      <c r="AA2" s="1">
        <v>1000</v>
      </c>
    </row>
    <row r="3" spans="1:29">
      <c r="A3" s="1" t="s">
        <v>26</v>
      </c>
      <c r="B3"/>
      <c r="C3"/>
      <c r="D3"/>
      <c r="E3"/>
      <c r="F3"/>
      <c r="G3"/>
      <c r="H3"/>
      <c r="I3"/>
      <c r="J3"/>
      <c r="K3"/>
      <c r="L3"/>
      <c r="M3"/>
      <c r="N3"/>
      <c r="O3"/>
      <c r="P3"/>
      <c r="Q3"/>
      <c r="R3"/>
      <c r="S3"/>
      <c r="T3"/>
      <c r="U3"/>
      <c r="V3"/>
      <c r="W3"/>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c r="W4" s="40">
        <v>2011</v>
      </c>
      <c r="X4" s="40">
        <v>2012</v>
      </c>
      <c r="Y4" s="40">
        <v>2013</v>
      </c>
      <c r="Z4" s="40">
        <v>2014</v>
      </c>
      <c r="AA4" s="40">
        <v>2015</v>
      </c>
      <c r="AB4" s="97">
        <v>2016</v>
      </c>
      <c r="AC4" s="97">
        <v>2017</v>
      </c>
    </row>
    <row r="5" spans="1:29" s="8" customFormat="1">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55">
        <v>128448</v>
      </c>
      <c r="C6" s="55">
        <v>131488</v>
      </c>
      <c r="D6" s="55">
        <f>138820</f>
        <v>138820</v>
      </c>
      <c r="E6" s="55">
        <f>89000.862+165891.855</f>
        <v>254892.717</v>
      </c>
      <c r="F6" s="49">
        <f>+F7+F25+F40+F54+F65</f>
        <v>296969.96099999995</v>
      </c>
      <c r="G6" s="55">
        <f>108610.261+190387.765+34447.438</f>
        <v>333445.46400000004</v>
      </c>
      <c r="H6" s="55">
        <f>122207.087+198903.504</f>
        <v>321110.59100000001</v>
      </c>
      <c r="I6" s="49">
        <f>+I7+I25+I40+I54+I65</f>
        <v>323129.53600000002</v>
      </c>
      <c r="J6" s="55">
        <f>154226.318+244207.752</f>
        <v>398434.07</v>
      </c>
      <c r="K6" s="49">
        <f t="shared" ref="K6:U6" si="0">+K7+K25+K40+K54+K65</f>
        <v>465077.24921999994</v>
      </c>
      <c r="L6" s="49">
        <f t="shared" si="0"/>
        <v>586096.85999999987</v>
      </c>
      <c r="M6" s="49">
        <f t="shared" si="0"/>
        <v>628547.68000000005</v>
      </c>
      <c r="N6" s="49">
        <f t="shared" si="0"/>
        <v>1489659.7289999998</v>
      </c>
      <c r="O6" s="49">
        <f t="shared" si="0"/>
        <v>1931721.3339999998</v>
      </c>
      <c r="P6" s="49">
        <f t="shared" si="0"/>
        <v>2344443.2320000003</v>
      </c>
      <c r="Q6" s="49">
        <f t="shared" si="0"/>
        <v>2698921.8</v>
      </c>
      <c r="R6" s="49">
        <f t="shared" si="0"/>
        <v>2806381.9479999999</v>
      </c>
      <c r="S6" s="49">
        <f t="shared" si="0"/>
        <v>3390831.1229999997</v>
      </c>
      <c r="T6" s="49">
        <f t="shared" si="0"/>
        <v>3332687.6469999999</v>
      </c>
      <c r="U6" s="49">
        <f t="shared" si="0"/>
        <v>3462055.5720000002</v>
      </c>
      <c r="V6" s="49">
        <f t="shared" ref="V6:W6" si="1">+V7+V25+V40+V54+V65</f>
        <v>2047832.9309999999</v>
      </c>
      <c r="W6" s="49">
        <f t="shared" si="1"/>
        <v>2353830.5950000007</v>
      </c>
      <c r="X6" s="49">
        <f t="shared" ref="X6:Y6" si="2">+X7+X25+X40+X54+X65</f>
        <v>2237079.227</v>
      </c>
      <c r="Y6" s="49">
        <f t="shared" si="2"/>
        <v>1676249.8670000001</v>
      </c>
      <c r="Z6" s="49">
        <f t="shared" ref="Z6:AA6" si="3">+Z7+Z25+Z40+Z54+Z65</f>
        <v>1676903.2719999999</v>
      </c>
      <c r="AA6" s="49">
        <f t="shared" si="3"/>
        <v>1651902.66</v>
      </c>
      <c r="AB6" s="49">
        <f t="shared" ref="AB6:AC6" si="4">+AB7+AB25+AB40+AB54+AB65</f>
        <v>3625967.7539999997</v>
      </c>
      <c r="AC6" s="49">
        <f t="shared" si="4"/>
        <v>3980650.1290000002</v>
      </c>
    </row>
    <row r="7" spans="1:29">
      <c r="A7" s="1" t="s">
        <v>56</v>
      </c>
      <c r="B7" s="91">
        <f>SUM(B8:B24)</f>
        <v>26888</v>
      </c>
      <c r="C7" s="91">
        <f t="shared" ref="C7:U7" si="5">SUM(C8:C24)</f>
        <v>40017</v>
      </c>
      <c r="D7" s="91">
        <f t="shared" si="5"/>
        <v>38732</v>
      </c>
      <c r="E7" s="91">
        <f t="shared" si="5"/>
        <v>79889.369999999981</v>
      </c>
      <c r="F7" s="91">
        <f t="shared" si="5"/>
        <v>108453.77399999999</v>
      </c>
      <c r="G7" s="91">
        <f t="shared" si="5"/>
        <v>111422.19399999999</v>
      </c>
      <c r="H7" s="91">
        <f t="shared" si="5"/>
        <v>102094.05099999999</v>
      </c>
      <c r="I7" s="91">
        <f t="shared" si="5"/>
        <v>111469.507</v>
      </c>
      <c r="J7" s="91">
        <f t="shared" si="5"/>
        <v>128085.056</v>
      </c>
      <c r="K7" s="91">
        <f t="shared" si="5"/>
        <v>159848.43782999995</v>
      </c>
      <c r="L7" s="91">
        <f t="shared" si="5"/>
        <v>213482.97799999997</v>
      </c>
      <c r="M7" s="91">
        <f t="shared" si="5"/>
        <v>206330.769</v>
      </c>
      <c r="N7" s="91">
        <f t="shared" si="5"/>
        <v>652172.13699999987</v>
      </c>
      <c r="O7" s="91">
        <f t="shared" si="5"/>
        <v>642738.31799999997</v>
      </c>
      <c r="P7" s="91">
        <f t="shared" si="5"/>
        <v>669100.24900000007</v>
      </c>
      <c r="Q7" s="91">
        <f t="shared" si="5"/>
        <v>733583.90899999999</v>
      </c>
      <c r="R7" s="91">
        <f t="shared" si="5"/>
        <v>776011.59200000018</v>
      </c>
      <c r="S7" s="91">
        <f t="shared" si="5"/>
        <v>823746.1</v>
      </c>
      <c r="T7" s="91">
        <f t="shared" si="5"/>
        <v>832168.51800000004</v>
      </c>
      <c r="U7" s="91">
        <f t="shared" si="5"/>
        <v>680640.54099999997</v>
      </c>
      <c r="V7" s="91">
        <f t="shared" ref="V7:W7" si="6">SUM(V8:V24)</f>
        <v>480568.82800000004</v>
      </c>
      <c r="W7" s="91">
        <f t="shared" si="6"/>
        <v>530811.02699999989</v>
      </c>
      <c r="X7" s="91">
        <f t="shared" ref="X7:Y7" si="7">SUM(X8:X24)</f>
        <v>468253.02899999998</v>
      </c>
      <c r="Y7" s="91">
        <f t="shared" si="7"/>
        <v>400053.54</v>
      </c>
      <c r="Z7" s="91">
        <f t="shared" ref="Z7:AA7" si="8">SUM(Z8:Z24)</f>
        <v>364768.76700000005</v>
      </c>
      <c r="AA7" s="91">
        <f t="shared" si="8"/>
        <v>422691.69400000002</v>
      </c>
      <c r="AB7" s="91">
        <f t="shared" ref="AB7:AC7" si="9">SUM(AB8:AB24)</f>
        <v>802640.43400000012</v>
      </c>
      <c r="AC7" s="91">
        <f t="shared" si="9"/>
        <v>959408.0120000001</v>
      </c>
    </row>
    <row r="8" spans="1:29">
      <c r="A8" s="7" t="s">
        <v>119</v>
      </c>
      <c r="B8" s="54"/>
      <c r="C8" s="54"/>
      <c r="D8" s="54"/>
      <c r="E8" s="54"/>
      <c r="F8" s="54"/>
      <c r="G8" s="54"/>
      <c r="H8" s="54"/>
      <c r="I8" s="54"/>
      <c r="J8" s="54"/>
      <c r="K8" s="54"/>
      <c r="L8" s="54"/>
      <c r="M8" s="54"/>
      <c r="N8" s="54"/>
      <c r="O8" s="54"/>
      <c r="P8" s="54"/>
      <c r="Q8" s="54"/>
      <c r="R8" s="54"/>
      <c r="S8" s="54"/>
      <c r="T8" s="54"/>
      <c r="U8" s="54"/>
      <c r="V8" s="54"/>
      <c r="W8" s="54"/>
    </row>
    <row r="9" spans="1:29">
      <c r="A9" s="1" t="s">
        <v>3</v>
      </c>
      <c r="B9" s="54">
        <v>1609</v>
      </c>
      <c r="C9" s="54">
        <v>1400</v>
      </c>
      <c r="D9" s="54">
        <v>1080</v>
      </c>
      <c r="E9" s="54">
        <f>3601.338+3125.36</f>
        <v>6726.6980000000003</v>
      </c>
      <c r="F9" s="42">
        <v>11331.338</v>
      </c>
      <c r="G9" s="54">
        <f>4548.325+8649.559</f>
        <v>13197.883999999998</v>
      </c>
      <c r="H9" s="54">
        <f>6145.312+10347.348</f>
        <v>16492.66</v>
      </c>
      <c r="I9" s="54">
        <v>16752.207999999999</v>
      </c>
      <c r="J9" s="54">
        <f>10587.176+6717.583</f>
        <v>17304.758999999998</v>
      </c>
      <c r="K9" s="54">
        <v>22940.923609999998</v>
      </c>
      <c r="L9" s="54">
        <v>26734.044999999998</v>
      </c>
      <c r="M9" s="54">
        <v>34072.771000000001</v>
      </c>
      <c r="N9" s="54">
        <v>25287.694</v>
      </c>
      <c r="O9" s="54">
        <v>29428.871999999999</v>
      </c>
      <c r="P9" s="54">
        <v>32738.137999999999</v>
      </c>
      <c r="Q9" s="54">
        <v>32425.695</v>
      </c>
      <c r="R9" s="54">
        <v>35752.178999999996</v>
      </c>
      <c r="S9" s="54">
        <v>39833.896999999997</v>
      </c>
      <c r="T9" s="54">
        <v>15532.201999999999</v>
      </c>
      <c r="U9" s="54">
        <v>3490.4369999999999</v>
      </c>
      <c r="V9" s="54">
        <v>15906.584000000001</v>
      </c>
      <c r="W9" s="54">
        <v>20238.12</v>
      </c>
      <c r="X9" s="1">
        <v>4761.6670000000004</v>
      </c>
      <c r="Y9" s="1">
        <v>6631.9290000000001</v>
      </c>
      <c r="Z9" s="1">
        <v>7025.1019999999999</v>
      </c>
      <c r="AA9" s="1">
        <v>8008.6459999999997</v>
      </c>
      <c r="AB9" s="1">
        <v>48130.855000000003</v>
      </c>
      <c r="AC9" s="1">
        <v>69941.771999999997</v>
      </c>
    </row>
    <row r="10" spans="1:29">
      <c r="A10" s="1" t="s">
        <v>4</v>
      </c>
      <c r="B10" s="54">
        <v>149</v>
      </c>
      <c r="C10" s="54">
        <v>609</v>
      </c>
      <c r="D10" s="54">
        <v>229</v>
      </c>
      <c r="E10" s="54">
        <f>451.052+762.013</f>
        <v>1213.0650000000001</v>
      </c>
      <c r="F10" s="42">
        <v>1634.79</v>
      </c>
      <c r="G10" s="54">
        <f>1011.089+1198.844</f>
        <v>2209.933</v>
      </c>
      <c r="H10" s="54">
        <f>1400.978+2022.919</f>
        <v>3423.8969999999999</v>
      </c>
      <c r="I10" s="54">
        <v>2999.0439999999999</v>
      </c>
      <c r="J10" s="54">
        <f>1006.368+3736.206</f>
        <v>4742.5740000000005</v>
      </c>
      <c r="K10" s="54">
        <v>8590.3760000000002</v>
      </c>
      <c r="L10" s="54">
        <v>10276.534</v>
      </c>
      <c r="M10" s="54">
        <v>7014.6779999999999</v>
      </c>
      <c r="N10" s="54">
        <v>42968.976999999999</v>
      </c>
      <c r="O10" s="54">
        <v>22451.135999999999</v>
      </c>
      <c r="P10" s="54">
        <v>28016.683000000001</v>
      </c>
      <c r="Q10" s="54">
        <v>31607.72</v>
      </c>
      <c r="R10" s="54">
        <v>26542.267</v>
      </c>
      <c r="S10" s="54">
        <v>34261.607000000004</v>
      </c>
      <c r="T10" s="54">
        <v>45035.993999999999</v>
      </c>
      <c r="U10" s="54">
        <v>34381.358</v>
      </c>
      <c r="V10" s="54">
        <v>6647.7</v>
      </c>
      <c r="W10" s="54">
        <v>19598.393</v>
      </c>
      <c r="X10" s="1">
        <v>14024.98</v>
      </c>
      <c r="Y10" s="1">
        <v>15816.954</v>
      </c>
      <c r="Z10" s="1">
        <v>15960.851000000001</v>
      </c>
      <c r="AA10" s="1">
        <v>16117.06</v>
      </c>
      <c r="AB10" s="1">
        <v>28237.048999999999</v>
      </c>
      <c r="AC10" s="1">
        <v>40755.110999999997</v>
      </c>
    </row>
    <row r="11" spans="1:29">
      <c r="A11" s="1" t="s">
        <v>52</v>
      </c>
      <c r="B11" s="54"/>
      <c r="C11" s="54"/>
      <c r="D11" s="54">
        <v>0</v>
      </c>
      <c r="E11" s="54"/>
      <c r="F11" s="42">
        <v>0</v>
      </c>
      <c r="G11" s="54"/>
      <c r="H11" s="54"/>
      <c r="I11" s="54">
        <v>0</v>
      </c>
      <c r="J11" s="54">
        <f>2112.682+0</f>
        <v>2112.6819999999998</v>
      </c>
      <c r="K11" s="54">
        <v>5043.8999999999996</v>
      </c>
      <c r="L11" s="54">
        <v>6712.5</v>
      </c>
      <c r="M11" s="54">
        <v>6348.5</v>
      </c>
      <c r="N11" s="54">
        <v>6023.2</v>
      </c>
      <c r="O11" s="54">
        <v>5393.3</v>
      </c>
      <c r="P11" s="54">
        <v>1817.2170000000001</v>
      </c>
      <c r="Q11" s="54">
        <v>1760.576</v>
      </c>
      <c r="R11" s="54">
        <v>1762.6969999999999</v>
      </c>
      <c r="S11" s="54">
        <v>1748.1659999999999</v>
      </c>
      <c r="T11" s="54">
        <v>1816.9570000000001</v>
      </c>
      <c r="U11" s="54">
        <v>2273.002</v>
      </c>
      <c r="V11" s="54">
        <v>-0.5</v>
      </c>
      <c r="W11" s="54">
        <v>0</v>
      </c>
      <c r="X11" s="1">
        <v>0</v>
      </c>
      <c r="Y11" s="1">
        <v>0</v>
      </c>
      <c r="Z11" s="1">
        <v>0</v>
      </c>
      <c r="AA11" s="1">
        <v>0</v>
      </c>
      <c r="AB11" s="1">
        <v>0</v>
      </c>
      <c r="AC11" s="1">
        <v>0</v>
      </c>
    </row>
    <row r="12" spans="1:29">
      <c r="A12" s="1" t="s">
        <v>5</v>
      </c>
      <c r="B12" s="54">
        <v>1238</v>
      </c>
      <c r="C12" s="54">
        <v>814</v>
      </c>
      <c r="D12" s="54">
        <v>525</v>
      </c>
      <c r="E12" s="54">
        <f>5942.554+7709.351</f>
        <v>13651.904999999999</v>
      </c>
      <c r="F12" s="42">
        <v>8978.2450000000008</v>
      </c>
      <c r="G12" s="54">
        <f>3912.8+4529.335</f>
        <v>8442.1350000000002</v>
      </c>
      <c r="H12" s="54">
        <f>5364.609+499.726</f>
        <v>5864.335</v>
      </c>
      <c r="I12" s="54">
        <v>2152.5079999999998</v>
      </c>
      <c r="J12" s="54">
        <f>8372.82+4769.854</f>
        <v>13142.673999999999</v>
      </c>
      <c r="K12" s="54">
        <v>18075.435000000001</v>
      </c>
      <c r="L12" s="54">
        <v>18187.612000000001</v>
      </c>
      <c r="M12" s="54">
        <v>18582.933000000001</v>
      </c>
      <c r="N12" s="54">
        <v>109050.485</v>
      </c>
      <c r="O12" s="54">
        <v>98795.854000000007</v>
      </c>
      <c r="P12" s="54">
        <v>103650.697</v>
      </c>
      <c r="Q12" s="54">
        <v>103778.083</v>
      </c>
      <c r="R12" s="54">
        <v>115962.749</v>
      </c>
      <c r="S12" s="54">
        <v>104332.14200000001</v>
      </c>
      <c r="T12" s="54">
        <v>109051.649</v>
      </c>
      <c r="U12" s="54">
        <v>23853.698</v>
      </c>
      <c r="V12" s="54">
        <v>9779.6200000000008</v>
      </c>
      <c r="W12" s="54">
        <v>5724.6869999999999</v>
      </c>
      <c r="X12" s="1">
        <v>8197.5210000000006</v>
      </c>
      <c r="Y12" s="1">
        <v>3929.9389999999999</v>
      </c>
      <c r="Z12" s="1">
        <v>1163.9929999999999</v>
      </c>
      <c r="AA12" s="1">
        <v>7721.94</v>
      </c>
      <c r="AB12" s="1">
        <v>2101.7739999999999</v>
      </c>
      <c r="AC12" s="1">
        <v>7150.9690000000001</v>
      </c>
    </row>
    <row r="13" spans="1:29">
      <c r="A13" s="1" t="s">
        <v>6</v>
      </c>
      <c r="B13" s="54">
        <v>0</v>
      </c>
      <c r="C13" s="54">
        <v>0</v>
      </c>
      <c r="D13" s="54">
        <v>0</v>
      </c>
      <c r="E13" s="54">
        <f>338.653+438.648</f>
        <v>777.30100000000004</v>
      </c>
      <c r="F13" s="42">
        <v>373.88400000000001</v>
      </c>
      <c r="G13" s="54">
        <f>122.768+202.422</f>
        <v>325.19</v>
      </c>
      <c r="H13" s="54">
        <v>-76.59</v>
      </c>
      <c r="I13" s="54">
        <v>11.865</v>
      </c>
      <c r="J13" s="54">
        <f>0.829+11</f>
        <v>11.829000000000001</v>
      </c>
      <c r="K13" s="54">
        <v>34.845999999999997</v>
      </c>
      <c r="L13" s="54">
        <v>0</v>
      </c>
      <c r="M13" s="54">
        <v>-0.91200000000000003</v>
      </c>
      <c r="N13" s="54">
        <v>52230.523999999998</v>
      </c>
      <c r="O13" s="54">
        <v>45432.839</v>
      </c>
      <c r="P13" s="54">
        <v>49508.962</v>
      </c>
      <c r="Q13" s="54">
        <v>52201.137999999999</v>
      </c>
      <c r="R13" s="54">
        <v>50620.498</v>
      </c>
      <c r="S13" s="54">
        <v>57352.839</v>
      </c>
      <c r="T13" s="54">
        <v>45596.322999999997</v>
      </c>
      <c r="U13" s="54">
        <v>11183.159</v>
      </c>
      <c r="V13" s="54">
        <v>37900.733999999997</v>
      </c>
      <c r="W13" s="54">
        <v>62772.805999999997</v>
      </c>
      <c r="X13" s="1">
        <v>59197.008999999998</v>
      </c>
      <c r="Y13" s="1">
        <v>22169.656999999999</v>
      </c>
      <c r="Z13" s="1">
        <v>19041.323</v>
      </c>
      <c r="AA13" s="1">
        <v>17747.503000000001</v>
      </c>
      <c r="AB13" s="1">
        <v>40000.084999999999</v>
      </c>
      <c r="AC13" s="1">
        <v>28185.359</v>
      </c>
    </row>
    <row r="14" spans="1:29">
      <c r="A14" s="1" t="s">
        <v>7</v>
      </c>
      <c r="B14" s="54">
        <v>2512</v>
      </c>
      <c r="C14" s="54">
        <v>2545</v>
      </c>
      <c r="D14" s="54">
        <v>2425</v>
      </c>
      <c r="E14" s="54">
        <f>6459.993+1081.77</f>
        <v>7541.7630000000008</v>
      </c>
      <c r="F14" s="42">
        <v>11006.013999999999</v>
      </c>
      <c r="G14" s="54">
        <f>11082.066+530.571</f>
        <v>11612.637000000001</v>
      </c>
      <c r="H14" s="54">
        <f>10920.766+1784.584</f>
        <v>12705.35</v>
      </c>
      <c r="I14" s="54">
        <v>12792.116</v>
      </c>
      <c r="J14" s="54">
        <f>10593.446+2291.408</f>
        <v>12884.853999999999</v>
      </c>
      <c r="K14" s="54">
        <v>12114.293</v>
      </c>
      <c r="L14" s="54">
        <v>21397.4</v>
      </c>
      <c r="M14" s="54">
        <v>16888.757000000001</v>
      </c>
      <c r="N14" s="54">
        <v>3023.9</v>
      </c>
      <c r="O14" s="54">
        <v>2335.2289999999998</v>
      </c>
      <c r="P14" s="54">
        <v>3191.4119999999998</v>
      </c>
      <c r="Q14" s="54">
        <v>17053.884999999998</v>
      </c>
      <c r="R14" s="54">
        <v>17228.654999999999</v>
      </c>
      <c r="S14" s="54">
        <v>22467.713</v>
      </c>
      <c r="T14" s="54">
        <v>6327.2920000000004</v>
      </c>
      <c r="U14" s="54">
        <v>741.77800000000002</v>
      </c>
      <c r="V14" s="54">
        <v>13126.022999999999</v>
      </c>
      <c r="W14" s="54">
        <v>4573.1970000000001</v>
      </c>
      <c r="X14" s="1">
        <v>588.09400000000005</v>
      </c>
      <c r="Y14" s="1">
        <v>1029.6959999999999</v>
      </c>
      <c r="Z14" s="1">
        <v>640.15099999999995</v>
      </c>
      <c r="AA14" s="1">
        <v>4001.1570000000002</v>
      </c>
      <c r="AB14" s="1">
        <v>31784.793000000001</v>
      </c>
      <c r="AC14" s="1">
        <v>18252.456999999999</v>
      </c>
    </row>
    <row r="15" spans="1:29">
      <c r="A15" s="1" t="s">
        <v>8</v>
      </c>
      <c r="B15" s="54">
        <v>405</v>
      </c>
      <c r="C15" s="54">
        <v>1431</v>
      </c>
      <c r="D15" s="54">
        <v>597</v>
      </c>
      <c r="E15" s="54">
        <f>326.013+(-12.443)</f>
        <v>313.57</v>
      </c>
      <c r="F15" s="42">
        <v>502.38</v>
      </c>
      <c r="G15" s="54">
        <f>792.042+110.346</f>
        <v>902.38800000000003</v>
      </c>
      <c r="H15" s="54">
        <f>381.576+-314.053</f>
        <v>67.523000000000025</v>
      </c>
      <c r="I15" s="54">
        <v>223.00700000000001</v>
      </c>
      <c r="J15" s="54">
        <f>322.084+529.1</f>
        <v>851.18399999999997</v>
      </c>
      <c r="K15" s="54">
        <v>157.21997999999957</v>
      </c>
      <c r="L15" s="54">
        <v>675.77200000000005</v>
      </c>
      <c r="M15" s="54">
        <v>-246.24199999999999</v>
      </c>
      <c r="N15" s="54">
        <v>10893.659</v>
      </c>
      <c r="O15" s="54">
        <v>14220.763000000001</v>
      </c>
      <c r="P15" s="54">
        <v>9901.3690000000006</v>
      </c>
      <c r="Q15" s="54">
        <v>16559.054</v>
      </c>
      <c r="R15" s="54">
        <v>25396.743999999999</v>
      </c>
      <c r="S15" s="54">
        <v>24326.008000000002</v>
      </c>
      <c r="T15" s="54">
        <v>28427.809000000001</v>
      </c>
      <c r="U15" s="54">
        <v>23139.749</v>
      </c>
      <c r="V15" s="54">
        <v>26942.688999999998</v>
      </c>
      <c r="W15" s="54">
        <v>18793.148000000001</v>
      </c>
      <c r="X15" s="1">
        <v>22335.455000000002</v>
      </c>
      <c r="Y15" s="1">
        <v>17228.692999999999</v>
      </c>
      <c r="Z15" s="1">
        <v>26586.726999999999</v>
      </c>
      <c r="AA15" s="1">
        <v>32161.132000000001</v>
      </c>
      <c r="AB15" s="1">
        <v>52393.13</v>
      </c>
      <c r="AC15" s="1">
        <v>44714.167999999998</v>
      </c>
    </row>
    <row r="16" spans="1:29">
      <c r="A16" s="1" t="s">
        <v>9</v>
      </c>
      <c r="B16" s="54">
        <v>402</v>
      </c>
      <c r="C16" s="54">
        <v>350</v>
      </c>
      <c r="D16" s="54">
        <f>1685</f>
        <v>1685</v>
      </c>
      <c r="E16" s="54">
        <f>1278.112+2085.061</f>
        <v>3363.1730000000002</v>
      </c>
      <c r="F16" s="42">
        <v>3003.6840000000002</v>
      </c>
      <c r="G16" s="54">
        <f>1058.373+2724.909</f>
        <v>3783.2820000000002</v>
      </c>
      <c r="H16" s="54">
        <f>779.353+1734.6</f>
        <v>2513.953</v>
      </c>
      <c r="I16" s="54">
        <v>4789.9399999999996</v>
      </c>
      <c r="J16" s="54">
        <f>7615.798+3695.246</f>
        <v>11311.044</v>
      </c>
      <c r="K16" s="54">
        <v>8257.6239999999998</v>
      </c>
      <c r="L16" s="54">
        <v>9956.9879999999994</v>
      </c>
      <c r="M16" s="54">
        <v>14223.716</v>
      </c>
      <c r="N16" s="54">
        <v>48147.906999999999</v>
      </c>
      <c r="O16" s="54">
        <v>71511.745999999999</v>
      </c>
      <c r="P16" s="54">
        <v>65345.874000000003</v>
      </c>
      <c r="Q16" s="54">
        <v>73469.31</v>
      </c>
      <c r="R16" s="54">
        <v>77039.752999999997</v>
      </c>
      <c r="S16" s="54">
        <v>86126.770999999993</v>
      </c>
      <c r="T16" s="54">
        <v>94294.789000000004</v>
      </c>
      <c r="U16" s="54">
        <v>99310.115999999995</v>
      </c>
      <c r="V16" s="54">
        <v>86484.479000000007</v>
      </c>
      <c r="W16" s="54">
        <v>116945.93700000001</v>
      </c>
      <c r="X16" s="1">
        <v>67190.042000000001</v>
      </c>
      <c r="Y16" s="1">
        <v>68206.910999999993</v>
      </c>
      <c r="Z16" s="1">
        <v>68637.764999999999</v>
      </c>
      <c r="AA16" s="1">
        <v>62414.446000000004</v>
      </c>
      <c r="AB16" s="1">
        <v>76720.684999999998</v>
      </c>
      <c r="AC16" s="1">
        <v>135741.139</v>
      </c>
    </row>
    <row r="17" spans="1:29">
      <c r="A17" s="1" t="s">
        <v>10</v>
      </c>
      <c r="B17" s="54">
        <v>585</v>
      </c>
      <c r="C17" s="54">
        <v>485</v>
      </c>
      <c r="D17" s="54">
        <v>447</v>
      </c>
      <c r="E17" s="54">
        <f>559.739+(-91.62)</f>
        <v>468.11900000000003</v>
      </c>
      <c r="F17" s="42">
        <v>-73.394000000000005</v>
      </c>
      <c r="G17" s="54">
        <f>645.19+-212.653</f>
        <v>432.53700000000003</v>
      </c>
      <c r="H17" s="54">
        <f>812.005+-8.899</f>
        <v>803.10599999999999</v>
      </c>
      <c r="I17" s="54">
        <v>1533.99</v>
      </c>
      <c r="J17" s="54">
        <f>1013.525+608.153</f>
        <v>1621.6779999999999</v>
      </c>
      <c r="K17" s="54">
        <v>1596.393</v>
      </c>
      <c r="L17" s="54">
        <v>2981.8049999999998</v>
      </c>
      <c r="M17" s="54">
        <v>5194.0969999999998</v>
      </c>
      <c r="N17" s="54">
        <v>5028.97</v>
      </c>
      <c r="O17" s="54">
        <v>39309.705000000002</v>
      </c>
      <c r="P17" s="54">
        <v>34582.891000000003</v>
      </c>
      <c r="Q17" s="54">
        <v>28676.917000000001</v>
      </c>
      <c r="R17" s="54">
        <v>43253.656000000003</v>
      </c>
      <c r="S17" s="54">
        <v>37206.936000000002</v>
      </c>
      <c r="T17" s="54">
        <v>47336.004000000001</v>
      </c>
      <c r="U17" s="54">
        <v>30723.553</v>
      </c>
      <c r="V17" s="54">
        <v>29920.483</v>
      </c>
      <c r="W17" s="54">
        <v>30580.36</v>
      </c>
      <c r="X17" s="1">
        <v>39974.046000000002</v>
      </c>
      <c r="Y17" s="1">
        <v>21573.543000000001</v>
      </c>
      <c r="Z17" s="1">
        <v>15654.842000000001</v>
      </c>
      <c r="AA17" s="1">
        <v>33493.165999999997</v>
      </c>
      <c r="AB17" s="1">
        <v>43924.989000000001</v>
      </c>
      <c r="AC17" s="1">
        <v>61451.942000000003</v>
      </c>
    </row>
    <row r="18" spans="1:29">
      <c r="A18" s="1" t="s">
        <v>11</v>
      </c>
      <c r="B18" s="54">
        <v>235</v>
      </c>
      <c r="C18" s="54">
        <v>389</v>
      </c>
      <c r="D18" s="54">
        <v>154</v>
      </c>
      <c r="E18" s="54">
        <f>202.459+727.701</f>
        <v>930.16000000000008</v>
      </c>
      <c r="F18" s="42">
        <v>1327.519</v>
      </c>
      <c r="G18" s="54">
        <f>331.216+463.688</f>
        <v>794.904</v>
      </c>
      <c r="H18" s="54">
        <f>361.938+1304.293</f>
        <v>1666.2309999999998</v>
      </c>
      <c r="I18" s="54">
        <v>1119.453</v>
      </c>
      <c r="J18" s="54">
        <f>44.601-62.957</f>
        <v>-18.356000000000002</v>
      </c>
      <c r="K18" s="54">
        <v>569.37800000000004</v>
      </c>
      <c r="L18" s="54">
        <v>3547.9009999999998</v>
      </c>
      <c r="M18" s="54">
        <v>1171.693</v>
      </c>
      <c r="N18" s="54">
        <v>50304.235999999997</v>
      </c>
      <c r="O18" s="54">
        <v>52829.254000000001</v>
      </c>
      <c r="P18" s="54">
        <v>60286.258999999998</v>
      </c>
      <c r="Q18" s="54">
        <v>63926.498</v>
      </c>
      <c r="R18" s="54">
        <v>67509.592999999993</v>
      </c>
      <c r="S18" s="54">
        <v>71655.785999999993</v>
      </c>
      <c r="T18" s="54">
        <v>76695.176999999996</v>
      </c>
      <c r="U18" s="54">
        <v>93572.438999999998</v>
      </c>
      <c r="V18" s="54">
        <v>72089.828999999998</v>
      </c>
      <c r="W18" s="54">
        <v>89351.967000000004</v>
      </c>
      <c r="X18" s="1">
        <v>84953.653000000006</v>
      </c>
      <c r="Y18" s="1">
        <v>68830.437999999995</v>
      </c>
      <c r="Z18" s="1">
        <v>71770.804999999993</v>
      </c>
      <c r="AA18" s="1">
        <v>81299.873999999996</v>
      </c>
      <c r="AB18" s="1">
        <v>151486.39600000001</v>
      </c>
      <c r="AC18" s="1">
        <v>206514.511</v>
      </c>
    </row>
    <row r="19" spans="1:29">
      <c r="A19" s="1" t="s">
        <v>12</v>
      </c>
      <c r="B19" s="54">
        <v>132</v>
      </c>
      <c r="C19" s="54">
        <v>183</v>
      </c>
      <c r="D19" s="54">
        <v>300</v>
      </c>
      <c r="E19" s="54">
        <f>280+126.136</f>
        <v>406.13599999999997</v>
      </c>
      <c r="F19" s="42">
        <v>3494.402</v>
      </c>
      <c r="G19" s="54">
        <f>664.728+-689.961</f>
        <v>-25.233000000000061</v>
      </c>
      <c r="H19" s="54">
        <f>400+528.806</f>
        <v>928.80600000000004</v>
      </c>
      <c r="I19" s="54">
        <v>7222.8980000000001</v>
      </c>
      <c r="J19" s="54">
        <f>1422.28+2666.451</f>
        <v>4088.7309999999998</v>
      </c>
      <c r="K19" s="54">
        <v>2166.0100000000002</v>
      </c>
      <c r="L19" s="54">
        <v>1403.586</v>
      </c>
      <c r="M19" s="54">
        <v>608.01599999999996</v>
      </c>
      <c r="N19" s="54">
        <v>40723.319000000003</v>
      </c>
      <c r="O19" s="54">
        <v>42017.576000000001</v>
      </c>
      <c r="P19" s="54">
        <v>37122.321000000004</v>
      </c>
      <c r="Q19" s="54">
        <v>36903.411999999997</v>
      </c>
      <c r="R19" s="54">
        <v>41930.205000000002</v>
      </c>
      <c r="S19" s="54">
        <v>55868.571000000004</v>
      </c>
      <c r="T19" s="54">
        <v>47385.281000000003</v>
      </c>
      <c r="U19" s="54">
        <v>39563.483</v>
      </c>
      <c r="V19" s="54">
        <v>37405.483</v>
      </c>
      <c r="W19" s="54">
        <v>23976.702000000001</v>
      </c>
      <c r="X19" s="1">
        <v>28016.35</v>
      </c>
      <c r="Y19" s="1">
        <v>21762.513999999999</v>
      </c>
      <c r="Z19" s="1">
        <v>16671.625</v>
      </c>
      <c r="AA19" s="1">
        <v>14128.264999999999</v>
      </c>
      <c r="AB19" s="1">
        <v>25784.066999999999</v>
      </c>
      <c r="AC19" s="1">
        <v>34275.885000000002</v>
      </c>
    </row>
    <row r="20" spans="1:29">
      <c r="A20" s="1" t="s">
        <v>13</v>
      </c>
      <c r="B20" s="54">
        <v>6116</v>
      </c>
      <c r="C20" s="54">
        <v>6809</v>
      </c>
      <c r="D20" s="54">
        <v>6728</v>
      </c>
      <c r="E20" s="54">
        <f>191.316+4741.661</f>
        <v>4932.9769999999999</v>
      </c>
      <c r="F20" s="42">
        <v>3651.5729999999999</v>
      </c>
      <c r="G20" s="54">
        <f>443.293+6057.137</f>
        <v>6500.4299999999994</v>
      </c>
      <c r="H20" s="54">
        <f>364.165+4107.011</f>
        <v>4471.1760000000004</v>
      </c>
      <c r="I20" s="54">
        <v>4618.6419999999998</v>
      </c>
      <c r="J20" s="54">
        <f>257.564+3109.686</f>
        <v>3367.25</v>
      </c>
      <c r="K20" s="54">
        <v>2970.3879999999999</v>
      </c>
      <c r="L20" s="54">
        <v>13695.723</v>
      </c>
      <c r="M20" s="54">
        <v>12811.581</v>
      </c>
      <c r="N20" s="54">
        <v>22507.348000000002</v>
      </c>
      <c r="O20" s="54">
        <v>23985.092000000001</v>
      </c>
      <c r="P20" s="54">
        <v>24207.645</v>
      </c>
      <c r="Q20" s="54">
        <v>27876.073</v>
      </c>
      <c r="R20" s="54">
        <v>31450.191999999999</v>
      </c>
      <c r="S20" s="54">
        <v>34434.900999999998</v>
      </c>
      <c r="T20" s="54">
        <v>38755.317000000003</v>
      </c>
      <c r="U20" s="54">
        <v>3064.9059999999999</v>
      </c>
      <c r="V20" s="54">
        <v>5005.5649999999996</v>
      </c>
      <c r="W20" s="54">
        <v>9628.8169999999991</v>
      </c>
      <c r="X20" s="1">
        <v>7763.1009999999997</v>
      </c>
      <c r="Y20" s="1">
        <v>7717.73</v>
      </c>
      <c r="Z20" s="1">
        <v>7490.8909999999996</v>
      </c>
      <c r="AA20" s="1">
        <v>6650.3869999999997</v>
      </c>
      <c r="AB20" s="1">
        <v>27564.846000000001</v>
      </c>
      <c r="AC20" s="1">
        <v>11188.691999999999</v>
      </c>
    </row>
    <row r="21" spans="1:29" s="11" customFormat="1">
      <c r="A21" s="1" t="s">
        <v>14</v>
      </c>
      <c r="B21" s="54">
        <v>744</v>
      </c>
      <c r="C21" s="54">
        <v>1648</v>
      </c>
      <c r="D21" s="54">
        <v>1253</v>
      </c>
      <c r="E21" s="54">
        <f>176.227+1303.666</f>
        <v>1479.893</v>
      </c>
      <c r="F21" s="42">
        <v>4239.3069999999998</v>
      </c>
      <c r="G21" s="54">
        <f>681.312+4159.12</f>
        <v>4840.4319999999998</v>
      </c>
      <c r="H21" s="54">
        <f>304.949+5315.623</f>
        <v>5620.5719999999992</v>
      </c>
      <c r="I21" s="54">
        <v>3747.2</v>
      </c>
      <c r="J21" s="54">
        <f>243.805+2925.87</f>
        <v>3169.6749999999997</v>
      </c>
      <c r="K21" s="54">
        <v>4220.4170000000004</v>
      </c>
      <c r="L21" s="54">
        <v>4924.6760000000004</v>
      </c>
      <c r="M21" s="54">
        <v>4149.2719999999999</v>
      </c>
      <c r="N21" s="54">
        <v>17160.91</v>
      </c>
      <c r="O21" s="54">
        <v>15959.583000000001</v>
      </c>
      <c r="P21" s="54">
        <v>17310.203000000001</v>
      </c>
      <c r="Q21" s="54">
        <v>17118.142</v>
      </c>
      <c r="R21" s="54">
        <v>19248.965</v>
      </c>
      <c r="S21" s="54">
        <v>21500.728999999999</v>
      </c>
      <c r="T21" s="54">
        <v>23219.870999999999</v>
      </c>
      <c r="U21" s="54">
        <v>16856.689999999999</v>
      </c>
      <c r="V21" s="54">
        <v>24243.734</v>
      </c>
      <c r="W21" s="54">
        <v>7410.451</v>
      </c>
      <c r="X21" s="1">
        <v>7268.3559999999998</v>
      </c>
      <c r="Y21" s="1">
        <v>8369.7309999999998</v>
      </c>
      <c r="Z21" s="1">
        <v>7546.4979999999996</v>
      </c>
      <c r="AA21" s="1">
        <v>7986.94</v>
      </c>
      <c r="AB21" s="1">
        <v>50818.928999999996</v>
      </c>
      <c r="AC21" s="1">
        <v>44409.697</v>
      </c>
    </row>
    <row r="22" spans="1:29">
      <c r="A22" s="1" t="s">
        <v>15</v>
      </c>
      <c r="B22" s="54">
        <v>12752</v>
      </c>
      <c r="C22" s="54">
        <v>23333</v>
      </c>
      <c r="D22" s="54">
        <v>23309</v>
      </c>
      <c r="E22" s="54">
        <f>21323.278+14918.64</f>
        <v>36241.917999999998</v>
      </c>
      <c r="F22" s="42">
        <v>53311.355000000003</v>
      </c>
      <c r="G22" s="54">
        <f>24602.099+23485.365+8269.299</f>
        <v>56356.762999999999</v>
      </c>
      <c r="H22" s="54">
        <f>25835.615+19913.206</f>
        <v>45748.820999999996</v>
      </c>
      <c r="I22" s="54">
        <v>52741.434999999998</v>
      </c>
      <c r="J22" s="54">
        <f>33103.125+20125.266</f>
        <v>53228.391000000003</v>
      </c>
      <c r="K22" s="54">
        <v>71078.055999999997</v>
      </c>
      <c r="L22" s="54">
        <v>89438.763000000006</v>
      </c>
      <c r="M22" s="54">
        <v>83234.274999999994</v>
      </c>
      <c r="N22" s="54">
        <v>211903.859</v>
      </c>
      <c r="O22" s="54">
        <v>173777.139</v>
      </c>
      <c r="P22" s="54">
        <v>196946.774</v>
      </c>
      <c r="Q22" s="54">
        <v>218157.07500000001</v>
      </c>
      <c r="R22" s="54">
        <v>212029.69899999999</v>
      </c>
      <c r="S22" s="54">
        <v>221881.88200000001</v>
      </c>
      <c r="T22" s="54">
        <v>237047.26</v>
      </c>
      <c r="U22" s="54">
        <v>288047.97700000001</v>
      </c>
      <c r="V22" s="54">
        <v>104997.54700000001</v>
      </c>
      <c r="W22" s="54">
        <v>107835.539</v>
      </c>
      <c r="X22" s="1">
        <v>108584.247</v>
      </c>
      <c r="Y22" s="1">
        <v>122552.285</v>
      </c>
      <c r="Z22" s="1">
        <v>89046.888000000006</v>
      </c>
      <c r="AA22" s="1">
        <v>114450.86199999999</v>
      </c>
      <c r="AB22" s="1">
        <v>199775.739</v>
      </c>
      <c r="AC22" s="1">
        <v>235557.899</v>
      </c>
    </row>
    <row r="23" spans="1:29">
      <c r="A23" s="1" t="s">
        <v>16</v>
      </c>
      <c r="B23" s="54">
        <v>9</v>
      </c>
      <c r="C23" s="54">
        <v>21</v>
      </c>
      <c r="D23" s="54">
        <v>0</v>
      </c>
      <c r="E23" s="54">
        <f>22.296+1608.396</f>
        <v>1630.692</v>
      </c>
      <c r="F23" s="42">
        <v>5202.6769999999997</v>
      </c>
      <c r="G23" s="54">
        <f>32.703+1352.209</f>
        <v>1384.912</v>
      </c>
      <c r="H23" s="54">
        <f>58.855+923.478</f>
        <v>982.33299999999997</v>
      </c>
      <c r="I23" s="54">
        <v>370.40899999999999</v>
      </c>
      <c r="J23" s="54">
        <f>210.047+280.929</f>
        <v>490.976</v>
      </c>
      <c r="K23" s="54">
        <v>1105.5609999999999</v>
      </c>
      <c r="L23" s="54">
        <v>2409.308</v>
      </c>
      <c r="M23" s="54">
        <v>1498.106</v>
      </c>
      <c r="N23" s="54">
        <v>5032.3770000000004</v>
      </c>
      <c r="O23" s="54">
        <v>3387.665</v>
      </c>
      <c r="P23" s="54">
        <v>2720.8470000000002</v>
      </c>
      <c r="Q23" s="54">
        <v>3081.0070000000001</v>
      </c>
      <c r="R23" s="54">
        <v>3466.087</v>
      </c>
      <c r="S23" s="54">
        <v>3327.2379999999998</v>
      </c>
      <c r="T23" s="54">
        <v>7552.8819999999996</v>
      </c>
      <c r="U23" s="54">
        <v>2959.404</v>
      </c>
      <c r="V23" s="54">
        <v>1596.3720000000001</v>
      </c>
      <c r="W23" s="54">
        <v>4414.8720000000003</v>
      </c>
      <c r="X23" s="1">
        <v>1472.5360000000001</v>
      </c>
      <c r="Y23" s="1">
        <v>2101.741</v>
      </c>
      <c r="Z23" s="1">
        <v>1740.1890000000001</v>
      </c>
      <c r="AA23" s="1">
        <v>5531.4350000000004</v>
      </c>
      <c r="AB23" s="1">
        <v>5695.5280000000002</v>
      </c>
      <c r="AC23" s="1">
        <v>5392.1009999999997</v>
      </c>
    </row>
    <row r="24" spans="1:29">
      <c r="A24" s="24" t="s">
        <v>17</v>
      </c>
      <c r="B24" s="55">
        <v>0</v>
      </c>
      <c r="C24" s="55">
        <v>0</v>
      </c>
      <c r="D24" s="55">
        <v>0</v>
      </c>
      <c r="E24" s="55">
        <f>212+0+0</f>
        <v>212</v>
      </c>
      <c r="F24" s="45">
        <v>470</v>
      </c>
      <c r="G24" s="55">
        <f>437+227</f>
        <v>664</v>
      </c>
      <c r="H24" s="55">
        <f>502.252+379.626</f>
        <v>881.87799999999993</v>
      </c>
      <c r="I24" s="55">
        <v>394.79199999999997</v>
      </c>
      <c r="J24" s="55">
        <f>447.533-672.422</f>
        <v>-224.88900000000001</v>
      </c>
      <c r="K24" s="55">
        <v>927.61723999999856</v>
      </c>
      <c r="L24" s="55">
        <v>1140.365</v>
      </c>
      <c r="M24" s="55">
        <v>779.52800000000002</v>
      </c>
      <c r="N24" s="55">
        <v>1884.7719999999999</v>
      </c>
      <c r="O24" s="55">
        <v>1902.5650000000001</v>
      </c>
      <c r="P24" s="55">
        <v>1752.9570000000001</v>
      </c>
      <c r="Q24" s="55">
        <v>8989.3240000000005</v>
      </c>
      <c r="R24" s="55">
        <v>6817.6530000000002</v>
      </c>
      <c r="S24" s="55">
        <v>7420.9139999999998</v>
      </c>
      <c r="T24" s="55">
        <v>8093.7110000000002</v>
      </c>
      <c r="U24" s="55">
        <v>7478.7920000000004</v>
      </c>
      <c r="V24" s="55">
        <v>8522.4860000000008</v>
      </c>
      <c r="W24" s="55">
        <v>8966.0310000000009</v>
      </c>
      <c r="X24" s="24">
        <v>13925.972</v>
      </c>
      <c r="Y24" s="24">
        <v>12131.779</v>
      </c>
      <c r="Z24" s="24">
        <v>15791.117</v>
      </c>
      <c r="AA24" s="24">
        <v>10978.880999999999</v>
      </c>
      <c r="AB24" s="24">
        <v>18221.569</v>
      </c>
      <c r="AC24" s="24">
        <v>15876.31</v>
      </c>
    </row>
    <row r="25" spans="1:29">
      <c r="A25" s="7" t="s">
        <v>120</v>
      </c>
      <c r="B25" s="91">
        <f>SUM(B27:B39)</f>
        <v>0</v>
      </c>
      <c r="C25" s="91">
        <f t="shared" ref="C25:AC25" si="10">SUM(C27:C39)</f>
        <v>0</v>
      </c>
      <c r="D25" s="91">
        <f t="shared" si="10"/>
        <v>0</v>
      </c>
      <c r="E25" s="91">
        <f t="shared" si="10"/>
        <v>0</v>
      </c>
      <c r="F25" s="91">
        <f t="shared" si="10"/>
        <v>84990.706000000006</v>
      </c>
      <c r="G25" s="91">
        <f t="shared" si="10"/>
        <v>0</v>
      </c>
      <c r="H25" s="91">
        <f t="shared" si="10"/>
        <v>0</v>
      </c>
      <c r="I25" s="91">
        <f t="shared" si="10"/>
        <v>108695.643</v>
      </c>
      <c r="J25" s="91">
        <f t="shared" si="10"/>
        <v>0</v>
      </c>
      <c r="K25" s="91">
        <f t="shared" si="10"/>
        <v>154590.81818</v>
      </c>
      <c r="L25" s="91">
        <f t="shared" si="10"/>
        <v>182078.89299999998</v>
      </c>
      <c r="M25" s="91">
        <f t="shared" si="10"/>
        <v>195725.80200000003</v>
      </c>
      <c r="N25" s="91">
        <f t="shared" si="10"/>
        <v>308106.72399999999</v>
      </c>
      <c r="O25" s="91">
        <f t="shared" si="10"/>
        <v>528574.30599999998</v>
      </c>
      <c r="P25" s="91">
        <f t="shared" si="10"/>
        <v>737469.54200000002</v>
      </c>
      <c r="Q25" s="91">
        <f t="shared" si="10"/>
        <v>1035830.3969999998</v>
      </c>
      <c r="R25" s="91">
        <f t="shared" si="10"/>
        <v>1055244.851</v>
      </c>
      <c r="S25" s="91">
        <f t="shared" si="10"/>
        <v>1292765.2829999998</v>
      </c>
      <c r="T25" s="91">
        <f t="shared" si="10"/>
        <v>1418275.6779999998</v>
      </c>
      <c r="U25" s="91">
        <f t="shared" si="10"/>
        <v>1657640.0750000004</v>
      </c>
      <c r="V25" s="91">
        <f t="shared" si="10"/>
        <v>959492.84299999988</v>
      </c>
      <c r="W25" s="91">
        <f t="shared" si="10"/>
        <v>1158966.9730000005</v>
      </c>
      <c r="X25" s="91">
        <f t="shared" si="10"/>
        <v>1129305.223</v>
      </c>
      <c r="Y25" s="91">
        <f t="shared" si="10"/>
        <v>757581.12700000021</v>
      </c>
      <c r="Z25" s="91">
        <f t="shared" si="10"/>
        <v>763390.15099999984</v>
      </c>
      <c r="AA25" s="91">
        <f t="shared" si="10"/>
        <v>777702.71100000001</v>
      </c>
      <c r="AB25" s="91">
        <f t="shared" si="10"/>
        <v>1596977.0979999998</v>
      </c>
      <c r="AC25" s="91">
        <f t="shared" si="10"/>
        <v>1690915.024</v>
      </c>
    </row>
    <row r="26" spans="1:29">
      <c r="A26" s="7" t="s">
        <v>119</v>
      </c>
      <c r="B26" s="54"/>
      <c r="C26" s="54"/>
      <c r="D26" s="54"/>
      <c r="E26" s="54"/>
      <c r="F26" s="54"/>
      <c r="G26" s="54"/>
      <c r="H26" s="54"/>
      <c r="I26" s="54"/>
      <c r="J26" s="54"/>
      <c r="K26" s="54"/>
      <c r="L26" s="54"/>
      <c r="M26" s="54"/>
      <c r="N26" s="54"/>
      <c r="O26" s="54"/>
      <c r="P26" s="54"/>
      <c r="Q26" s="54"/>
      <c r="R26" s="54"/>
      <c r="S26" s="54"/>
      <c r="T26" s="54"/>
      <c r="U26" s="54"/>
      <c r="V26" s="54"/>
      <c r="W26" s="54"/>
      <c r="X26" s="1">
        <v>0</v>
      </c>
      <c r="Y26" s="1">
        <v>0</v>
      </c>
      <c r="AB26" s="1">
        <v>0</v>
      </c>
      <c r="AC26" s="1">
        <v>0</v>
      </c>
    </row>
    <row r="27" spans="1:29">
      <c r="A27" s="1" t="s">
        <v>85</v>
      </c>
      <c r="B27" s="54"/>
      <c r="C27" s="54"/>
      <c r="D27" s="54"/>
      <c r="E27" s="54"/>
      <c r="F27" s="42">
        <v>30.266999999999999</v>
      </c>
      <c r="G27" s="54"/>
      <c r="H27" s="54"/>
      <c r="I27" s="54">
        <v>0</v>
      </c>
      <c r="J27" s="54"/>
      <c r="K27" s="54">
        <v>29.373000000000001</v>
      </c>
      <c r="L27" s="54">
        <v>132.113</v>
      </c>
      <c r="M27" s="54">
        <v>-11.156000000000001</v>
      </c>
      <c r="N27" s="54">
        <v>572.99800000000005</v>
      </c>
      <c r="O27" s="54">
        <v>723.197</v>
      </c>
      <c r="P27" s="54">
        <v>729.94299999999998</v>
      </c>
      <c r="Q27" s="54">
        <v>494.79500000000002</v>
      </c>
      <c r="R27" s="54">
        <v>1985.6790000000001</v>
      </c>
      <c r="S27" s="54">
        <v>550.01</v>
      </c>
      <c r="T27" s="54">
        <v>945.02800000000002</v>
      </c>
      <c r="U27" s="54">
        <v>156.48599999999999</v>
      </c>
      <c r="V27" s="54">
        <v>725.58600000000001</v>
      </c>
      <c r="W27" s="54">
        <v>150.328</v>
      </c>
      <c r="X27" s="1">
        <v>2428.2979999999998</v>
      </c>
      <c r="Y27" s="1">
        <v>48.192999999999998</v>
      </c>
      <c r="AB27" s="1">
        <v>671.38900000000001</v>
      </c>
      <c r="AC27" s="1">
        <v>805.20699999999999</v>
      </c>
    </row>
    <row r="28" spans="1:29">
      <c r="A28" s="1" t="s">
        <v>86</v>
      </c>
      <c r="B28" s="54"/>
      <c r="C28" s="54"/>
      <c r="D28" s="54"/>
      <c r="E28" s="54"/>
      <c r="F28" s="42">
        <v>4784.7929999999997</v>
      </c>
      <c r="G28" s="54"/>
      <c r="H28" s="54"/>
      <c r="I28" s="54">
        <v>7949.9110000000001</v>
      </c>
      <c r="J28" s="54"/>
      <c r="K28" s="54">
        <v>19957.75561</v>
      </c>
      <c r="L28" s="54">
        <v>22694.794999999998</v>
      </c>
      <c r="M28" s="54">
        <v>19338.370999999999</v>
      </c>
      <c r="N28" s="54">
        <v>31930.983</v>
      </c>
      <c r="O28" s="54">
        <v>62320.974999999999</v>
      </c>
      <c r="P28" s="54">
        <v>52873.139000000003</v>
      </c>
      <c r="Q28" s="54">
        <v>58803.326999999997</v>
      </c>
      <c r="R28" s="54">
        <v>56788.618000000002</v>
      </c>
      <c r="S28" s="54">
        <v>66809.394</v>
      </c>
      <c r="T28" s="54">
        <v>34985.445</v>
      </c>
      <c r="U28" s="54">
        <v>25559.316999999999</v>
      </c>
      <c r="V28" s="54">
        <v>10104.918</v>
      </c>
      <c r="W28" s="54">
        <v>2310.2130000000002</v>
      </c>
      <c r="X28" s="1">
        <v>8883.0450000000001</v>
      </c>
      <c r="Y28" s="1">
        <v>751.899</v>
      </c>
      <c r="Z28" s="1">
        <v>3114.22</v>
      </c>
      <c r="AA28" s="1">
        <v>6764.2120000000004</v>
      </c>
      <c r="AB28" s="1">
        <v>28684.493999999999</v>
      </c>
      <c r="AC28" s="1">
        <v>21835.993999999999</v>
      </c>
    </row>
    <row r="29" spans="1:29">
      <c r="A29" s="1" t="s">
        <v>87</v>
      </c>
      <c r="B29" s="54"/>
      <c r="C29" s="54"/>
      <c r="D29" s="54"/>
      <c r="E29" s="54"/>
      <c r="F29" s="42">
        <v>44219.936000000002</v>
      </c>
      <c r="G29" s="54"/>
      <c r="H29" s="54"/>
      <c r="I29" s="54">
        <v>54452.105000000003</v>
      </c>
      <c r="J29" s="54"/>
      <c r="K29" s="54">
        <v>74917.615319999997</v>
      </c>
      <c r="L29" s="54">
        <v>103527.367</v>
      </c>
      <c r="M29" s="54">
        <v>125703.632</v>
      </c>
      <c r="N29" s="54">
        <v>145356.89799999999</v>
      </c>
      <c r="O29" s="54">
        <v>306439.18300000002</v>
      </c>
      <c r="P29" s="54">
        <v>367465.94799999997</v>
      </c>
      <c r="Q29" s="54">
        <v>641489.87899999996</v>
      </c>
      <c r="R29" s="54">
        <v>676544.08100000001</v>
      </c>
      <c r="S29" s="54">
        <v>908718.81599999999</v>
      </c>
      <c r="T29" s="54">
        <v>1021134.916</v>
      </c>
      <c r="U29" s="54">
        <v>1163119.827</v>
      </c>
      <c r="V29" s="54">
        <v>710922.62300000002</v>
      </c>
      <c r="W29" s="54">
        <v>863891.91899999999</v>
      </c>
      <c r="X29" s="1">
        <v>790409</v>
      </c>
      <c r="Y29" s="1">
        <v>519348.647</v>
      </c>
      <c r="Z29" s="1">
        <v>568951.70200000005</v>
      </c>
      <c r="AA29" s="1">
        <v>628067.86699999997</v>
      </c>
      <c r="AB29" s="1">
        <v>1048542.178</v>
      </c>
      <c r="AC29" s="1">
        <v>1206074.0730000001</v>
      </c>
    </row>
    <row r="30" spans="1:29">
      <c r="A30" s="1" t="s">
        <v>88</v>
      </c>
      <c r="B30" s="54"/>
      <c r="C30" s="54"/>
      <c r="D30" s="54"/>
      <c r="E30" s="54"/>
      <c r="F30" s="42">
        <v>4238.442</v>
      </c>
      <c r="G30" s="54"/>
      <c r="H30" s="54"/>
      <c r="I30" s="54">
        <v>8792.0010000000002</v>
      </c>
      <c r="J30" s="54"/>
      <c r="K30" s="54">
        <v>7434.8370000000004</v>
      </c>
      <c r="L30" s="54">
        <v>6233.357</v>
      </c>
      <c r="M30" s="54">
        <v>5731.6580000000004</v>
      </c>
      <c r="N30" s="54">
        <v>31679.432000000001</v>
      </c>
      <c r="O30" s="54">
        <v>22756.431</v>
      </c>
      <c r="P30" s="54">
        <v>21786.945</v>
      </c>
      <c r="Q30" s="54">
        <v>31014.530999999999</v>
      </c>
      <c r="R30" s="54">
        <v>42529.305</v>
      </c>
      <c r="S30" s="54">
        <v>40613.855000000003</v>
      </c>
      <c r="T30" s="54">
        <v>48495.6</v>
      </c>
      <c r="U30" s="54">
        <v>43461.745999999999</v>
      </c>
      <c r="V30" s="54">
        <v>40913.881999999998</v>
      </c>
      <c r="W30" s="54">
        <v>39863.451999999997</v>
      </c>
      <c r="X30" s="1">
        <v>37953.103000000003</v>
      </c>
      <c r="Y30" s="1">
        <v>13340.097</v>
      </c>
      <c r="Z30" s="1">
        <v>11198.661</v>
      </c>
      <c r="AA30" s="1">
        <v>21844.18</v>
      </c>
      <c r="AB30" s="1">
        <v>83790.391000000003</v>
      </c>
      <c r="AC30" s="1">
        <v>90349.524000000005</v>
      </c>
    </row>
    <row r="31" spans="1:29">
      <c r="A31" s="1" t="s">
        <v>91</v>
      </c>
      <c r="B31" s="54"/>
      <c r="C31" s="54"/>
      <c r="D31" s="54"/>
      <c r="E31" s="54"/>
      <c r="F31" s="42">
        <v>111.339</v>
      </c>
      <c r="G31" s="54"/>
      <c r="H31" s="54"/>
      <c r="I31" s="54">
        <v>87.316999999999993</v>
      </c>
      <c r="J31" s="54"/>
      <c r="K31" s="54">
        <v>82.820999999999998</v>
      </c>
      <c r="L31" s="54">
        <v>26.884</v>
      </c>
      <c r="M31" s="54">
        <v>110.145</v>
      </c>
      <c r="N31" s="54">
        <v>14168.284</v>
      </c>
      <c r="O31" s="54">
        <v>13524.807000000001</v>
      </c>
      <c r="P31" s="54">
        <v>12006.495999999999</v>
      </c>
      <c r="Q31" s="54">
        <v>12513.347</v>
      </c>
      <c r="R31" s="54">
        <v>10742.573</v>
      </c>
      <c r="S31" s="54">
        <v>11405.29</v>
      </c>
      <c r="T31" s="54">
        <v>12840.769</v>
      </c>
      <c r="U31" s="54">
        <v>23127.55</v>
      </c>
      <c r="V31" s="54">
        <v>-4177.4709999999995</v>
      </c>
      <c r="W31" s="54">
        <v>4635.7290000000003</v>
      </c>
      <c r="X31" s="1">
        <v>4594.8999999999996</v>
      </c>
      <c r="Y31" s="1">
        <v>6636.1819999999998</v>
      </c>
      <c r="Z31" s="1">
        <v>797.428</v>
      </c>
      <c r="AA31" s="1">
        <v>276.666</v>
      </c>
      <c r="AB31" s="1">
        <v>92947.31</v>
      </c>
      <c r="AC31" s="1">
        <v>32116.666000000001</v>
      </c>
    </row>
    <row r="32" spans="1:29">
      <c r="A32" s="1" t="s">
        <v>92</v>
      </c>
      <c r="B32" s="54"/>
      <c r="C32" s="54"/>
      <c r="D32" s="54"/>
      <c r="E32" s="54"/>
      <c r="F32" s="42">
        <v>436.11200000000002</v>
      </c>
      <c r="G32" s="54"/>
      <c r="H32" s="54"/>
      <c r="I32" s="54">
        <v>632.99199999999996</v>
      </c>
      <c r="J32" s="54"/>
      <c r="K32" s="54">
        <v>752.846</v>
      </c>
      <c r="L32" s="54">
        <v>830.005</v>
      </c>
      <c r="M32" s="54">
        <v>804.24099999999999</v>
      </c>
      <c r="N32" s="54">
        <v>2153.739</v>
      </c>
      <c r="O32" s="54">
        <v>4847.2049999999999</v>
      </c>
      <c r="P32" s="54">
        <v>19580.038</v>
      </c>
      <c r="Q32" s="54">
        <v>19598.302</v>
      </c>
      <c r="R32" s="54">
        <v>18888.120999999999</v>
      </c>
      <c r="S32" s="54">
        <v>16633.064999999999</v>
      </c>
      <c r="T32" s="54">
        <v>18363.781999999999</v>
      </c>
      <c r="U32" s="54">
        <v>22076.814999999999</v>
      </c>
      <c r="V32" s="54">
        <v>50235.760999999999</v>
      </c>
      <c r="W32" s="54">
        <v>77676.925000000003</v>
      </c>
      <c r="X32" s="1">
        <v>91742.884999999995</v>
      </c>
      <c r="Y32" s="1">
        <v>24334.116000000002</v>
      </c>
      <c r="Z32" s="1">
        <v>15328.365</v>
      </c>
      <c r="AA32" s="1">
        <v>3868.1660000000002</v>
      </c>
      <c r="AB32" s="1">
        <v>14695.915999999999</v>
      </c>
      <c r="AC32" s="1">
        <v>19197.902999999998</v>
      </c>
    </row>
    <row r="33" spans="1:29">
      <c r="A33" s="1" t="s">
        <v>100</v>
      </c>
      <c r="B33" s="54"/>
      <c r="C33" s="54"/>
      <c r="D33" s="54"/>
      <c r="E33" s="54"/>
      <c r="F33" s="42">
        <v>50.76</v>
      </c>
      <c r="G33" s="54"/>
      <c r="H33" s="54"/>
      <c r="I33" s="54">
        <v>165.989</v>
      </c>
      <c r="J33" s="54"/>
      <c r="K33" s="54">
        <v>440.03500000000003</v>
      </c>
      <c r="L33" s="54">
        <v>248.16</v>
      </c>
      <c r="M33" s="54">
        <v>323.79500000000002</v>
      </c>
      <c r="N33" s="54">
        <v>1662.2270000000001</v>
      </c>
      <c r="O33" s="54">
        <v>2735.4749999999999</v>
      </c>
      <c r="P33" s="54">
        <v>8262.7559999999994</v>
      </c>
      <c r="Q33" s="54">
        <v>7777.0460000000003</v>
      </c>
      <c r="R33" s="54">
        <v>10395.99</v>
      </c>
      <c r="S33" s="54">
        <v>6196.125</v>
      </c>
      <c r="T33" s="54">
        <v>8796.1260000000002</v>
      </c>
      <c r="U33" s="54">
        <v>11151.267</v>
      </c>
      <c r="V33" s="54">
        <v>14396.708000000001</v>
      </c>
      <c r="W33" s="54">
        <v>12597.147999999999</v>
      </c>
      <c r="X33" s="1">
        <v>12812.593999999999</v>
      </c>
      <c r="Y33" s="1">
        <v>13714.772000000001</v>
      </c>
      <c r="Z33" s="1">
        <v>13516.036</v>
      </c>
      <c r="AA33" s="1">
        <v>9568.384</v>
      </c>
      <c r="AB33" s="1">
        <v>11615.433999999999</v>
      </c>
      <c r="AC33" s="1">
        <v>12647.55</v>
      </c>
    </row>
    <row r="34" spans="1:29">
      <c r="A34" s="1" t="s">
        <v>102</v>
      </c>
      <c r="B34" s="54"/>
      <c r="C34" s="54"/>
      <c r="D34" s="54"/>
      <c r="E34" s="54"/>
      <c r="F34" s="42">
        <v>-334.029</v>
      </c>
      <c r="G34" s="54"/>
      <c r="H34" s="54"/>
      <c r="I34" s="54">
        <v>68.975999999999999</v>
      </c>
      <c r="J34" s="54"/>
      <c r="K34" s="54">
        <v>124</v>
      </c>
      <c r="L34" s="54">
        <v>75</v>
      </c>
      <c r="M34" s="54">
        <v>-1515</v>
      </c>
      <c r="N34" s="54">
        <v>11758</v>
      </c>
      <c r="O34" s="54">
        <v>12312</v>
      </c>
      <c r="P34" s="54">
        <v>4692</v>
      </c>
      <c r="Q34" s="54">
        <v>4798</v>
      </c>
      <c r="R34" s="54">
        <v>4674.7749999999996</v>
      </c>
      <c r="S34" s="54">
        <v>3667</v>
      </c>
      <c r="T34" s="54">
        <v>3540</v>
      </c>
      <c r="U34" s="54">
        <v>18553</v>
      </c>
      <c r="V34" s="54">
        <v>12932.409</v>
      </c>
      <c r="W34" s="54">
        <v>11291</v>
      </c>
      <c r="X34" s="1">
        <v>4603</v>
      </c>
      <c r="Y34" s="1">
        <v>8305</v>
      </c>
      <c r="Z34" s="1">
        <v>8205</v>
      </c>
      <c r="AA34" s="1">
        <v>5422</v>
      </c>
      <c r="AB34" s="1">
        <v>18130</v>
      </c>
      <c r="AC34" s="1">
        <v>14986</v>
      </c>
    </row>
    <row r="35" spans="1:29">
      <c r="A35" s="1" t="s">
        <v>105</v>
      </c>
      <c r="B35" s="54"/>
      <c r="C35" s="54"/>
      <c r="D35" s="54"/>
      <c r="E35" s="54"/>
      <c r="F35" s="42">
        <v>7066.3450000000003</v>
      </c>
      <c r="G35" s="54"/>
      <c r="H35" s="54"/>
      <c r="I35" s="54">
        <v>15192.86</v>
      </c>
      <c r="J35" s="54"/>
      <c r="K35" s="54">
        <v>21483.32199</v>
      </c>
      <c r="L35" s="54">
        <v>17526.962</v>
      </c>
      <c r="M35" s="54">
        <v>18274.962</v>
      </c>
      <c r="N35" s="54">
        <v>23697.241000000002</v>
      </c>
      <c r="O35" s="54">
        <v>32286.242999999999</v>
      </c>
      <c r="P35" s="54">
        <v>35491.466999999997</v>
      </c>
      <c r="Q35" s="54">
        <v>39314.101000000002</v>
      </c>
      <c r="R35" s="54">
        <v>41492.544999999998</v>
      </c>
      <c r="S35" s="54">
        <v>44721.561999999998</v>
      </c>
      <c r="T35" s="54">
        <v>56137.786999999997</v>
      </c>
      <c r="U35" s="54">
        <v>41416.572999999997</v>
      </c>
      <c r="V35" s="54">
        <v>37417.915999999997</v>
      </c>
      <c r="W35" s="54">
        <v>40979.832999999999</v>
      </c>
      <c r="X35" s="1">
        <v>34016.332000000002</v>
      </c>
      <c r="Y35" s="1">
        <v>33212.599000000002</v>
      </c>
      <c r="Z35" s="1">
        <v>17874.466</v>
      </c>
      <c r="AA35" s="1">
        <v>12637.404</v>
      </c>
      <c r="AB35" s="1">
        <v>40454.531000000003</v>
      </c>
      <c r="AC35" s="1">
        <v>38911.775999999998</v>
      </c>
    </row>
    <row r="36" spans="1:29">
      <c r="A36" s="1" t="s">
        <v>109</v>
      </c>
      <c r="B36" s="54"/>
      <c r="C36" s="54"/>
      <c r="D36" s="54"/>
      <c r="E36" s="54"/>
      <c r="F36" s="42">
        <v>21525.171999999999</v>
      </c>
      <c r="G36" s="54"/>
      <c r="H36" s="54"/>
      <c r="I36" s="54">
        <v>17073.142</v>
      </c>
      <c r="J36" s="54"/>
      <c r="K36" s="54">
        <v>23271.983199999999</v>
      </c>
      <c r="L36" s="54">
        <v>25247.391</v>
      </c>
      <c r="M36" s="54">
        <v>20841.384999999998</v>
      </c>
      <c r="N36" s="54">
        <v>31627.851999999999</v>
      </c>
      <c r="O36" s="54">
        <v>43707.233999999997</v>
      </c>
      <c r="P36" s="54">
        <v>52969.358</v>
      </c>
      <c r="Q36" s="54">
        <v>59716.097000000002</v>
      </c>
      <c r="R36" s="54">
        <v>70680.135999999999</v>
      </c>
      <c r="S36" s="54">
        <v>71965.426999999996</v>
      </c>
      <c r="T36" s="54">
        <v>76648.001000000004</v>
      </c>
      <c r="U36" s="54">
        <v>171138.959</v>
      </c>
      <c r="V36" s="54">
        <v>32093.665000000001</v>
      </c>
      <c r="W36" s="54">
        <v>39065.082999999999</v>
      </c>
      <c r="X36" s="1">
        <v>54453.514000000003</v>
      </c>
      <c r="Y36" s="1">
        <v>63449.209000000003</v>
      </c>
      <c r="Z36" s="1">
        <v>52596.817999999999</v>
      </c>
      <c r="AA36" s="1">
        <v>19841.911</v>
      </c>
      <c r="AB36" s="1">
        <v>147507.38099999999</v>
      </c>
      <c r="AC36" s="1">
        <v>91225.948000000004</v>
      </c>
    </row>
    <row r="37" spans="1:29">
      <c r="A37" s="1" t="s">
        <v>113</v>
      </c>
      <c r="B37" s="54"/>
      <c r="C37" s="54"/>
      <c r="D37" s="54"/>
      <c r="E37" s="54"/>
      <c r="F37" s="42">
        <v>1942.069</v>
      </c>
      <c r="G37" s="54"/>
      <c r="H37" s="54"/>
      <c r="I37" s="54">
        <v>4106.2709999999997</v>
      </c>
      <c r="J37" s="54"/>
      <c r="K37" s="54">
        <v>5422.3339999999998</v>
      </c>
      <c r="L37" s="54">
        <v>3747.6210000000001</v>
      </c>
      <c r="M37" s="54">
        <v>3949.3150000000001</v>
      </c>
      <c r="N37" s="54">
        <v>10618.254000000001</v>
      </c>
      <c r="O37" s="54">
        <v>12002.011</v>
      </c>
      <c r="P37" s="54">
        <v>18364.153999999999</v>
      </c>
      <c r="Q37" s="54">
        <v>20026.780999999999</v>
      </c>
      <c r="R37" s="54">
        <v>22680.016</v>
      </c>
      <c r="S37" s="54">
        <v>20141.239000000001</v>
      </c>
      <c r="T37" s="54">
        <v>20677.371999999999</v>
      </c>
      <c r="U37" s="54">
        <v>16725.972000000002</v>
      </c>
      <c r="V37" s="54">
        <v>3849.3609999999999</v>
      </c>
      <c r="W37" s="54">
        <v>4898.5550000000003</v>
      </c>
      <c r="X37" s="1">
        <v>62.718000000000004</v>
      </c>
      <c r="Y37" s="1">
        <v>2E-3</v>
      </c>
      <c r="Z37" s="1">
        <v>10410.584999999999</v>
      </c>
      <c r="AA37" s="1">
        <v>12005.291999999999</v>
      </c>
      <c r="AB37" s="1">
        <v>0</v>
      </c>
      <c r="AC37" s="1">
        <v>0</v>
      </c>
    </row>
    <row r="38" spans="1:29">
      <c r="A38" s="1" t="s">
        <v>115</v>
      </c>
      <c r="B38" s="54"/>
      <c r="C38" s="54"/>
      <c r="D38" s="54"/>
      <c r="E38" s="54"/>
      <c r="F38" s="42">
        <v>749.36800000000005</v>
      </c>
      <c r="G38" s="54"/>
      <c r="H38" s="54"/>
      <c r="I38" s="54">
        <v>55.25</v>
      </c>
      <c r="J38" s="54"/>
      <c r="K38" s="54">
        <v>623.15606000000082</v>
      </c>
      <c r="L38" s="54">
        <v>895.50099999999998</v>
      </c>
      <c r="M38" s="54">
        <v>1194.511</v>
      </c>
      <c r="N38" s="54">
        <v>2057.1289999999999</v>
      </c>
      <c r="O38" s="54">
        <v>4326.0169999999998</v>
      </c>
      <c r="P38" s="54">
        <v>130925.295</v>
      </c>
      <c r="Q38" s="54">
        <v>128054.889</v>
      </c>
      <c r="R38" s="54">
        <v>84613.014999999999</v>
      </c>
      <c r="S38" s="54">
        <v>83446.320999999996</v>
      </c>
      <c r="T38" s="54">
        <v>94614.561000000002</v>
      </c>
      <c r="U38" s="54">
        <v>97688.426000000007</v>
      </c>
      <c r="V38" s="54">
        <v>32101.082999999999</v>
      </c>
      <c r="W38" s="54">
        <v>41673.241999999998</v>
      </c>
      <c r="X38" s="1">
        <v>63249.637999999999</v>
      </c>
      <c r="Y38" s="1">
        <v>50724.285000000003</v>
      </c>
      <c r="Z38" s="1">
        <v>41690.160000000003</v>
      </c>
      <c r="AA38" s="1">
        <v>30695.924999999999</v>
      </c>
      <c r="AB38" s="1">
        <v>66333.744999999995</v>
      </c>
      <c r="AC38" s="1">
        <v>117567.105</v>
      </c>
    </row>
    <row r="39" spans="1:29">
      <c r="A39" s="24" t="s">
        <v>117</v>
      </c>
      <c r="B39" s="55"/>
      <c r="C39" s="55"/>
      <c r="D39" s="55"/>
      <c r="E39" s="55"/>
      <c r="F39" s="45">
        <v>170.13200000000001</v>
      </c>
      <c r="G39" s="55"/>
      <c r="H39" s="55"/>
      <c r="I39" s="55">
        <v>118.82899999999999</v>
      </c>
      <c r="J39" s="55"/>
      <c r="K39" s="55">
        <v>50.74</v>
      </c>
      <c r="L39" s="55">
        <v>893.73699999999997</v>
      </c>
      <c r="M39" s="55">
        <v>979.94299999999998</v>
      </c>
      <c r="N39" s="55">
        <v>823.68700000000001</v>
      </c>
      <c r="O39" s="55">
        <v>10593.528</v>
      </c>
      <c r="P39" s="55">
        <v>12322.003000000001</v>
      </c>
      <c r="Q39" s="55">
        <v>12229.302</v>
      </c>
      <c r="R39" s="55">
        <v>13229.996999999999</v>
      </c>
      <c r="S39" s="55">
        <v>17897.179</v>
      </c>
      <c r="T39" s="55">
        <v>21096.291000000001</v>
      </c>
      <c r="U39" s="55">
        <v>23464.136999999999</v>
      </c>
      <c r="V39" s="55">
        <v>17976.401999999998</v>
      </c>
      <c r="W39" s="55">
        <v>19933.545999999998</v>
      </c>
      <c r="X39" s="24">
        <v>24096.196</v>
      </c>
      <c r="Y39" s="24">
        <v>23716.126</v>
      </c>
      <c r="Z39" s="24">
        <v>19706.71</v>
      </c>
      <c r="AA39" s="24">
        <v>26710.704000000002</v>
      </c>
      <c r="AB39" s="24">
        <v>43604.328999999998</v>
      </c>
      <c r="AC39" s="24">
        <v>45197.277999999998</v>
      </c>
    </row>
    <row r="40" spans="1:29">
      <c r="A40" s="7" t="s">
        <v>121</v>
      </c>
      <c r="B40" s="91">
        <f>SUM(B42:B53)</f>
        <v>0</v>
      </c>
      <c r="C40" s="91">
        <f t="shared" ref="C40:AC40" si="11">SUM(C42:C53)</f>
        <v>0</v>
      </c>
      <c r="D40" s="91">
        <f t="shared" si="11"/>
        <v>0</v>
      </c>
      <c r="E40" s="91">
        <f t="shared" si="11"/>
        <v>0</v>
      </c>
      <c r="F40" s="91">
        <f t="shared" si="11"/>
        <v>70062.695999999996</v>
      </c>
      <c r="G40" s="91">
        <f t="shared" si="11"/>
        <v>0</v>
      </c>
      <c r="H40" s="91">
        <f t="shared" si="11"/>
        <v>0</v>
      </c>
      <c r="I40" s="91">
        <f t="shared" si="11"/>
        <v>70933.664000000004</v>
      </c>
      <c r="J40" s="91">
        <f t="shared" si="11"/>
        <v>0</v>
      </c>
      <c r="K40" s="91">
        <f t="shared" si="11"/>
        <v>118518.87787999997</v>
      </c>
      <c r="L40" s="91">
        <f t="shared" si="11"/>
        <v>154095.31099999999</v>
      </c>
      <c r="M40" s="91">
        <f t="shared" si="11"/>
        <v>183854.08099999995</v>
      </c>
      <c r="N40" s="91">
        <f t="shared" si="11"/>
        <v>305234.21100000001</v>
      </c>
      <c r="O40" s="91">
        <f t="shared" si="11"/>
        <v>516313.76300000004</v>
      </c>
      <c r="P40" s="91">
        <f t="shared" si="11"/>
        <v>653762.18900000001</v>
      </c>
      <c r="Q40" s="91">
        <f t="shared" si="11"/>
        <v>634843.73400000005</v>
      </c>
      <c r="R40" s="91">
        <f t="shared" si="11"/>
        <v>667455.71600000001</v>
      </c>
      <c r="S40" s="91">
        <f t="shared" si="11"/>
        <v>687093.66199999989</v>
      </c>
      <c r="T40" s="91">
        <f t="shared" si="11"/>
        <v>731338.9850000001</v>
      </c>
      <c r="U40" s="91">
        <f t="shared" si="11"/>
        <v>743603.79299999983</v>
      </c>
      <c r="V40" s="91">
        <f t="shared" si="11"/>
        <v>362971.49899999995</v>
      </c>
      <c r="W40" s="91">
        <f t="shared" si="11"/>
        <v>393968.22</v>
      </c>
      <c r="X40" s="91">
        <f t="shared" si="11"/>
        <v>335105.26999999996</v>
      </c>
      <c r="Y40" s="91">
        <f t="shared" si="11"/>
        <v>258412.27100000001</v>
      </c>
      <c r="Z40" s="91">
        <f t="shared" si="11"/>
        <v>240650.61900000004</v>
      </c>
      <c r="AA40" s="91">
        <f t="shared" si="11"/>
        <v>201310.51499999998</v>
      </c>
      <c r="AB40" s="91">
        <f t="shared" si="11"/>
        <v>684066.38100000005</v>
      </c>
      <c r="AC40" s="91">
        <f t="shared" si="11"/>
        <v>743194.75300000003</v>
      </c>
    </row>
    <row r="41" spans="1:29">
      <c r="A41" s="7" t="s">
        <v>119</v>
      </c>
      <c r="B41" s="54"/>
      <c r="C41" s="54"/>
      <c r="D41" s="54"/>
      <c r="E41" s="54"/>
      <c r="F41" s="54"/>
      <c r="G41" s="54"/>
      <c r="H41" s="54"/>
      <c r="I41" s="54"/>
      <c r="J41" s="54"/>
      <c r="K41" s="54"/>
      <c r="L41" s="54"/>
      <c r="M41" s="54"/>
      <c r="N41" s="54"/>
      <c r="O41" s="54"/>
      <c r="P41" s="54"/>
      <c r="Q41" s="54"/>
      <c r="R41" s="54"/>
      <c r="S41" s="54"/>
      <c r="T41" s="54"/>
      <c r="U41" s="54"/>
      <c r="V41" s="54"/>
      <c r="W41" s="54"/>
      <c r="X41" s="1">
        <v>0</v>
      </c>
      <c r="Y41" s="1">
        <v>0</v>
      </c>
      <c r="AB41" s="1">
        <v>0</v>
      </c>
      <c r="AC41" s="1">
        <v>0</v>
      </c>
    </row>
    <row r="42" spans="1:29">
      <c r="A42" s="1" t="s">
        <v>93</v>
      </c>
      <c r="B42" s="54"/>
      <c r="C42" s="54"/>
      <c r="D42" s="54"/>
      <c r="E42" s="54"/>
      <c r="F42" s="42">
        <v>29022.788</v>
      </c>
      <c r="G42" s="54"/>
      <c r="H42" s="54"/>
      <c r="I42" s="54">
        <v>5827.7690000000002</v>
      </c>
      <c r="J42" s="54"/>
      <c r="K42" s="54">
        <v>2652.07</v>
      </c>
      <c r="L42" s="54">
        <v>35272.019</v>
      </c>
      <c r="M42" s="54">
        <v>60090.288999999997</v>
      </c>
      <c r="N42" s="54">
        <v>104520.662</v>
      </c>
      <c r="O42" s="54">
        <v>128278.32</v>
      </c>
      <c r="P42" s="54">
        <v>220726.20600000001</v>
      </c>
      <c r="Q42" s="54">
        <v>169968.91200000001</v>
      </c>
      <c r="R42" s="54">
        <v>175688.83900000001</v>
      </c>
      <c r="S42" s="54">
        <v>172756.802</v>
      </c>
      <c r="T42" s="54">
        <v>194991.62899999999</v>
      </c>
      <c r="U42" s="54">
        <v>165070.95699999999</v>
      </c>
      <c r="V42" s="54">
        <v>121241.273</v>
      </c>
      <c r="W42" s="54">
        <v>120225.74800000001</v>
      </c>
      <c r="X42" s="1">
        <v>106935.632</v>
      </c>
      <c r="Y42" s="1">
        <v>56548.824999999997</v>
      </c>
      <c r="Z42" s="1">
        <v>56885.771999999997</v>
      </c>
      <c r="AA42" s="1">
        <v>48884.093999999997</v>
      </c>
      <c r="AB42" s="1">
        <v>269995.47499999998</v>
      </c>
      <c r="AC42" s="1">
        <v>293569.67200000002</v>
      </c>
    </row>
    <row r="43" spans="1:29">
      <c r="A43" s="1" t="s">
        <v>58</v>
      </c>
      <c r="B43" s="54"/>
      <c r="C43" s="54"/>
      <c r="D43" s="54"/>
      <c r="E43" s="54"/>
      <c r="F43" s="42">
        <v>754.9</v>
      </c>
      <c r="G43" s="54"/>
      <c r="H43" s="54"/>
      <c r="I43" s="54">
        <v>255.38900000000001</v>
      </c>
      <c r="J43" s="54"/>
      <c r="K43" s="54">
        <v>7811.3590000000004</v>
      </c>
      <c r="L43" s="54">
        <v>89.385000000000005</v>
      </c>
      <c r="M43" s="54">
        <v>0</v>
      </c>
      <c r="N43" s="54">
        <v>19077.43</v>
      </c>
      <c r="O43" s="54">
        <v>8050.7280000000001</v>
      </c>
      <c r="P43" s="54">
        <v>14243.82</v>
      </c>
      <c r="Q43" s="54">
        <v>14731.073</v>
      </c>
      <c r="R43" s="54">
        <v>18205.25</v>
      </c>
      <c r="S43" s="54">
        <v>19388.385999999999</v>
      </c>
      <c r="T43" s="54">
        <v>21911.447</v>
      </c>
      <c r="U43" s="54">
        <v>20398.431</v>
      </c>
      <c r="V43" s="54">
        <v>852.04100000000005</v>
      </c>
      <c r="W43" s="54">
        <v>1051.451</v>
      </c>
      <c r="X43" s="1">
        <v>1092.5630000000001</v>
      </c>
      <c r="Y43" s="1">
        <v>984.95</v>
      </c>
      <c r="Z43" s="1">
        <v>909.745</v>
      </c>
      <c r="AA43" s="1">
        <v>789.16499999999996</v>
      </c>
      <c r="AB43" s="1">
        <v>86339.862999999998</v>
      </c>
      <c r="AC43" s="1">
        <v>1962.9459999999999</v>
      </c>
    </row>
    <row r="44" spans="1:29">
      <c r="A44" s="1" t="s">
        <v>94</v>
      </c>
      <c r="B44" s="54"/>
      <c r="C44" s="54"/>
      <c r="D44" s="54"/>
      <c r="E44" s="54"/>
      <c r="F44" s="42">
        <v>2956.3470000000002</v>
      </c>
      <c r="G44" s="54"/>
      <c r="H44" s="54"/>
      <c r="I44" s="54">
        <v>2604.9409999999998</v>
      </c>
      <c r="J44" s="54"/>
      <c r="K44" s="54">
        <v>4196.0190000000002</v>
      </c>
      <c r="L44" s="54">
        <v>4785.6769999999997</v>
      </c>
      <c r="M44" s="54">
        <v>10580.566000000001</v>
      </c>
      <c r="N44" s="54">
        <v>5971.7169999999996</v>
      </c>
      <c r="O44" s="54">
        <v>43519.95</v>
      </c>
      <c r="P44" s="54">
        <v>46009.904999999999</v>
      </c>
      <c r="Q44" s="54">
        <v>47898.118000000002</v>
      </c>
      <c r="R44" s="54">
        <v>44618.044000000002</v>
      </c>
      <c r="S44" s="54">
        <v>49863.622000000003</v>
      </c>
      <c r="T44" s="54">
        <v>68388.327000000005</v>
      </c>
      <c r="U44" s="54">
        <v>76206.328999999998</v>
      </c>
      <c r="V44" s="54">
        <v>24080.36</v>
      </c>
      <c r="W44" s="54">
        <v>54172.161999999997</v>
      </c>
      <c r="X44" s="1">
        <v>48809.548999999999</v>
      </c>
      <c r="Y44" s="1">
        <v>46849.214999999997</v>
      </c>
      <c r="Z44" s="1">
        <v>39224.936000000002</v>
      </c>
      <c r="AA44" s="1">
        <v>34833.337</v>
      </c>
      <c r="AB44" s="1">
        <v>52556.792999999998</v>
      </c>
      <c r="AC44" s="1">
        <v>49086.728000000003</v>
      </c>
    </row>
    <row r="45" spans="1:29">
      <c r="A45" s="1" t="s">
        <v>95</v>
      </c>
      <c r="B45" s="54"/>
      <c r="C45" s="54"/>
      <c r="D45" s="54"/>
      <c r="E45" s="54"/>
      <c r="F45" s="42">
        <v>4247.3090000000002</v>
      </c>
      <c r="G45" s="54"/>
      <c r="H45" s="54"/>
      <c r="I45" s="54">
        <v>5662.04</v>
      </c>
      <c r="J45" s="54"/>
      <c r="K45" s="54">
        <v>4085.9380000000001</v>
      </c>
      <c r="L45" s="54">
        <v>4488</v>
      </c>
      <c r="M45" s="54">
        <v>4315.4369999999999</v>
      </c>
      <c r="N45" s="54">
        <v>9606.5679999999993</v>
      </c>
      <c r="O45" s="54">
        <v>19355.810000000001</v>
      </c>
      <c r="P45" s="54">
        <v>25750.561000000002</v>
      </c>
      <c r="Q45" s="54">
        <v>33441.707999999999</v>
      </c>
      <c r="R45" s="54">
        <v>45594.502</v>
      </c>
      <c r="S45" s="54">
        <v>41056.258000000002</v>
      </c>
      <c r="T45" s="54">
        <v>48167.053</v>
      </c>
      <c r="U45" s="54">
        <v>43027.652999999998</v>
      </c>
      <c r="V45" s="54">
        <v>36298.728999999999</v>
      </c>
      <c r="W45" s="54">
        <v>33313.773999999998</v>
      </c>
      <c r="X45" s="1">
        <v>37001.773999999998</v>
      </c>
      <c r="Y45" s="1">
        <v>35794.283000000003</v>
      </c>
      <c r="Z45" s="1">
        <v>34130</v>
      </c>
      <c r="AA45" s="1">
        <v>30240.687999999998</v>
      </c>
      <c r="AB45" s="1">
        <v>51748.898000000001</v>
      </c>
      <c r="AC45" s="1">
        <v>48796.294000000002</v>
      </c>
    </row>
    <row r="46" spans="1:29">
      <c r="A46" s="1" t="s">
        <v>98</v>
      </c>
      <c r="B46" s="54"/>
      <c r="C46" s="54"/>
      <c r="D46" s="54"/>
      <c r="E46" s="54"/>
      <c r="F46" s="42">
        <v>32709.842000000001</v>
      </c>
      <c r="G46" s="54"/>
      <c r="H46" s="54"/>
      <c r="I46" s="54">
        <v>24821.683000000001</v>
      </c>
      <c r="J46" s="54"/>
      <c r="K46" s="54">
        <v>43648.91332</v>
      </c>
      <c r="L46" s="54">
        <v>73505.328999999998</v>
      </c>
      <c r="M46" s="54">
        <v>73190.535999999993</v>
      </c>
      <c r="N46" s="54">
        <v>40706.112999999998</v>
      </c>
      <c r="O46" s="54">
        <v>96722.997000000003</v>
      </c>
      <c r="P46" s="54">
        <v>110756.81</v>
      </c>
      <c r="Q46" s="54">
        <v>114607.121</v>
      </c>
      <c r="R46" s="54">
        <v>120032.54700000001</v>
      </c>
      <c r="S46" s="54">
        <v>132148.22099999999</v>
      </c>
      <c r="T46" s="54">
        <v>150017.06099999999</v>
      </c>
      <c r="U46" s="54">
        <v>160764.505</v>
      </c>
      <c r="V46" s="54">
        <v>17485.699000000001</v>
      </c>
      <c r="W46" s="54">
        <v>17704.539000000001</v>
      </c>
      <c r="X46" s="1">
        <v>21052.098999999998</v>
      </c>
      <c r="Y46" s="1">
        <v>20029.061000000002</v>
      </c>
      <c r="Z46" s="1">
        <v>13350.967000000001</v>
      </c>
      <c r="AA46" s="1">
        <v>8684.49</v>
      </c>
      <c r="AB46" s="1">
        <v>43871.932000000001</v>
      </c>
      <c r="AC46" s="1">
        <v>34103.694000000003</v>
      </c>
    </row>
    <row r="47" spans="1:29">
      <c r="A47" s="1" t="s">
        <v>99</v>
      </c>
      <c r="B47" s="54"/>
      <c r="C47" s="54"/>
      <c r="D47" s="54"/>
      <c r="E47" s="54"/>
      <c r="F47" s="42">
        <v>-10328.815000000001</v>
      </c>
      <c r="G47" s="54"/>
      <c r="H47" s="54"/>
      <c r="I47" s="54">
        <v>366.90600000000001</v>
      </c>
      <c r="J47" s="54"/>
      <c r="K47" s="54">
        <v>2187.2649999999999</v>
      </c>
      <c r="L47" s="54">
        <v>0</v>
      </c>
      <c r="M47" s="54">
        <v>0</v>
      </c>
      <c r="N47" s="54">
        <v>0</v>
      </c>
      <c r="O47" s="54">
        <v>40403.883999999998</v>
      </c>
      <c r="P47" s="54">
        <v>41673.343999999997</v>
      </c>
      <c r="Q47" s="54">
        <v>43978.02</v>
      </c>
      <c r="R47" s="54">
        <v>43300.610999999997</v>
      </c>
      <c r="S47" s="54">
        <v>42853.915000000001</v>
      </c>
      <c r="T47" s="54">
        <v>47451.764000000003</v>
      </c>
      <c r="U47" s="54">
        <v>49870.978999999999</v>
      </c>
      <c r="V47" s="54">
        <v>1034</v>
      </c>
      <c r="W47" s="54">
        <v>824</v>
      </c>
      <c r="X47" s="1">
        <v>945</v>
      </c>
      <c r="Y47" s="1">
        <v>302</v>
      </c>
      <c r="Z47" s="1">
        <v>337</v>
      </c>
      <c r="AA47" s="1">
        <v>561</v>
      </c>
      <c r="AB47" s="1">
        <v>316</v>
      </c>
      <c r="AC47" s="1">
        <v>139511</v>
      </c>
    </row>
    <row r="48" spans="1:29">
      <c r="A48" s="1" t="s">
        <v>59</v>
      </c>
      <c r="B48" s="54"/>
      <c r="C48" s="54"/>
      <c r="D48" s="54"/>
      <c r="E48" s="54"/>
      <c r="F48" s="42">
        <v>1333.3869999999999</v>
      </c>
      <c r="G48" s="54"/>
      <c r="H48" s="54"/>
      <c r="I48" s="54">
        <v>3236.723</v>
      </c>
      <c r="J48" s="54"/>
      <c r="K48" s="54">
        <v>21081.58</v>
      </c>
      <c r="L48" s="54">
        <v>9190.4110000000001</v>
      </c>
      <c r="M48" s="54">
        <v>8412.5319999999992</v>
      </c>
      <c r="N48" s="54">
        <v>12403.427</v>
      </c>
      <c r="O48" s="54">
        <v>25263.746999999999</v>
      </c>
      <c r="P48" s="54">
        <v>23005.672999999999</v>
      </c>
      <c r="Q48" s="54">
        <v>25277.941999999999</v>
      </c>
      <c r="R48" s="54">
        <v>26597.953000000001</v>
      </c>
      <c r="S48" s="54">
        <v>31057.011999999999</v>
      </c>
      <c r="T48" s="54">
        <v>34317.413</v>
      </c>
      <c r="U48" s="54">
        <v>29039.731</v>
      </c>
      <c r="V48" s="54">
        <v>31459.062999999998</v>
      </c>
      <c r="W48" s="54">
        <v>8642.3889999999992</v>
      </c>
      <c r="X48" s="1">
        <v>7886.1909999999998</v>
      </c>
      <c r="Y48" s="1">
        <v>13188.468999999999</v>
      </c>
      <c r="Z48" s="1">
        <v>15996.366</v>
      </c>
      <c r="AA48" s="1">
        <v>13395.751</v>
      </c>
      <c r="AB48" s="1">
        <v>17355.519</v>
      </c>
      <c r="AC48" s="1">
        <v>23973.713</v>
      </c>
    </row>
    <row r="49" spans="1:29">
      <c r="A49" s="1" t="s">
        <v>101</v>
      </c>
      <c r="B49" s="54"/>
      <c r="C49" s="54"/>
      <c r="D49" s="54"/>
      <c r="E49" s="54"/>
      <c r="F49" s="42">
        <v>69.055999999999997</v>
      </c>
      <c r="G49" s="54"/>
      <c r="H49" s="54"/>
      <c r="I49" s="54">
        <v>129.298</v>
      </c>
      <c r="J49" s="54"/>
      <c r="K49" s="54">
        <v>170.292</v>
      </c>
      <c r="L49" s="54">
        <v>539.23800000000006</v>
      </c>
      <c r="M49" s="54">
        <v>501.14499999999998</v>
      </c>
      <c r="N49" s="54">
        <v>4808.0990000000002</v>
      </c>
      <c r="O49" s="54">
        <v>10107.788</v>
      </c>
      <c r="P49" s="54">
        <v>10464.848</v>
      </c>
      <c r="Q49" s="54">
        <v>11257.962</v>
      </c>
      <c r="R49" s="54">
        <v>11456.368</v>
      </c>
      <c r="S49" s="54">
        <v>12944.486000000001</v>
      </c>
      <c r="T49" s="54">
        <v>13878.587</v>
      </c>
      <c r="U49" s="54">
        <v>15468.873</v>
      </c>
      <c r="V49" s="54">
        <v>4158.3519999999999</v>
      </c>
      <c r="W49" s="54">
        <v>16476.748</v>
      </c>
      <c r="X49" s="1">
        <v>13638.227999999999</v>
      </c>
      <c r="Y49" s="1">
        <v>9580.1010000000006</v>
      </c>
      <c r="Z49" s="1">
        <v>6677.8990000000003</v>
      </c>
      <c r="AA49" s="1">
        <v>3203.1909999999998</v>
      </c>
      <c r="AB49" s="1">
        <v>8213.5400000000009</v>
      </c>
      <c r="AC49" s="1">
        <v>6674.06</v>
      </c>
    </row>
    <row r="50" spans="1:29">
      <c r="A50" s="1" t="s">
        <v>107</v>
      </c>
      <c r="B50" s="54"/>
      <c r="C50" s="54"/>
      <c r="D50" s="54"/>
      <c r="E50" s="54"/>
      <c r="F50" s="42">
        <v>575.39499999999998</v>
      </c>
      <c r="G50" s="54"/>
      <c r="H50" s="54"/>
      <c r="I50" s="54">
        <v>660.91899999999998</v>
      </c>
      <c r="J50" s="54"/>
      <c r="K50" s="54">
        <v>638.62056000000007</v>
      </c>
      <c r="L50" s="54">
        <v>1212.0360000000001</v>
      </c>
      <c r="M50" s="54">
        <v>424.37599999999998</v>
      </c>
      <c r="N50" s="54">
        <v>4316.2719999999999</v>
      </c>
      <c r="O50" s="54">
        <v>3931.3040000000001</v>
      </c>
      <c r="P50" s="54">
        <v>6798.2569999999996</v>
      </c>
      <c r="Q50" s="54">
        <v>7424.085</v>
      </c>
      <c r="R50" s="54">
        <v>7118.5110000000004</v>
      </c>
      <c r="S50" s="54">
        <v>10405.319</v>
      </c>
      <c r="T50" s="54">
        <v>6823.2950000000001</v>
      </c>
      <c r="U50" s="54">
        <v>10017.325000000001</v>
      </c>
      <c r="V50" s="54">
        <v>7720.1610000000001</v>
      </c>
      <c r="W50" s="54">
        <v>11499.023999999999</v>
      </c>
      <c r="X50" s="1">
        <v>11848.074000000001</v>
      </c>
      <c r="Y50" s="1">
        <v>8904.7900000000009</v>
      </c>
      <c r="Z50" s="1">
        <v>11913.101000000001</v>
      </c>
      <c r="AA50" s="1">
        <v>11649.050999999999</v>
      </c>
      <c r="AB50" s="1">
        <v>17287.154999999999</v>
      </c>
      <c r="AC50" s="1">
        <v>15512.145</v>
      </c>
    </row>
    <row r="51" spans="1:29">
      <c r="A51" s="1" t="s">
        <v>108</v>
      </c>
      <c r="B51" s="54"/>
      <c r="C51" s="54"/>
      <c r="D51" s="54"/>
      <c r="E51" s="54"/>
      <c r="F51" s="42">
        <v>8591.8119999999999</v>
      </c>
      <c r="G51" s="54"/>
      <c r="H51" s="54"/>
      <c r="I51" s="54">
        <v>27367.995999999999</v>
      </c>
      <c r="J51" s="54"/>
      <c r="K51" s="54">
        <v>31373.055</v>
      </c>
      <c r="L51" s="54">
        <v>21225.674999999999</v>
      </c>
      <c r="M51" s="54">
        <v>21529.557000000001</v>
      </c>
      <c r="N51" s="54">
        <v>65432.315000000002</v>
      </c>
      <c r="O51" s="54">
        <v>64701.364999999998</v>
      </c>
      <c r="P51" s="54">
        <v>62425.726999999999</v>
      </c>
      <c r="Q51" s="54">
        <v>64538.421999999999</v>
      </c>
      <c r="R51" s="54">
        <v>70960.544999999998</v>
      </c>
      <c r="S51" s="54">
        <v>72762.695999999996</v>
      </c>
      <c r="T51" s="54">
        <v>50614.288</v>
      </c>
      <c r="U51" s="54">
        <v>75013.740000000005</v>
      </c>
      <c r="V51" s="54">
        <v>34888.830999999998</v>
      </c>
      <c r="W51" s="54">
        <v>30629.264999999999</v>
      </c>
      <c r="X51" s="1">
        <v>23453.040000000001</v>
      </c>
      <c r="Y51" s="1">
        <v>14776.646000000001</v>
      </c>
      <c r="Z51" s="1">
        <v>19303.514999999999</v>
      </c>
      <c r="AA51" s="1">
        <v>16829.155999999999</v>
      </c>
      <c r="AB51" s="1">
        <v>33995.453000000001</v>
      </c>
      <c r="AC51" s="1">
        <v>46327.54</v>
      </c>
    </row>
    <row r="52" spans="1:29">
      <c r="A52" s="1" t="s">
        <v>112</v>
      </c>
      <c r="B52" s="54"/>
      <c r="C52" s="54"/>
      <c r="D52" s="54"/>
      <c r="E52" s="54"/>
      <c r="F52" s="42">
        <v>0</v>
      </c>
      <c r="G52" s="54"/>
      <c r="H52" s="54"/>
      <c r="I52" s="54">
        <v>0</v>
      </c>
      <c r="J52" s="54"/>
      <c r="K52" s="54">
        <v>660.88099999999997</v>
      </c>
      <c r="L52" s="54">
        <v>538.06700000000001</v>
      </c>
      <c r="M52" s="54">
        <v>596.73400000000004</v>
      </c>
      <c r="N52" s="54">
        <v>554.73</v>
      </c>
      <c r="O52" s="54">
        <v>1278.423</v>
      </c>
      <c r="P52" s="54">
        <v>2577.8780000000002</v>
      </c>
      <c r="Q52" s="54">
        <v>10112.799000000001</v>
      </c>
      <c r="R52" s="54">
        <v>4062.1889999999999</v>
      </c>
      <c r="S52" s="54">
        <v>1483.0930000000001</v>
      </c>
      <c r="T52" s="54">
        <v>2780.2350000000001</v>
      </c>
      <c r="U52" s="54">
        <v>5503.3469999999998</v>
      </c>
      <c r="V52" s="54">
        <v>17476.907999999999</v>
      </c>
      <c r="W52" s="54">
        <v>20210.219000000001</v>
      </c>
      <c r="X52" s="1">
        <v>20044.602999999999</v>
      </c>
      <c r="Y52" s="1">
        <v>13942.612999999999</v>
      </c>
      <c r="Z52" s="1">
        <v>15079.861000000001</v>
      </c>
      <c r="AA52" s="1">
        <v>10163.087</v>
      </c>
      <c r="AB52" s="1">
        <v>45137.622000000003</v>
      </c>
      <c r="AC52" s="1">
        <v>15054.065000000001</v>
      </c>
    </row>
    <row r="53" spans="1:29">
      <c r="A53" s="24" t="s">
        <v>116</v>
      </c>
      <c r="B53" s="55"/>
      <c r="C53" s="55"/>
      <c r="D53" s="55"/>
      <c r="E53" s="55"/>
      <c r="F53" s="45">
        <v>130.67500000000001</v>
      </c>
      <c r="G53" s="55"/>
      <c r="H53" s="55"/>
      <c r="I53" s="55">
        <v>0</v>
      </c>
      <c r="J53" s="55"/>
      <c r="K53" s="55">
        <v>12.885</v>
      </c>
      <c r="L53" s="55">
        <v>3249.4740000000002</v>
      </c>
      <c r="M53" s="55">
        <v>4212.9089999999997</v>
      </c>
      <c r="N53" s="55">
        <v>37836.877999999997</v>
      </c>
      <c r="O53" s="55">
        <v>74699.447</v>
      </c>
      <c r="P53" s="55">
        <v>89329.16</v>
      </c>
      <c r="Q53" s="55">
        <v>91607.572</v>
      </c>
      <c r="R53" s="55">
        <v>99820.357000000004</v>
      </c>
      <c r="S53" s="55">
        <v>100373.852</v>
      </c>
      <c r="T53" s="55">
        <v>91997.885999999999</v>
      </c>
      <c r="U53" s="55">
        <v>93221.922999999995</v>
      </c>
      <c r="V53" s="55">
        <v>66276.081999999995</v>
      </c>
      <c r="W53" s="55">
        <v>79218.900999999998</v>
      </c>
      <c r="X53" s="24">
        <v>42398.517</v>
      </c>
      <c r="Y53" s="24">
        <v>37511.317999999999</v>
      </c>
      <c r="Z53" s="24">
        <v>26841.456999999999</v>
      </c>
      <c r="AA53" s="24">
        <v>22077.505000000001</v>
      </c>
      <c r="AB53" s="24">
        <v>57248.131000000001</v>
      </c>
      <c r="AC53" s="24">
        <v>68622.895999999993</v>
      </c>
    </row>
    <row r="54" spans="1:29">
      <c r="A54" s="7" t="s">
        <v>122</v>
      </c>
      <c r="B54" s="91">
        <f>SUM(B56:B64)</f>
        <v>0</v>
      </c>
      <c r="C54" s="91">
        <f t="shared" ref="C54:AC54" si="12">SUM(C56:C64)</f>
        <v>0</v>
      </c>
      <c r="D54" s="91">
        <f t="shared" si="12"/>
        <v>0</v>
      </c>
      <c r="E54" s="91">
        <f t="shared" si="12"/>
        <v>0</v>
      </c>
      <c r="F54" s="91">
        <f t="shared" si="12"/>
        <v>33462.784999999996</v>
      </c>
      <c r="G54" s="91">
        <f t="shared" si="12"/>
        <v>0</v>
      </c>
      <c r="H54" s="91">
        <f t="shared" si="12"/>
        <v>0</v>
      </c>
      <c r="I54" s="91">
        <f t="shared" si="12"/>
        <v>32030.721999999998</v>
      </c>
      <c r="J54" s="91">
        <f t="shared" si="12"/>
        <v>0</v>
      </c>
      <c r="K54" s="91">
        <f t="shared" si="12"/>
        <v>32119.115330000001</v>
      </c>
      <c r="L54" s="91">
        <f t="shared" si="12"/>
        <v>36439.678</v>
      </c>
      <c r="M54" s="91">
        <f t="shared" si="12"/>
        <v>42637.027999999998</v>
      </c>
      <c r="N54" s="91">
        <f t="shared" si="12"/>
        <v>224146.65700000001</v>
      </c>
      <c r="O54" s="91">
        <f t="shared" si="12"/>
        <v>244094.94699999999</v>
      </c>
      <c r="P54" s="91">
        <f t="shared" si="12"/>
        <v>284111.25200000004</v>
      </c>
      <c r="Q54" s="91">
        <f t="shared" si="12"/>
        <v>294663.76</v>
      </c>
      <c r="R54" s="91">
        <f t="shared" si="12"/>
        <v>307669.78899999999</v>
      </c>
      <c r="S54" s="91">
        <f t="shared" si="12"/>
        <v>587226.07799999998</v>
      </c>
      <c r="T54" s="91">
        <f t="shared" si="12"/>
        <v>350904.46600000001</v>
      </c>
      <c r="U54" s="91">
        <f t="shared" si="12"/>
        <v>380171.163</v>
      </c>
      <c r="V54" s="91">
        <f t="shared" si="12"/>
        <v>244799.761</v>
      </c>
      <c r="W54" s="91">
        <f t="shared" si="12"/>
        <v>270084.375</v>
      </c>
      <c r="X54" s="91">
        <f t="shared" si="12"/>
        <v>304415.70500000002</v>
      </c>
      <c r="Y54" s="91">
        <f t="shared" si="12"/>
        <v>260202.92900000003</v>
      </c>
      <c r="Z54" s="91">
        <f t="shared" si="12"/>
        <v>308093.73500000004</v>
      </c>
      <c r="AA54" s="91">
        <f t="shared" si="12"/>
        <v>250197.74000000002</v>
      </c>
      <c r="AB54" s="91">
        <f t="shared" si="12"/>
        <v>542283.84100000001</v>
      </c>
      <c r="AC54" s="91">
        <f t="shared" si="12"/>
        <v>587132.34</v>
      </c>
    </row>
    <row r="55" spans="1:29">
      <c r="A55" s="7" t="s">
        <v>119</v>
      </c>
      <c r="B55" s="54"/>
      <c r="C55" s="54"/>
      <c r="D55" s="54"/>
      <c r="E55" s="54"/>
      <c r="F55" s="54"/>
      <c r="G55" s="54"/>
      <c r="H55" s="54"/>
      <c r="I55" s="54"/>
      <c r="J55" s="54"/>
      <c r="K55" s="54"/>
      <c r="L55" s="54"/>
      <c r="M55" s="54"/>
      <c r="N55" s="54"/>
      <c r="O55" s="54"/>
      <c r="P55" s="54"/>
      <c r="Q55" s="54"/>
      <c r="R55" s="54"/>
      <c r="S55" s="54"/>
      <c r="T55" s="54"/>
      <c r="U55" s="54"/>
      <c r="V55" s="54"/>
      <c r="W55" s="54"/>
      <c r="X55" s="1">
        <v>0</v>
      </c>
      <c r="Y55" s="1">
        <v>0</v>
      </c>
      <c r="AB55" s="1">
        <v>0</v>
      </c>
      <c r="AC55" s="1">
        <v>0</v>
      </c>
    </row>
    <row r="56" spans="1:29">
      <c r="A56" s="1" t="s">
        <v>89</v>
      </c>
      <c r="B56" s="54"/>
      <c r="C56" s="54"/>
      <c r="D56" s="54"/>
      <c r="E56" s="54"/>
      <c r="F56" s="42">
        <v>347.96699999999998</v>
      </c>
      <c r="G56" s="54"/>
      <c r="H56" s="54"/>
      <c r="I56" s="54">
        <v>0</v>
      </c>
      <c r="J56" s="54"/>
      <c r="K56" s="54">
        <v>0.74804000000003723</v>
      </c>
      <c r="L56" s="54">
        <v>-106.708</v>
      </c>
      <c r="M56" s="54">
        <v>2309.3739999999998</v>
      </c>
      <c r="N56" s="54">
        <v>9230.1299999999992</v>
      </c>
      <c r="O56" s="54">
        <v>14185.492</v>
      </c>
      <c r="P56" s="54">
        <v>16942.366999999998</v>
      </c>
      <c r="Q56" s="54">
        <v>15816.957</v>
      </c>
      <c r="R56" s="54">
        <v>16384.455000000002</v>
      </c>
      <c r="S56" s="54">
        <v>16596.646000000001</v>
      </c>
      <c r="T56" s="54">
        <v>20072.755000000001</v>
      </c>
      <c r="U56" s="54">
        <v>18966.558000000001</v>
      </c>
      <c r="V56" s="54">
        <v>6985.5039999999999</v>
      </c>
      <c r="W56" s="54">
        <v>6204.2179999999998</v>
      </c>
      <c r="X56" s="1">
        <v>4225.01</v>
      </c>
      <c r="Y56" s="1">
        <v>1137.154</v>
      </c>
      <c r="Z56" s="1">
        <v>8634.7260000000006</v>
      </c>
      <c r="AA56" s="1">
        <v>734.93299999999999</v>
      </c>
      <c r="AB56" s="1">
        <v>78477.214999999997</v>
      </c>
      <c r="AC56" s="1">
        <v>83261.491999999998</v>
      </c>
    </row>
    <row r="57" spans="1:29">
      <c r="A57" s="1" t="s">
        <v>96</v>
      </c>
      <c r="B57" s="54"/>
      <c r="C57" s="54"/>
      <c r="D57" s="54"/>
      <c r="E57" s="54"/>
      <c r="F57" s="42">
        <v>957.57899999999995</v>
      </c>
      <c r="G57" s="54"/>
      <c r="H57" s="54"/>
      <c r="I57" s="54">
        <v>670.05200000000002</v>
      </c>
      <c r="J57" s="54"/>
      <c r="K57" s="54">
        <v>54.158000000000001</v>
      </c>
      <c r="L57" s="54">
        <v>496.59300000000002</v>
      </c>
      <c r="M57" s="54">
        <v>171.09200000000001</v>
      </c>
      <c r="N57" s="54">
        <v>4845.8389999999999</v>
      </c>
      <c r="O57" s="54">
        <v>4923.1790000000001</v>
      </c>
      <c r="P57" s="54">
        <v>5908.6790000000001</v>
      </c>
      <c r="Q57" s="54">
        <v>6480.3969999999999</v>
      </c>
      <c r="R57" s="54">
        <v>6403.4709999999995</v>
      </c>
      <c r="S57" s="54">
        <v>6312.357</v>
      </c>
      <c r="T57" s="54">
        <v>7141.7449999999999</v>
      </c>
      <c r="U57" s="54">
        <v>0</v>
      </c>
      <c r="V57" s="54">
        <v>0</v>
      </c>
      <c r="W57" s="54">
        <v>0</v>
      </c>
      <c r="X57" s="1">
        <v>0</v>
      </c>
      <c r="Y57" s="1">
        <v>0</v>
      </c>
      <c r="Z57" s="1">
        <v>42.313000000000002</v>
      </c>
      <c r="AA57" s="1">
        <v>107.91200000000001</v>
      </c>
      <c r="AB57" s="1">
        <v>109.434</v>
      </c>
      <c r="AC57" s="1">
        <v>466.31700000000001</v>
      </c>
    </row>
    <row r="58" spans="1:29" s="11" customFormat="1">
      <c r="A58" s="1" t="s">
        <v>97</v>
      </c>
      <c r="B58" s="54"/>
      <c r="C58" s="54"/>
      <c r="D58" s="54"/>
      <c r="E58" s="54"/>
      <c r="F58" s="42">
        <v>1718.2239999999999</v>
      </c>
      <c r="G58" s="54"/>
      <c r="H58" s="54"/>
      <c r="I58" s="54">
        <v>2121.9050000000002</v>
      </c>
      <c r="J58" s="54"/>
      <c r="K58" s="54">
        <v>5211.9440000000004</v>
      </c>
      <c r="L58" s="54">
        <v>12257.06</v>
      </c>
      <c r="M58" s="54">
        <v>12968.996999999999</v>
      </c>
      <c r="N58" s="54">
        <v>20969.328000000001</v>
      </c>
      <c r="O58" s="54">
        <v>22370.519</v>
      </c>
      <c r="P58" s="54">
        <v>22765.974999999999</v>
      </c>
      <c r="Q58" s="54">
        <v>24507.537</v>
      </c>
      <c r="R58" s="54">
        <v>29571.615000000002</v>
      </c>
      <c r="S58" s="54">
        <v>28260.973000000002</v>
      </c>
      <c r="T58" s="54">
        <v>29695.260999999999</v>
      </c>
      <c r="U58" s="54">
        <v>30741.304</v>
      </c>
      <c r="V58" s="54">
        <v>14173.692999999999</v>
      </c>
      <c r="W58" s="54">
        <v>10841.844999999999</v>
      </c>
      <c r="X58" s="1">
        <v>11014.159</v>
      </c>
      <c r="Y58" s="1">
        <v>9906.0380000000005</v>
      </c>
      <c r="Z58" s="1">
        <v>12367.736999999999</v>
      </c>
      <c r="AA58" s="1">
        <v>5581.03</v>
      </c>
      <c r="AB58" s="1">
        <v>38117.063000000002</v>
      </c>
      <c r="AC58" s="1">
        <v>51568.305999999997</v>
      </c>
    </row>
    <row r="59" spans="1:29">
      <c r="A59" s="1" t="s">
        <v>103</v>
      </c>
      <c r="B59" s="54"/>
      <c r="C59" s="54"/>
      <c r="D59" s="54"/>
      <c r="E59" s="54"/>
      <c r="F59" s="42">
        <v>0</v>
      </c>
      <c r="G59" s="54"/>
      <c r="H59" s="54"/>
      <c r="I59" s="54">
        <v>0</v>
      </c>
      <c r="J59" s="54"/>
      <c r="K59" s="54">
        <v>0</v>
      </c>
      <c r="L59" s="54">
        <v>0</v>
      </c>
      <c r="M59" s="54">
        <v>0</v>
      </c>
      <c r="N59" s="54">
        <v>0</v>
      </c>
      <c r="O59" s="54">
        <v>0</v>
      </c>
      <c r="P59" s="54">
        <v>8472.9740000000002</v>
      </c>
      <c r="Q59" s="54">
        <v>1087.229</v>
      </c>
      <c r="R59" s="54">
        <v>2448.3989999999999</v>
      </c>
      <c r="S59" s="54">
        <v>2083.712</v>
      </c>
      <c r="T59" s="54">
        <v>2854.4580000000001</v>
      </c>
      <c r="U59" s="54">
        <v>3112.3330000000001</v>
      </c>
      <c r="V59" s="54">
        <v>-201.77099999999999</v>
      </c>
      <c r="W59" s="54">
        <v>0</v>
      </c>
      <c r="X59" s="1">
        <v>0</v>
      </c>
      <c r="Y59" s="1">
        <v>0</v>
      </c>
      <c r="Z59" s="1">
        <v>1E-3</v>
      </c>
      <c r="AA59" s="1">
        <v>0</v>
      </c>
      <c r="AB59" s="1">
        <v>24810.9</v>
      </c>
      <c r="AC59" s="1">
        <v>13836.607</v>
      </c>
    </row>
    <row r="60" spans="1:29">
      <c r="A60" s="1" t="s">
        <v>104</v>
      </c>
      <c r="B60" s="54"/>
      <c r="C60" s="54"/>
      <c r="D60" s="54"/>
      <c r="E60" s="54"/>
      <c r="F60" s="42">
        <v>12561.564</v>
      </c>
      <c r="G60" s="54"/>
      <c r="H60" s="54"/>
      <c r="I60" s="54">
        <v>11357.191999999999</v>
      </c>
      <c r="J60" s="54"/>
      <c r="K60" s="54">
        <v>7694.2650000000003</v>
      </c>
      <c r="L60" s="54">
        <v>10334.960999999999</v>
      </c>
      <c r="M60" s="54">
        <v>8256.1679999999997</v>
      </c>
      <c r="N60" s="54">
        <v>40698.92</v>
      </c>
      <c r="O60" s="54">
        <v>48305.86</v>
      </c>
      <c r="P60" s="54">
        <v>67782.97</v>
      </c>
      <c r="Q60" s="54">
        <v>69482.115999999995</v>
      </c>
      <c r="R60" s="54">
        <v>65704.048999999999</v>
      </c>
      <c r="S60" s="54">
        <v>62562.758999999998</v>
      </c>
      <c r="T60" s="54">
        <v>50203.785000000003</v>
      </c>
      <c r="U60" s="54">
        <v>80996.28</v>
      </c>
      <c r="V60" s="54">
        <v>62514.203999999998</v>
      </c>
      <c r="W60" s="54">
        <v>70207.297999999995</v>
      </c>
      <c r="X60" s="1">
        <v>68238.017000000007</v>
      </c>
      <c r="Y60" s="1">
        <v>88631.504000000001</v>
      </c>
      <c r="Z60" s="1">
        <v>77983.629000000001</v>
      </c>
      <c r="AA60" s="1">
        <v>89411.793999999994</v>
      </c>
      <c r="AB60" s="1">
        <v>172746.64799999999</v>
      </c>
      <c r="AC60" s="1">
        <v>142793.85699999999</v>
      </c>
    </row>
    <row r="61" spans="1:29">
      <c r="A61" s="1" t="s">
        <v>106</v>
      </c>
      <c r="B61" s="54"/>
      <c r="C61" s="54"/>
      <c r="D61" s="54"/>
      <c r="E61" s="54"/>
      <c r="F61" s="42">
        <v>8390.8459999999995</v>
      </c>
      <c r="G61" s="54"/>
      <c r="H61" s="54"/>
      <c r="I61" s="54">
        <v>10388.255999999999</v>
      </c>
      <c r="J61" s="54"/>
      <c r="K61" s="54">
        <v>8868.4429999999993</v>
      </c>
      <c r="L61" s="54">
        <v>3637.4639999999999</v>
      </c>
      <c r="M61" s="54">
        <v>9840.7999999999993</v>
      </c>
      <c r="N61" s="54">
        <v>96714.028999999995</v>
      </c>
      <c r="O61" s="54">
        <v>97713.07</v>
      </c>
      <c r="P61" s="54">
        <v>92472.322</v>
      </c>
      <c r="Q61" s="54">
        <v>107129.565</v>
      </c>
      <c r="R61" s="54">
        <v>108475.023</v>
      </c>
      <c r="S61" s="54">
        <v>396428.65299999999</v>
      </c>
      <c r="T61" s="54">
        <v>159858.87400000001</v>
      </c>
      <c r="U61" s="54">
        <v>172729.3</v>
      </c>
      <c r="V61" s="54">
        <v>99193.16</v>
      </c>
      <c r="W61" s="54">
        <v>119921.863</v>
      </c>
      <c r="X61" s="1">
        <v>135188.791</v>
      </c>
      <c r="Y61" s="1">
        <v>98606.982000000004</v>
      </c>
      <c r="Z61" s="1">
        <v>141735.22200000001</v>
      </c>
      <c r="AA61" s="1">
        <v>91449.444000000003</v>
      </c>
      <c r="AB61" s="1">
        <v>146464.64199999999</v>
      </c>
      <c r="AC61" s="1">
        <v>190052.57399999999</v>
      </c>
    </row>
    <row r="62" spans="1:29">
      <c r="A62" s="1" t="s">
        <v>110</v>
      </c>
      <c r="B62" s="54"/>
      <c r="C62" s="54"/>
      <c r="D62" s="54"/>
      <c r="E62" s="54"/>
      <c r="F62" s="42">
        <v>7956.54</v>
      </c>
      <c r="G62" s="54"/>
      <c r="H62" s="54"/>
      <c r="I62" s="54">
        <v>7007.5280000000002</v>
      </c>
      <c r="J62" s="54"/>
      <c r="K62" s="54">
        <v>10323.843289999999</v>
      </c>
      <c r="L62" s="54">
        <v>9897.4840000000004</v>
      </c>
      <c r="M62" s="54">
        <v>8993.8349999999991</v>
      </c>
      <c r="N62" s="54">
        <v>49080.438999999998</v>
      </c>
      <c r="O62" s="54">
        <v>53781.794000000002</v>
      </c>
      <c r="P62" s="54">
        <v>66981.197</v>
      </c>
      <c r="Q62" s="54">
        <v>67637.653999999995</v>
      </c>
      <c r="R62" s="54">
        <v>75694.434999999998</v>
      </c>
      <c r="S62" s="54">
        <v>71843.14</v>
      </c>
      <c r="T62" s="54">
        <v>77769.054000000004</v>
      </c>
      <c r="U62" s="54">
        <v>68517.914999999994</v>
      </c>
      <c r="V62" s="54">
        <v>62015.476999999999</v>
      </c>
      <c r="W62" s="54">
        <v>62909.150999999998</v>
      </c>
      <c r="X62" s="1">
        <v>85749.728000000003</v>
      </c>
      <c r="Y62" s="1">
        <v>61921.249000000003</v>
      </c>
      <c r="Z62" s="1">
        <v>67330.107000000004</v>
      </c>
      <c r="AA62" s="1">
        <v>62912.627</v>
      </c>
      <c r="AB62" s="1">
        <v>81557.938999999998</v>
      </c>
      <c r="AC62" s="1">
        <v>105153.186</v>
      </c>
    </row>
    <row r="63" spans="1:29">
      <c r="A63" s="1" t="s">
        <v>111</v>
      </c>
      <c r="B63" s="54"/>
      <c r="C63" s="54"/>
      <c r="D63" s="54"/>
      <c r="E63" s="54"/>
      <c r="F63" s="42">
        <v>984.63599999999997</v>
      </c>
      <c r="G63" s="54"/>
      <c r="H63" s="54"/>
      <c r="I63" s="54">
        <v>486.58699999999999</v>
      </c>
      <c r="J63" s="54"/>
      <c r="K63" s="54">
        <v>50.959000000000003</v>
      </c>
      <c r="L63" s="54">
        <v>0</v>
      </c>
      <c r="M63" s="54">
        <v>0</v>
      </c>
      <c r="N63" s="54">
        <v>2556.06</v>
      </c>
      <c r="O63" s="54">
        <v>2755.7150000000001</v>
      </c>
      <c r="P63" s="54">
        <v>2696.1990000000001</v>
      </c>
      <c r="Q63" s="54">
        <v>2654.0590000000002</v>
      </c>
      <c r="R63" s="54">
        <v>2769.0329999999999</v>
      </c>
      <c r="S63" s="54">
        <v>2942.1370000000002</v>
      </c>
      <c r="T63" s="54">
        <v>3134.2730000000001</v>
      </c>
      <c r="U63" s="54">
        <v>3216.3910000000001</v>
      </c>
      <c r="V63" s="54">
        <v>119.494</v>
      </c>
      <c r="W63" s="54">
        <v>0</v>
      </c>
      <c r="X63" s="1">
        <v>0</v>
      </c>
      <c r="Y63" s="1">
        <v>0</v>
      </c>
      <c r="Z63" s="1">
        <v>0</v>
      </c>
      <c r="AA63" s="1">
        <v>0</v>
      </c>
      <c r="AB63" s="1">
        <v>0</v>
      </c>
      <c r="AC63" s="1">
        <v>0</v>
      </c>
    </row>
    <row r="64" spans="1:29">
      <c r="A64" s="24" t="s">
        <v>114</v>
      </c>
      <c r="B64" s="55"/>
      <c r="C64" s="55"/>
      <c r="D64" s="55"/>
      <c r="E64" s="55"/>
      <c r="F64" s="45">
        <v>545.42899999999997</v>
      </c>
      <c r="G64" s="55"/>
      <c r="H64" s="55"/>
      <c r="I64" s="55">
        <v>-0.79800000000000004</v>
      </c>
      <c r="J64" s="55"/>
      <c r="K64" s="55">
        <v>-85.245000000000005</v>
      </c>
      <c r="L64" s="55">
        <v>-77.176000000000002</v>
      </c>
      <c r="M64" s="55">
        <v>96.762</v>
      </c>
      <c r="N64" s="55">
        <v>51.911999999999999</v>
      </c>
      <c r="O64" s="55">
        <v>59.317999999999998</v>
      </c>
      <c r="P64" s="55">
        <v>88.569000000000003</v>
      </c>
      <c r="Q64" s="55">
        <v>-131.75399999999999</v>
      </c>
      <c r="R64" s="55">
        <v>219.309</v>
      </c>
      <c r="S64" s="55">
        <v>195.70099999999999</v>
      </c>
      <c r="T64" s="55">
        <v>174.261</v>
      </c>
      <c r="U64" s="55">
        <v>1891.0820000000001</v>
      </c>
      <c r="V64" s="55">
        <v>0</v>
      </c>
      <c r="W64" s="55">
        <v>0</v>
      </c>
      <c r="X64" s="24">
        <v>0</v>
      </c>
      <c r="Y64" s="24">
        <v>2E-3</v>
      </c>
      <c r="Z64" s="24">
        <v>0</v>
      </c>
      <c r="AA64" s="24">
        <v>0</v>
      </c>
      <c r="AB64" s="24">
        <v>0</v>
      </c>
      <c r="AC64" s="24">
        <v>1E-3</v>
      </c>
    </row>
    <row r="65" spans="1:29">
      <c r="A65" s="46" t="s">
        <v>90</v>
      </c>
      <c r="B65" s="92"/>
      <c r="C65" s="92"/>
      <c r="D65" s="92"/>
      <c r="E65" s="92"/>
      <c r="F65" s="47">
        <v>0</v>
      </c>
      <c r="G65" s="92"/>
      <c r="H65" s="92"/>
      <c r="I65" s="92">
        <v>0</v>
      </c>
      <c r="J65" s="92"/>
      <c r="K65" s="92">
        <v>0</v>
      </c>
      <c r="L65" s="92">
        <v>0</v>
      </c>
      <c r="M65" s="92">
        <v>0</v>
      </c>
      <c r="N65" s="92">
        <v>0</v>
      </c>
      <c r="O65" s="92">
        <v>0</v>
      </c>
      <c r="P65" s="92">
        <v>0</v>
      </c>
      <c r="Q65" s="92">
        <v>0</v>
      </c>
      <c r="R65" s="92">
        <v>0</v>
      </c>
      <c r="S65" s="92">
        <v>0</v>
      </c>
      <c r="T65" s="92">
        <v>0</v>
      </c>
      <c r="U65" s="92"/>
      <c r="V65" s="92">
        <v>0</v>
      </c>
      <c r="W65" s="92">
        <v>0</v>
      </c>
      <c r="X65" s="24"/>
      <c r="Y65" s="24"/>
      <c r="Z65" s="24"/>
      <c r="AA65" s="24"/>
      <c r="AB65" s="24"/>
      <c r="AC65" s="24"/>
    </row>
    <row r="67" spans="1:29">
      <c r="D67" s="12" t="s">
        <v>54</v>
      </c>
      <c r="F67" s="1" t="s">
        <v>53</v>
      </c>
      <c r="G67" s="1" t="s">
        <v>28</v>
      </c>
      <c r="I67" s="1" t="s">
        <v>53</v>
      </c>
      <c r="J67" s="1" t="s">
        <v>53</v>
      </c>
      <c r="K67" s="1" t="s">
        <v>53</v>
      </c>
      <c r="L67" s="1" t="s">
        <v>69</v>
      </c>
      <c r="O67" s="1" t="s">
        <v>53</v>
      </c>
      <c r="P67" s="1" t="s">
        <v>53</v>
      </c>
      <c r="Q67" s="1" t="s">
        <v>53</v>
      </c>
      <c r="R67" s="1" t="s">
        <v>53</v>
      </c>
    </row>
    <row r="68" spans="1:29">
      <c r="D68" s="12" t="s">
        <v>55</v>
      </c>
      <c r="G68" s="1" t="s">
        <v>30</v>
      </c>
      <c r="I68" s="1" t="s">
        <v>78</v>
      </c>
      <c r="L68" s="1" t="s">
        <v>70</v>
      </c>
      <c r="O68" s="1" t="s">
        <v>78</v>
      </c>
      <c r="P68" s="1" t="s">
        <v>78</v>
      </c>
      <c r="Q68" s="1" t="s">
        <v>78</v>
      </c>
      <c r="R68" s="1" t="s">
        <v>78</v>
      </c>
    </row>
    <row r="69" spans="1:29">
      <c r="D69" s="1" t="s">
        <v>27</v>
      </c>
      <c r="G69" s="1" t="s">
        <v>32</v>
      </c>
      <c r="I69" s="1" t="s">
        <v>79</v>
      </c>
      <c r="J69" s="1" t="s">
        <v>76</v>
      </c>
      <c r="O69" s="1" t="s">
        <v>79</v>
      </c>
      <c r="P69" s="1" t="s">
        <v>79</v>
      </c>
      <c r="Q69" s="1" t="s">
        <v>79</v>
      </c>
      <c r="R69" s="1" t="s">
        <v>79</v>
      </c>
    </row>
    <row r="70" spans="1:29">
      <c r="D70" s="1" t="s">
        <v>29</v>
      </c>
      <c r="G70" s="1" t="s">
        <v>28</v>
      </c>
      <c r="I70" s="1" t="s">
        <v>80</v>
      </c>
      <c r="J70" s="1" t="s">
        <v>72</v>
      </c>
      <c r="Q70" s="1" t="s">
        <v>80</v>
      </c>
      <c r="R70" s="1" t="s">
        <v>80</v>
      </c>
    </row>
    <row r="71" spans="1:29">
      <c r="D71" s="1" t="s">
        <v>31</v>
      </c>
      <c r="J71" s="1" t="s">
        <v>73</v>
      </c>
    </row>
    <row r="72" spans="1:29">
      <c r="D72" s="1" t="s">
        <v>33</v>
      </c>
      <c r="G72" s="1" t="s">
        <v>30</v>
      </c>
      <c r="J72" s="1" t="s">
        <v>74</v>
      </c>
    </row>
    <row r="73" spans="1:29">
      <c r="D73" s="1" t="s">
        <v>34</v>
      </c>
      <c r="G73" s="12" t="s">
        <v>36</v>
      </c>
    </row>
    <row r="74" spans="1:29">
      <c r="B74" s="12"/>
      <c r="D74" s="1" t="s">
        <v>35</v>
      </c>
      <c r="G74" s="12" t="s">
        <v>38</v>
      </c>
    </row>
    <row r="75" spans="1:29">
      <c r="B75" s="35" t="s">
        <v>71</v>
      </c>
      <c r="D75" s="1" t="s">
        <v>37</v>
      </c>
    </row>
    <row r="76" spans="1:29">
      <c r="D76" s="12" t="s">
        <v>36</v>
      </c>
    </row>
    <row r="77" spans="1:29">
      <c r="D77" s="12" t="s">
        <v>38</v>
      </c>
    </row>
    <row r="102" spans="4:4">
      <c r="D102" s="11"/>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abColor theme="0" tint="-0.499984740745262"/>
  </sheetPr>
  <dimension ref="A1:V70"/>
  <sheetViews>
    <sheetView showZeros="0" zoomScale="80" zoomScaleNormal="80" workbookViewId="0">
      <pane xSplit="1" ySplit="5" topLeftCell="Q6" activePane="bottomRight" state="frozen"/>
      <selection activeCell="Z72" sqref="Z72"/>
      <selection pane="topRight" activeCell="Z72" sqref="Z72"/>
      <selection pane="bottomLeft" activeCell="Z72" sqref="Z72"/>
      <selection pane="bottomRight" activeCell="V48" sqref="V48"/>
    </sheetView>
  </sheetViews>
  <sheetFormatPr defaultColWidth="9.7109375" defaultRowHeight="12.75"/>
  <cols>
    <col min="1" max="1" width="23.42578125" style="44" customWidth="1"/>
    <col min="2" max="22" width="12.42578125" style="1" customWidth="1"/>
    <col min="23" max="50" width="10.7109375" style="1" customWidth="1"/>
    <col min="51" max="16384" width="9.7109375" style="1"/>
  </cols>
  <sheetData>
    <row r="1" spans="1:22">
      <c r="A1" s="7" t="s">
        <v>39</v>
      </c>
      <c r="B1"/>
      <c r="C1"/>
      <c r="D1"/>
      <c r="E1"/>
      <c r="F1"/>
      <c r="G1"/>
      <c r="H1"/>
      <c r="I1"/>
      <c r="J1"/>
      <c r="K1"/>
      <c r="L1"/>
      <c r="M1"/>
      <c r="N1"/>
      <c r="O1"/>
      <c r="P1"/>
      <c r="Q1"/>
      <c r="R1"/>
      <c r="S1"/>
      <c r="T1"/>
      <c r="U1"/>
      <c r="V1"/>
    </row>
    <row r="2" spans="1:22">
      <c r="A2" s="7"/>
      <c r="B2"/>
      <c r="C2"/>
      <c r="D2"/>
      <c r="E2"/>
      <c r="F2"/>
      <c r="G2"/>
      <c r="H2"/>
      <c r="I2"/>
      <c r="J2"/>
      <c r="K2"/>
      <c r="L2"/>
      <c r="M2"/>
      <c r="N2"/>
      <c r="O2"/>
      <c r="P2"/>
      <c r="Q2"/>
      <c r="R2"/>
      <c r="S2"/>
      <c r="T2"/>
      <c r="U2"/>
      <c r="V2"/>
    </row>
    <row r="3" spans="1:22">
      <c r="A3" s="7" t="s">
        <v>24</v>
      </c>
      <c r="B3"/>
      <c r="C3"/>
      <c r="D3"/>
      <c r="E3"/>
      <c r="F3"/>
      <c r="G3"/>
      <c r="H3"/>
      <c r="I3"/>
      <c r="J3"/>
      <c r="K3"/>
      <c r="L3"/>
      <c r="M3"/>
      <c r="N3"/>
      <c r="O3"/>
      <c r="P3"/>
      <c r="Q3"/>
      <c r="R3"/>
      <c r="S3"/>
      <c r="T3"/>
      <c r="U3"/>
      <c r="V3"/>
    </row>
    <row r="4" spans="1:22"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row>
    <row r="5" spans="1:22" s="8" customFormat="1">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row>
    <row r="6" spans="1:22">
      <c r="A6" s="24" t="s">
        <v>118</v>
      </c>
      <c r="B6" s="1">
        <f>1349314+2152017</f>
        <v>3501331</v>
      </c>
      <c r="C6" s="1">
        <f>1446136+2436913</f>
        <v>3883049</v>
      </c>
      <c r="D6" s="1">
        <f>1513783+2442048</f>
        <v>3955831</v>
      </c>
      <c r="E6" s="1">
        <v>4835378.8339999998</v>
      </c>
      <c r="F6" s="49">
        <f>+F7+F25+F40+F54+F65</f>
        <v>4790470.4630000005</v>
      </c>
      <c r="G6" s="1">
        <v>5106568.0310000004</v>
      </c>
      <c r="H6" s="1">
        <v>5306759.9879999999</v>
      </c>
      <c r="I6" s="49">
        <f>+I7+I25+I40+I54+I65</f>
        <v>5329886.4000000004</v>
      </c>
      <c r="J6" s="1">
        <v>5663812.8229999999</v>
      </c>
      <c r="K6" s="49">
        <f t="shared" ref="K6:U6" si="0">+K7+K25+K40+K54+K65</f>
        <v>5879204.37316</v>
      </c>
      <c r="L6" s="49">
        <f t="shared" si="0"/>
        <v>6794801.1830000011</v>
      </c>
      <c r="M6" s="49">
        <f t="shared" si="0"/>
        <v>7508336.830000001</v>
      </c>
      <c r="N6" s="49">
        <f t="shared" si="0"/>
        <v>7958508.0290000001</v>
      </c>
      <c r="O6" s="49">
        <f t="shared" si="0"/>
        <v>8176685.1079999991</v>
      </c>
      <c r="P6" s="49">
        <f t="shared" si="0"/>
        <v>8701299.4269999992</v>
      </c>
      <c r="Q6" s="49">
        <f t="shared" si="0"/>
        <v>9857903.2649999987</v>
      </c>
      <c r="R6" s="49">
        <f t="shared" si="0"/>
        <v>10586363.275999999</v>
      </c>
      <c r="S6" s="49">
        <f t="shared" si="0"/>
        <v>11081013.186000001</v>
      </c>
      <c r="T6" s="49">
        <f t="shared" si="0"/>
        <v>9419683.9550000019</v>
      </c>
      <c r="U6" s="49">
        <f t="shared" si="0"/>
        <v>7619954.7989999996</v>
      </c>
      <c r="V6" s="49">
        <f t="shared" ref="V6" si="1">+V7+V25+V40+V54+V65</f>
        <v>0</v>
      </c>
    </row>
    <row r="7" spans="1:22">
      <c r="A7" s="1" t="s">
        <v>56</v>
      </c>
      <c r="B7" s="48">
        <f>SUM(B8:B24)</f>
        <v>1176622</v>
      </c>
      <c r="C7" s="48">
        <f t="shared" ref="C7:U7" si="2">SUM(C8:C24)</f>
        <v>1265365</v>
      </c>
      <c r="D7" s="48">
        <f t="shared" si="2"/>
        <v>1296726</v>
      </c>
      <c r="E7" s="48">
        <f t="shared" si="2"/>
        <v>1597628.1369999999</v>
      </c>
      <c r="F7" s="48">
        <f t="shared" si="2"/>
        <v>1596796.8770000001</v>
      </c>
      <c r="G7" s="48">
        <f t="shared" si="2"/>
        <v>1684658.8690000002</v>
      </c>
      <c r="H7" s="48">
        <f t="shared" si="2"/>
        <v>1770116.7949999999</v>
      </c>
      <c r="I7" s="48">
        <f t="shared" si="2"/>
        <v>1833486.7859999998</v>
      </c>
      <c r="J7" s="48">
        <f t="shared" si="2"/>
        <v>1901725.2220000005</v>
      </c>
      <c r="K7" s="48">
        <f t="shared" si="2"/>
        <v>1970849.1445500001</v>
      </c>
      <c r="L7" s="48">
        <f t="shared" si="2"/>
        <v>2328513.6950000003</v>
      </c>
      <c r="M7" s="48">
        <f t="shared" si="2"/>
        <v>2616721.7990000001</v>
      </c>
      <c r="N7" s="48">
        <f t="shared" si="2"/>
        <v>3037250.4560000002</v>
      </c>
      <c r="O7" s="48">
        <f t="shared" si="2"/>
        <v>3202666.2539999997</v>
      </c>
      <c r="P7" s="48">
        <f t="shared" si="2"/>
        <v>3432819.4549999996</v>
      </c>
      <c r="Q7" s="48">
        <f t="shared" si="2"/>
        <v>3770520.3320000004</v>
      </c>
      <c r="R7" s="48">
        <f t="shared" si="2"/>
        <v>4064872.571</v>
      </c>
      <c r="S7" s="48">
        <f t="shared" si="2"/>
        <v>4265144.9239999996</v>
      </c>
      <c r="T7" s="48">
        <f t="shared" si="2"/>
        <v>3888347.1749999998</v>
      </c>
      <c r="U7" s="48">
        <f t="shared" si="2"/>
        <v>3161441.986</v>
      </c>
      <c r="V7" s="48">
        <f t="shared" ref="V7" si="3">SUM(V8:V24)</f>
        <v>0</v>
      </c>
    </row>
    <row r="8" spans="1:22">
      <c r="A8" s="7" t="s">
        <v>119</v>
      </c>
    </row>
    <row r="9" spans="1:22">
      <c r="A9" s="1" t="s">
        <v>3</v>
      </c>
      <c r="B9" s="1">
        <f>19877+40321</f>
        <v>60198</v>
      </c>
      <c r="C9" s="1">
        <f>24198+46629</f>
        <v>70827</v>
      </c>
      <c r="D9" s="1">
        <f>25414+47489</f>
        <v>72903</v>
      </c>
      <c r="E9" s="1">
        <v>94919.786999999997</v>
      </c>
      <c r="F9" s="42">
        <v>91449.498999999996</v>
      </c>
      <c r="G9" s="1">
        <v>96099.126000000004</v>
      </c>
      <c r="H9" s="1">
        <v>107402.019</v>
      </c>
      <c r="I9" s="1">
        <v>111746.382</v>
      </c>
      <c r="J9" s="1">
        <v>113973.533</v>
      </c>
      <c r="K9" s="1">
        <v>114403.257</v>
      </c>
      <c r="L9" s="1">
        <v>131937.33199999999</v>
      </c>
      <c r="M9" s="1">
        <v>141522.66699999999</v>
      </c>
      <c r="N9" s="1">
        <v>141759.696</v>
      </c>
      <c r="O9" s="1">
        <v>178472.715</v>
      </c>
      <c r="P9" s="1">
        <v>177134.535</v>
      </c>
      <c r="Q9" s="1">
        <v>179980.86199999999</v>
      </c>
      <c r="R9" s="1">
        <v>209608.666</v>
      </c>
      <c r="S9" s="1">
        <v>241711.01500000001</v>
      </c>
      <c r="T9" s="1">
        <v>169028.60800000001</v>
      </c>
      <c r="U9" s="1">
        <v>120781.45699999999</v>
      </c>
    </row>
    <row r="10" spans="1:22">
      <c r="A10" s="1" t="s">
        <v>4</v>
      </c>
      <c r="B10" s="1">
        <f>7760+21690</f>
        <v>29450</v>
      </c>
      <c r="C10" s="1">
        <f>9044+23491</f>
        <v>32535</v>
      </c>
      <c r="D10" s="1">
        <f>9699+25447</f>
        <v>35146</v>
      </c>
      <c r="E10" s="1">
        <v>43507.330999999998</v>
      </c>
      <c r="F10" s="42">
        <v>46156.713000000003</v>
      </c>
      <c r="G10" s="1">
        <v>49886.696000000004</v>
      </c>
      <c r="H10" s="1">
        <v>51818.625</v>
      </c>
      <c r="I10" s="1">
        <v>49917.762000000002</v>
      </c>
      <c r="J10" s="1">
        <v>54627.021999999997</v>
      </c>
      <c r="K10" s="1">
        <v>57705.860999999997</v>
      </c>
      <c r="L10" s="1">
        <v>69362.252999999997</v>
      </c>
      <c r="M10" s="1">
        <v>75200.47</v>
      </c>
      <c r="N10" s="1">
        <v>90474.785000000003</v>
      </c>
      <c r="O10" s="1">
        <v>88900.418000000005</v>
      </c>
      <c r="P10" s="1">
        <v>94857.922999999995</v>
      </c>
      <c r="Q10" s="1">
        <v>109349.66099999999</v>
      </c>
      <c r="R10" s="1">
        <v>121503.73699999999</v>
      </c>
      <c r="S10" s="1">
        <v>119711.205</v>
      </c>
      <c r="T10" s="1">
        <v>103992.933</v>
      </c>
      <c r="U10" s="1">
        <v>87243.345000000001</v>
      </c>
    </row>
    <row r="11" spans="1:22">
      <c r="A11" s="1" t="s">
        <v>52</v>
      </c>
      <c r="D11" s="1">
        <f>13180+2617</f>
        <v>15797</v>
      </c>
      <c r="E11" s="1">
        <v>21079.15</v>
      </c>
      <c r="F11" s="42">
        <v>20827.583999999999</v>
      </c>
      <c r="I11" s="1">
        <v>24429.346000000001</v>
      </c>
      <c r="J11" s="1">
        <v>25910.583999999999</v>
      </c>
      <c r="K11" s="1">
        <v>28209.886999999999</v>
      </c>
      <c r="L11" s="1">
        <v>36607.586000000003</v>
      </c>
      <c r="M11" s="1">
        <v>4038.402</v>
      </c>
      <c r="N11" s="1">
        <v>3862.6669999999999</v>
      </c>
      <c r="O11" s="1">
        <v>4513.7280000000001</v>
      </c>
      <c r="P11" s="1">
        <v>4349.1480000000001</v>
      </c>
      <c r="Q11" s="1">
        <v>3752.777</v>
      </c>
      <c r="R11" s="1">
        <v>5150.0810000000001</v>
      </c>
      <c r="S11" s="1">
        <v>6156.3180000000002</v>
      </c>
      <c r="T11" s="1">
        <v>0</v>
      </c>
      <c r="U11" s="1">
        <v>0</v>
      </c>
    </row>
    <row r="12" spans="1:22">
      <c r="A12" s="1" t="s">
        <v>5</v>
      </c>
      <c r="B12" s="1">
        <f>41255+38060</f>
        <v>79315</v>
      </c>
      <c r="C12" s="1">
        <f>46956+41792</f>
        <v>88748</v>
      </c>
      <c r="D12" s="1">
        <f>48511+44114</f>
        <v>92625</v>
      </c>
      <c r="E12" s="1">
        <v>120961.906</v>
      </c>
      <c r="F12" s="42">
        <v>125083.906</v>
      </c>
      <c r="G12" s="1">
        <v>128408.181</v>
      </c>
      <c r="H12" s="1">
        <v>135402.68799999999</v>
      </c>
      <c r="I12" s="1">
        <v>142771.141</v>
      </c>
      <c r="J12" s="1">
        <v>147873.62400000001</v>
      </c>
      <c r="K12" s="1">
        <v>156696.84299999999</v>
      </c>
      <c r="L12" s="1">
        <v>204692.76199999999</v>
      </c>
      <c r="M12" s="1">
        <v>221623.09</v>
      </c>
      <c r="N12" s="1">
        <v>220010.27499999999</v>
      </c>
      <c r="O12" s="1">
        <v>270646.81099999999</v>
      </c>
      <c r="P12" s="1">
        <v>322327.88099999999</v>
      </c>
      <c r="Q12" s="1">
        <v>295986.576</v>
      </c>
      <c r="R12" s="1">
        <v>359852.33</v>
      </c>
      <c r="S12" s="1">
        <v>375591.28200000001</v>
      </c>
      <c r="T12" s="1">
        <v>385862.54599999997</v>
      </c>
      <c r="U12" s="1">
        <v>256793.55100000001</v>
      </c>
    </row>
    <row r="13" spans="1:22">
      <c r="A13" s="1" t="s">
        <v>6</v>
      </c>
      <c r="B13" s="1">
        <f>23938+51029</f>
        <v>74967</v>
      </c>
      <c r="C13" s="1">
        <f>27171+56537</f>
        <v>83708</v>
      </c>
      <c r="D13" s="1">
        <f>26615+59818</f>
        <v>86433</v>
      </c>
      <c r="E13" s="1">
        <v>117903.266</v>
      </c>
      <c r="F13" s="42">
        <v>118836.13</v>
      </c>
      <c r="G13" s="1">
        <v>127850.78200000001</v>
      </c>
      <c r="H13" s="1">
        <v>138176.747</v>
      </c>
      <c r="I13" s="1">
        <v>149448.76199999999</v>
      </c>
      <c r="J13" s="1">
        <v>157345.285</v>
      </c>
      <c r="K13" s="1">
        <v>169511.70499999999</v>
      </c>
      <c r="L13" s="1">
        <v>194148.99799999999</v>
      </c>
      <c r="M13" s="1">
        <v>204722.07</v>
      </c>
      <c r="N13" s="1">
        <v>254822.92199999999</v>
      </c>
      <c r="O13" s="1">
        <v>263662.80599999998</v>
      </c>
      <c r="P13" s="1">
        <v>268966.163</v>
      </c>
      <c r="Q13" s="1">
        <v>312301.89500000002</v>
      </c>
      <c r="R13" s="1">
        <v>351062.679</v>
      </c>
      <c r="S13" s="1">
        <v>369063.00400000002</v>
      </c>
      <c r="T13" s="1">
        <v>399621.04399999999</v>
      </c>
      <c r="U13" s="1">
        <v>363704.91700000002</v>
      </c>
    </row>
    <row r="14" spans="1:22">
      <c r="A14" s="1" t="s">
        <v>7</v>
      </c>
      <c r="B14" s="1">
        <f>30179+28541</f>
        <v>58720</v>
      </c>
      <c r="C14" s="1">
        <f>33661+30094</f>
        <v>63755</v>
      </c>
      <c r="D14" s="1">
        <f>32931+29857</f>
        <v>62788</v>
      </c>
      <c r="E14" s="1">
        <v>79280.880999999994</v>
      </c>
      <c r="F14" s="42">
        <v>80400.895000000004</v>
      </c>
      <c r="G14" s="1">
        <v>76131.902000000002</v>
      </c>
      <c r="H14" s="1">
        <v>79475.837</v>
      </c>
      <c r="I14" s="1">
        <v>84783.857000000004</v>
      </c>
      <c r="J14" s="1">
        <v>91029.235000000001</v>
      </c>
      <c r="K14" s="1">
        <v>89387.506999999998</v>
      </c>
      <c r="L14" s="1">
        <v>105673.878</v>
      </c>
      <c r="M14" s="1">
        <v>107965.51300000001</v>
      </c>
      <c r="N14" s="1">
        <v>137971.02799999999</v>
      </c>
      <c r="O14" s="1">
        <v>136187.81200000001</v>
      </c>
      <c r="P14" s="1">
        <v>142771.565</v>
      </c>
      <c r="Q14" s="1">
        <v>146807.571</v>
      </c>
      <c r="R14" s="1">
        <v>165195.15400000001</v>
      </c>
      <c r="S14" s="1">
        <v>175436.23800000001</v>
      </c>
      <c r="T14" s="1">
        <v>188253.20199999999</v>
      </c>
      <c r="U14" s="1">
        <v>192885.66500000001</v>
      </c>
    </row>
    <row r="15" spans="1:22">
      <c r="A15" s="1" t="s">
        <v>8</v>
      </c>
      <c r="B15" s="1">
        <f>19479+56168</f>
        <v>75647</v>
      </c>
      <c r="C15" s="1">
        <f>22431+58775</f>
        <v>81206</v>
      </c>
      <c r="D15" s="1">
        <f>22480+58001</f>
        <v>80481</v>
      </c>
      <c r="E15" s="1">
        <v>90009.660999999993</v>
      </c>
      <c r="F15" s="42">
        <v>87415.701000000001</v>
      </c>
      <c r="G15" s="1">
        <v>92071.813999999998</v>
      </c>
      <c r="H15" s="1">
        <v>97310.481</v>
      </c>
      <c r="I15" s="1">
        <v>94341.258000000002</v>
      </c>
      <c r="J15" s="1">
        <v>107047.545</v>
      </c>
      <c r="K15" s="1">
        <v>104434.442</v>
      </c>
      <c r="L15" s="1">
        <v>113214.77800000001</v>
      </c>
      <c r="M15" s="1">
        <v>136414.451</v>
      </c>
      <c r="N15" s="1">
        <v>168523.49</v>
      </c>
      <c r="O15" s="1">
        <v>200937.508</v>
      </c>
      <c r="P15" s="1">
        <v>198720.70499999999</v>
      </c>
      <c r="Q15" s="1">
        <v>210372.18900000001</v>
      </c>
      <c r="R15" s="1">
        <v>214719.73</v>
      </c>
      <c r="S15" s="1">
        <v>249939.18299999999</v>
      </c>
      <c r="T15" s="1">
        <v>116144.254</v>
      </c>
      <c r="U15" s="1">
        <v>53820.571000000004</v>
      </c>
    </row>
    <row r="16" spans="1:22">
      <c r="A16" s="1" t="s">
        <v>9</v>
      </c>
      <c r="B16" s="1">
        <v>70323</v>
      </c>
      <c r="C16" s="1">
        <f>0+73633</f>
        <v>73633</v>
      </c>
      <c r="D16" s="1">
        <v>76230</v>
      </c>
      <c r="E16" s="1">
        <v>94074.097999999998</v>
      </c>
      <c r="F16" s="42">
        <v>93694.430999999997</v>
      </c>
      <c r="G16" s="1">
        <v>101054.09299999999</v>
      </c>
      <c r="H16" s="1">
        <v>108356.302</v>
      </c>
      <c r="I16" s="1">
        <v>110268.485</v>
      </c>
      <c r="J16" s="1">
        <v>117740.746</v>
      </c>
      <c r="K16" s="1">
        <v>124324.363</v>
      </c>
      <c r="L16" s="1">
        <v>145549.13099999999</v>
      </c>
      <c r="M16" s="1">
        <v>151027.804</v>
      </c>
      <c r="N16" s="1">
        <v>233255.943</v>
      </c>
      <c r="O16" s="1">
        <v>203960.81899999999</v>
      </c>
      <c r="P16" s="1">
        <v>218383.83499999999</v>
      </c>
      <c r="Q16" s="1">
        <v>298364.68300000002</v>
      </c>
      <c r="R16" s="1">
        <v>276878.88099999999</v>
      </c>
      <c r="S16" s="1">
        <v>289429.38500000001</v>
      </c>
      <c r="T16" s="1">
        <v>130947.11199999999</v>
      </c>
      <c r="U16" s="1">
        <v>74530.94</v>
      </c>
    </row>
    <row r="17" spans="1:22">
      <c r="A17" s="1" t="s">
        <v>10</v>
      </c>
      <c r="B17" s="1">
        <f>6254+25623</f>
        <v>31877</v>
      </c>
      <c r="C17" s="1">
        <f>6018+27855</f>
        <v>33873</v>
      </c>
      <c r="D17" s="1">
        <f>6130+27864</f>
        <v>33994</v>
      </c>
      <c r="E17" s="1">
        <v>45935.357000000004</v>
      </c>
      <c r="F17" s="42">
        <v>45069.656999999999</v>
      </c>
      <c r="G17" s="1">
        <v>48255.356</v>
      </c>
      <c r="H17" s="1">
        <v>51910.892</v>
      </c>
      <c r="I17" s="1">
        <v>57160.163</v>
      </c>
      <c r="J17" s="1">
        <v>64766.067999999999</v>
      </c>
      <c r="K17" s="1">
        <v>65785.035000000003</v>
      </c>
      <c r="L17" s="1">
        <v>83434.952000000005</v>
      </c>
      <c r="M17" s="1">
        <v>85724.930999999997</v>
      </c>
      <c r="N17" s="1">
        <v>105436.322</v>
      </c>
      <c r="O17" s="1">
        <v>92371.724000000002</v>
      </c>
      <c r="P17" s="1">
        <v>98825.717000000004</v>
      </c>
      <c r="Q17" s="1">
        <v>115678.539</v>
      </c>
      <c r="R17" s="1">
        <v>138663.11199999999</v>
      </c>
      <c r="S17" s="1">
        <v>140822.08199999999</v>
      </c>
      <c r="T17" s="1">
        <v>113434.947</v>
      </c>
      <c r="U17" s="1">
        <v>91440.676000000007</v>
      </c>
    </row>
    <row r="18" spans="1:22">
      <c r="A18" s="1" t="s">
        <v>11</v>
      </c>
      <c r="B18" s="1">
        <f>25876+64816</f>
        <v>90692</v>
      </c>
      <c r="C18" s="1">
        <f>29294+71799</f>
        <v>101093</v>
      </c>
      <c r="D18" s="1">
        <f>32638+75925</f>
        <v>108563</v>
      </c>
      <c r="E18" s="1">
        <v>146154.43599999999</v>
      </c>
      <c r="F18" s="42">
        <v>152663.54999999999</v>
      </c>
      <c r="G18" s="1">
        <v>160980.74400000001</v>
      </c>
      <c r="H18" s="1">
        <v>175428.47</v>
      </c>
      <c r="I18" s="1">
        <v>176437.274</v>
      </c>
      <c r="J18" s="1">
        <v>182830.30300000001</v>
      </c>
      <c r="K18" s="1">
        <v>186248.08100000001</v>
      </c>
      <c r="L18" s="1">
        <v>226460.34099999999</v>
      </c>
      <c r="M18" s="1">
        <v>248960.90400000001</v>
      </c>
      <c r="N18" s="1">
        <v>311621.48499999999</v>
      </c>
      <c r="O18" s="1">
        <v>298435.663</v>
      </c>
      <c r="P18" s="1">
        <v>329572.32900000003</v>
      </c>
      <c r="Q18" s="1">
        <v>383902.67499999999</v>
      </c>
      <c r="R18" s="1">
        <v>458644.43099999998</v>
      </c>
      <c r="S18" s="1">
        <v>490967.81199999998</v>
      </c>
      <c r="T18" s="1">
        <v>501567.386</v>
      </c>
      <c r="U18" s="1">
        <v>492141.26799999998</v>
      </c>
    </row>
    <row r="19" spans="1:22">
      <c r="A19" s="1" t="s">
        <v>12</v>
      </c>
      <c r="B19" s="1">
        <v>47632</v>
      </c>
      <c r="C19" s="1">
        <f>0+49985</f>
        <v>49985</v>
      </c>
      <c r="D19" s="1">
        <v>55601</v>
      </c>
      <c r="E19" s="1">
        <v>57402.951999999997</v>
      </c>
      <c r="F19" s="42">
        <v>54325.436000000002</v>
      </c>
      <c r="G19" s="1">
        <v>58587.362000000001</v>
      </c>
      <c r="H19" s="1">
        <v>60138.982000000004</v>
      </c>
      <c r="I19" s="1">
        <v>60639.529000000002</v>
      </c>
      <c r="J19" s="1">
        <v>61305.591</v>
      </c>
      <c r="K19" s="1">
        <v>68807.017250000004</v>
      </c>
      <c r="L19" s="1">
        <v>87156.990999999995</v>
      </c>
      <c r="M19" s="1">
        <v>117854.432</v>
      </c>
      <c r="N19" s="1">
        <v>107003.15700000001</v>
      </c>
      <c r="O19" s="1">
        <v>111812.739</v>
      </c>
      <c r="P19" s="1">
        <v>115874.692</v>
      </c>
      <c r="Q19" s="1">
        <v>123376.374</v>
      </c>
      <c r="R19" s="1">
        <v>133137.64799999999</v>
      </c>
      <c r="S19" s="1">
        <v>145400.035</v>
      </c>
      <c r="T19" s="1">
        <v>106707.09600000001</v>
      </c>
      <c r="U19" s="1">
        <v>74550.297000000006</v>
      </c>
    </row>
    <row r="20" spans="1:22">
      <c r="A20" s="1" t="s">
        <v>13</v>
      </c>
      <c r="B20" s="1">
        <f>26576+24160</f>
        <v>50736</v>
      </c>
      <c r="C20" s="1">
        <f>30143+30153</f>
        <v>60296</v>
      </c>
      <c r="D20" s="1">
        <f>31599+31433</f>
        <v>63032</v>
      </c>
      <c r="E20" s="1">
        <v>79518.650999999998</v>
      </c>
      <c r="F20" s="42">
        <v>77523.585999999996</v>
      </c>
      <c r="G20" s="1">
        <v>80072.040999999997</v>
      </c>
      <c r="H20" s="1">
        <v>85402.642000000007</v>
      </c>
      <c r="I20" s="1">
        <v>84504.638999999996</v>
      </c>
      <c r="J20" s="1">
        <v>89131.214999999997</v>
      </c>
      <c r="K20" s="1">
        <v>88607.956999999995</v>
      </c>
      <c r="L20" s="1">
        <v>109875.641</v>
      </c>
      <c r="M20" s="1">
        <v>132490.07399999999</v>
      </c>
      <c r="N20" s="1">
        <v>147033.77499999999</v>
      </c>
      <c r="O20" s="1">
        <v>174619.90900000001</v>
      </c>
      <c r="P20" s="1">
        <v>182236.84099999999</v>
      </c>
      <c r="Q20" s="1">
        <v>204417.11199999999</v>
      </c>
      <c r="R20" s="1">
        <v>199969.774</v>
      </c>
      <c r="S20" s="1">
        <v>213153.571</v>
      </c>
      <c r="T20" s="1">
        <v>194561.337</v>
      </c>
      <c r="U20" s="1">
        <v>142877.147</v>
      </c>
    </row>
    <row r="21" spans="1:22" s="11" customFormat="1">
      <c r="A21" s="1" t="s">
        <v>14</v>
      </c>
      <c r="B21" s="1">
        <f>14420+41820</f>
        <v>56240</v>
      </c>
      <c r="C21" s="1">
        <f>16166+45174</f>
        <v>61340</v>
      </c>
      <c r="D21" s="1">
        <f>17071+48070</f>
        <v>65141</v>
      </c>
      <c r="E21" s="1">
        <v>77930.410999999993</v>
      </c>
      <c r="F21" s="42">
        <v>75517.129000000001</v>
      </c>
      <c r="G21" s="1">
        <v>79407.019</v>
      </c>
      <c r="H21" s="1">
        <v>88314.58</v>
      </c>
      <c r="I21" s="1">
        <v>91388.793999999994</v>
      </c>
      <c r="J21" s="1">
        <v>96127.11</v>
      </c>
      <c r="K21" s="1">
        <v>95730.445470000006</v>
      </c>
      <c r="L21" s="1">
        <v>109922.32</v>
      </c>
      <c r="M21" s="1">
        <v>125997.89</v>
      </c>
      <c r="N21" s="1">
        <v>154751.37400000001</v>
      </c>
      <c r="O21" s="1">
        <v>169182.989</v>
      </c>
      <c r="P21" s="1">
        <v>175450.31700000001</v>
      </c>
      <c r="Q21" s="1">
        <v>190623.633</v>
      </c>
      <c r="R21" s="1">
        <v>194785.636</v>
      </c>
      <c r="S21" s="1">
        <v>201511.005</v>
      </c>
      <c r="T21" s="1">
        <v>206678.94899999999</v>
      </c>
      <c r="U21" s="1">
        <v>219584.48699999999</v>
      </c>
      <c r="V21" s="1"/>
    </row>
    <row r="22" spans="1:22">
      <c r="A22" s="1" t="s">
        <v>15</v>
      </c>
      <c r="B22" s="1">
        <f>120720+227841</f>
        <v>348561</v>
      </c>
      <c r="C22" s="1">
        <f>120057+233921</f>
        <v>353978</v>
      </c>
      <c r="D22" s="1">
        <f>115109+217303</f>
        <v>332412</v>
      </c>
      <c r="E22" s="1">
        <v>374471.853</v>
      </c>
      <c r="F22" s="42">
        <v>366300.255</v>
      </c>
      <c r="G22" s="1">
        <v>416647.35600000003</v>
      </c>
      <c r="H22" s="1">
        <v>411593.93300000002</v>
      </c>
      <c r="I22" s="1">
        <v>414487.533</v>
      </c>
      <c r="J22" s="1">
        <v>405560.25199999998</v>
      </c>
      <c r="K22" s="1">
        <v>425993.46500000003</v>
      </c>
      <c r="L22" s="1">
        <v>475739.32699999999</v>
      </c>
      <c r="M22" s="1">
        <v>609620.80799999996</v>
      </c>
      <c r="N22" s="1">
        <v>685738.23</v>
      </c>
      <c r="O22" s="1">
        <v>735237.95200000005</v>
      </c>
      <c r="P22" s="1">
        <v>814021.96299999999</v>
      </c>
      <c r="Q22" s="1">
        <v>881372.21799999999</v>
      </c>
      <c r="R22" s="1">
        <v>859733.21299999999</v>
      </c>
      <c r="S22" s="1">
        <v>862156.42599999998</v>
      </c>
      <c r="T22" s="1">
        <v>926992.522</v>
      </c>
      <c r="U22" s="1">
        <v>629001.68099999998</v>
      </c>
    </row>
    <row r="23" spans="1:22">
      <c r="A23" s="1" t="s">
        <v>16</v>
      </c>
      <c r="B23" s="1">
        <f>27113+43838</f>
        <v>70951</v>
      </c>
      <c r="C23" s="1">
        <f>29786+47092</f>
        <v>76878</v>
      </c>
      <c r="D23" s="1">
        <f>32827+48821</f>
        <v>81648</v>
      </c>
      <c r="E23" s="1">
        <v>111485.012</v>
      </c>
      <c r="F23" s="42">
        <v>112502.27899999999</v>
      </c>
      <c r="G23" s="1">
        <v>117226.307</v>
      </c>
      <c r="H23" s="1">
        <v>124901.924</v>
      </c>
      <c r="I23" s="1">
        <v>126573.68399999999</v>
      </c>
      <c r="J23" s="1">
        <v>128327.587</v>
      </c>
      <c r="K23" s="1">
        <v>138525.65900000001</v>
      </c>
      <c r="L23" s="1">
        <v>173484.334</v>
      </c>
      <c r="M23" s="1">
        <v>190664.356</v>
      </c>
      <c r="N23" s="1">
        <v>209706.33300000001</v>
      </c>
      <c r="O23" s="1">
        <v>191833.29199999999</v>
      </c>
      <c r="P23" s="1">
        <v>210060.253</v>
      </c>
      <c r="Q23" s="1">
        <v>233719.41</v>
      </c>
      <c r="R23" s="1">
        <v>282534.84299999999</v>
      </c>
      <c r="S23" s="1">
        <v>292990.78000000003</v>
      </c>
      <c r="T23" s="1">
        <v>245676.799</v>
      </c>
      <c r="U23" s="1">
        <v>255561.446</v>
      </c>
    </row>
    <row r="24" spans="1:22">
      <c r="A24" s="24" t="s">
        <v>17</v>
      </c>
      <c r="B24" s="24">
        <f>18286+13027</f>
        <v>31313</v>
      </c>
      <c r="C24" s="24">
        <f>19411+14099</f>
        <v>33510</v>
      </c>
      <c r="D24" s="24">
        <f>18432+15500</f>
        <v>33932</v>
      </c>
      <c r="E24" s="24">
        <v>42993.385000000002</v>
      </c>
      <c r="F24" s="45">
        <v>49030.125999999997</v>
      </c>
      <c r="G24" s="24">
        <v>51980.09</v>
      </c>
      <c r="H24" s="24">
        <v>54482.673000000003</v>
      </c>
      <c r="I24" s="24">
        <v>54588.177000000003</v>
      </c>
      <c r="J24" s="24">
        <v>58129.521999999997</v>
      </c>
      <c r="K24" s="24">
        <v>56477.619829999996</v>
      </c>
      <c r="L24" s="24">
        <v>61253.071000000004</v>
      </c>
      <c r="M24" s="24">
        <v>62893.936999999998</v>
      </c>
      <c r="N24" s="24">
        <v>65278.974000000002</v>
      </c>
      <c r="O24" s="24">
        <v>81889.369000000006</v>
      </c>
      <c r="P24" s="24">
        <v>79265.588000000003</v>
      </c>
      <c r="Q24" s="24">
        <v>80514.157000000007</v>
      </c>
      <c r="R24" s="24">
        <v>93432.656000000003</v>
      </c>
      <c r="S24" s="24">
        <v>91105.582999999999</v>
      </c>
      <c r="T24" s="24">
        <v>98878.44</v>
      </c>
      <c r="U24" s="24">
        <v>106524.538</v>
      </c>
      <c r="V24" s="24"/>
    </row>
    <row r="25" spans="1:22">
      <c r="A25" s="7" t="s">
        <v>120</v>
      </c>
      <c r="B25" s="48">
        <f>SUM(B27:B39)</f>
        <v>0</v>
      </c>
      <c r="C25" s="48">
        <f t="shared" ref="C25:V25" si="4">SUM(C27:C39)</f>
        <v>0</v>
      </c>
      <c r="D25" s="48">
        <f t="shared" si="4"/>
        <v>0</v>
      </c>
      <c r="E25" s="48">
        <f t="shared" si="4"/>
        <v>0</v>
      </c>
      <c r="F25" s="48">
        <f t="shared" si="4"/>
        <v>947292.29000000015</v>
      </c>
      <c r="G25" s="48">
        <f t="shared" si="4"/>
        <v>0</v>
      </c>
      <c r="H25" s="48">
        <f t="shared" si="4"/>
        <v>0</v>
      </c>
      <c r="I25" s="48">
        <f t="shared" si="4"/>
        <v>1008779.4910000002</v>
      </c>
      <c r="J25" s="48">
        <f t="shared" si="4"/>
        <v>0</v>
      </c>
      <c r="K25" s="48">
        <f t="shared" si="4"/>
        <v>1133636.48156</v>
      </c>
      <c r="L25" s="48">
        <f t="shared" si="4"/>
        <v>1387958.476</v>
      </c>
      <c r="M25" s="48">
        <f t="shared" si="4"/>
        <v>1556363.5020000003</v>
      </c>
      <c r="N25" s="48">
        <f t="shared" si="4"/>
        <v>1570212.4080000001</v>
      </c>
      <c r="O25" s="48">
        <f t="shared" si="4"/>
        <v>1671052.6969999999</v>
      </c>
      <c r="P25" s="48">
        <f t="shared" si="4"/>
        <v>1677159.5649999999</v>
      </c>
      <c r="Q25" s="48">
        <f t="shared" si="4"/>
        <v>1978371.7689999996</v>
      </c>
      <c r="R25" s="48">
        <f t="shared" si="4"/>
        <v>2053821.5879999998</v>
      </c>
      <c r="S25" s="48">
        <f t="shared" si="4"/>
        <v>2236697.9900000002</v>
      </c>
      <c r="T25" s="48">
        <f t="shared" si="4"/>
        <v>1687055.0919999999</v>
      </c>
      <c r="U25" s="48">
        <f t="shared" si="4"/>
        <v>1515663.1719999998</v>
      </c>
      <c r="V25" s="48">
        <f t="shared" si="4"/>
        <v>0</v>
      </c>
    </row>
    <row r="26" spans="1:22">
      <c r="A26" s="7" t="s">
        <v>119</v>
      </c>
    </row>
    <row r="27" spans="1:22">
      <c r="A27" s="1" t="s">
        <v>85</v>
      </c>
      <c r="F27" s="42">
        <v>27247.137999999999</v>
      </c>
      <c r="I27" s="1">
        <v>32234.539000000001</v>
      </c>
      <c r="K27" s="1">
        <v>35914.302000000003</v>
      </c>
      <c r="L27" s="1">
        <v>33160.881000000001</v>
      </c>
      <c r="M27" s="1">
        <v>35454.678</v>
      </c>
      <c r="N27" s="1">
        <v>40106.877</v>
      </c>
      <c r="O27" s="1">
        <v>38497.47</v>
      </c>
      <c r="P27" s="1">
        <v>37593.277999999998</v>
      </c>
      <c r="Q27" s="1">
        <v>42615.798999999999</v>
      </c>
      <c r="R27" s="1">
        <v>42111.086000000003</v>
      </c>
      <c r="S27" s="1">
        <v>47941.747000000003</v>
      </c>
      <c r="T27" s="1">
        <v>52978.591</v>
      </c>
      <c r="U27" s="1">
        <v>0</v>
      </c>
    </row>
    <row r="28" spans="1:22">
      <c r="A28" s="1" t="s">
        <v>86</v>
      </c>
      <c r="F28" s="42">
        <v>79185.062999999995</v>
      </c>
      <c r="I28" s="1">
        <v>80972.899000000005</v>
      </c>
      <c r="K28" s="1">
        <v>88324.377999999997</v>
      </c>
      <c r="L28" s="1">
        <v>100699.303</v>
      </c>
      <c r="M28" s="1">
        <v>109722.784</v>
      </c>
      <c r="N28" s="1">
        <v>110040.04300000001</v>
      </c>
      <c r="O28" s="1">
        <v>106577.319</v>
      </c>
      <c r="P28" s="1">
        <v>117904.356</v>
      </c>
      <c r="Q28" s="1">
        <v>131439.69</v>
      </c>
      <c r="R28" s="1">
        <v>148691.62700000001</v>
      </c>
      <c r="S28" s="1">
        <v>180508.00399999999</v>
      </c>
      <c r="T28" s="1">
        <v>202593.37700000001</v>
      </c>
      <c r="U28" s="1">
        <v>190299.37400000001</v>
      </c>
    </row>
    <row r="29" spans="1:22">
      <c r="A29" s="1" t="s">
        <v>87</v>
      </c>
      <c r="F29" s="42">
        <v>426475.772</v>
      </c>
      <c r="I29" s="1">
        <v>425007.75599999999</v>
      </c>
      <c r="K29" s="1">
        <v>499041.63099999999</v>
      </c>
      <c r="L29" s="1">
        <v>649306.37100000004</v>
      </c>
      <c r="M29" s="1">
        <v>737880.10199999996</v>
      </c>
      <c r="N29" s="1">
        <v>671397.82799999998</v>
      </c>
      <c r="O29" s="1">
        <v>653358.02399999998</v>
      </c>
      <c r="P29" s="1">
        <v>680656.00100000005</v>
      </c>
      <c r="Q29" s="1">
        <v>778370.19299999997</v>
      </c>
      <c r="R29" s="1">
        <v>846911.28700000001</v>
      </c>
      <c r="S29" s="1">
        <v>891709.54599999997</v>
      </c>
      <c r="T29" s="1">
        <v>520207.90600000002</v>
      </c>
      <c r="U29" s="1">
        <v>461779</v>
      </c>
    </row>
    <row r="30" spans="1:22">
      <c r="A30" s="1" t="s">
        <v>88</v>
      </c>
      <c r="F30" s="42">
        <v>66819.313999999998</v>
      </c>
      <c r="I30" s="1">
        <v>80324.544999999998</v>
      </c>
      <c r="K30" s="1">
        <v>85823.714099999997</v>
      </c>
      <c r="L30" s="1">
        <v>110362.986</v>
      </c>
      <c r="M30" s="1">
        <v>124281.486</v>
      </c>
      <c r="N30" s="1">
        <v>149676.427</v>
      </c>
      <c r="O30" s="1">
        <v>158855.67199999999</v>
      </c>
      <c r="P30" s="1">
        <v>127650.51</v>
      </c>
      <c r="Q30" s="1">
        <v>281486.48</v>
      </c>
      <c r="R30" s="1">
        <v>183669.579</v>
      </c>
      <c r="S30" s="1">
        <v>199903.272</v>
      </c>
      <c r="T30" s="1">
        <v>204112.58199999999</v>
      </c>
      <c r="U30" s="1">
        <v>198637.69399999999</v>
      </c>
    </row>
    <row r="31" spans="1:22">
      <c r="A31" s="1" t="s">
        <v>91</v>
      </c>
      <c r="F31" s="42">
        <v>30812.54</v>
      </c>
      <c r="I31" s="1">
        <v>30917.713</v>
      </c>
      <c r="K31" s="1">
        <v>15870.614</v>
      </c>
      <c r="L31" s="1">
        <v>32029.722000000002</v>
      </c>
      <c r="M31" s="1">
        <v>35388.298999999999</v>
      </c>
      <c r="N31" s="1">
        <v>35101.987000000001</v>
      </c>
      <c r="O31" s="1">
        <v>35422.639999999999</v>
      </c>
      <c r="P31" s="1">
        <v>39810.091</v>
      </c>
      <c r="Q31" s="1">
        <v>40914.256999999998</v>
      </c>
      <c r="R31" s="1">
        <v>49907.629000000001</v>
      </c>
      <c r="S31" s="1">
        <v>49343.173999999999</v>
      </c>
      <c r="T31" s="1">
        <v>56429.398000000001</v>
      </c>
      <c r="U31" s="1">
        <v>55384.296999999999</v>
      </c>
    </row>
    <row r="32" spans="1:22">
      <c r="A32" s="1" t="s">
        <v>92</v>
      </c>
      <c r="F32" s="42">
        <v>24533.609</v>
      </c>
      <c r="I32" s="1">
        <v>24689.929</v>
      </c>
      <c r="K32" s="1">
        <v>28619.097000000002</v>
      </c>
      <c r="L32" s="1">
        <v>36308.817999999999</v>
      </c>
      <c r="M32" s="1">
        <v>39857.51</v>
      </c>
      <c r="N32" s="1">
        <v>40797.095999999998</v>
      </c>
      <c r="O32" s="1">
        <v>56049.034</v>
      </c>
      <c r="P32" s="1">
        <v>57932.432000000001</v>
      </c>
      <c r="Q32" s="1">
        <v>46923.067000000003</v>
      </c>
      <c r="R32" s="1">
        <v>52754.021999999997</v>
      </c>
      <c r="S32" s="1">
        <v>56144.28</v>
      </c>
      <c r="T32" s="1">
        <v>60371.355000000003</v>
      </c>
      <c r="U32" s="1">
        <v>55215.093999999997</v>
      </c>
    </row>
    <row r="33" spans="1:22">
      <c r="A33" s="1" t="s">
        <v>100</v>
      </c>
      <c r="F33" s="42">
        <v>18563.034</v>
      </c>
      <c r="I33" s="1">
        <v>18773.718000000001</v>
      </c>
      <c r="K33" s="1">
        <v>25607.162</v>
      </c>
      <c r="L33" s="1">
        <v>25254.702000000001</v>
      </c>
      <c r="M33" s="1">
        <v>25697.767</v>
      </c>
      <c r="N33" s="1">
        <v>34803.548000000003</v>
      </c>
      <c r="O33" s="1">
        <v>38645.4</v>
      </c>
      <c r="P33" s="1">
        <v>45825.285000000003</v>
      </c>
      <c r="Q33" s="1">
        <v>45536.186999999998</v>
      </c>
      <c r="R33" s="1">
        <v>45845.987999999998</v>
      </c>
      <c r="S33" s="1">
        <v>49197.599999999999</v>
      </c>
      <c r="T33" s="1">
        <v>51483.192000000003</v>
      </c>
      <c r="U33" s="1">
        <v>21759.666000000001</v>
      </c>
    </row>
    <row r="34" spans="1:22">
      <c r="A34" s="1" t="s">
        <v>102</v>
      </c>
      <c r="F34" s="42">
        <v>22278.329000000002</v>
      </c>
      <c r="I34" s="1">
        <v>23971.376</v>
      </c>
      <c r="K34" s="1">
        <v>30147.927</v>
      </c>
      <c r="L34" s="1">
        <v>35574.932999999997</v>
      </c>
      <c r="M34" s="1">
        <v>40651.726000000002</v>
      </c>
      <c r="N34" s="1">
        <v>51100.593999999997</v>
      </c>
      <c r="O34" s="1">
        <v>48734.773000000001</v>
      </c>
      <c r="P34" s="1">
        <v>64634.894</v>
      </c>
      <c r="Q34" s="1">
        <v>74071.153000000006</v>
      </c>
      <c r="R34" s="1">
        <v>86343.952999999994</v>
      </c>
      <c r="S34" s="1">
        <v>96309.835999999996</v>
      </c>
      <c r="T34" s="1">
        <v>106679.534</v>
      </c>
      <c r="U34" s="1">
        <v>89749.251999999993</v>
      </c>
    </row>
    <row r="35" spans="1:22">
      <c r="A35" s="1" t="s">
        <v>105</v>
      </c>
      <c r="F35" s="42">
        <v>42731.72</v>
      </c>
      <c r="I35" s="1">
        <v>44599.512999999999</v>
      </c>
      <c r="K35" s="1">
        <v>54401.034460000003</v>
      </c>
      <c r="L35" s="1">
        <v>54940.309000000001</v>
      </c>
      <c r="M35" s="1">
        <v>61343.722999999998</v>
      </c>
      <c r="N35" s="1">
        <v>72293.562000000005</v>
      </c>
      <c r="O35" s="1">
        <v>75974.907999999996</v>
      </c>
      <c r="P35" s="1">
        <v>81821.126000000004</v>
      </c>
      <c r="Q35" s="1">
        <v>94908.622000000003</v>
      </c>
      <c r="R35" s="1">
        <v>95128.407000000007</v>
      </c>
      <c r="S35" s="1">
        <v>105538.435</v>
      </c>
      <c r="T35" s="1">
        <v>98791.607999999993</v>
      </c>
      <c r="U35" s="1">
        <v>87841.312000000005</v>
      </c>
    </row>
    <row r="36" spans="1:22">
      <c r="A36" s="1" t="s">
        <v>109</v>
      </c>
      <c r="F36" s="42">
        <v>55574.828999999998</v>
      </c>
      <c r="I36" s="1">
        <v>56747.987000000001</v>
      </c>
      <c r="K36" s="1">
        <v>63657.260999999999</v>
      </c>
      <c r="L36" s="1">
        <v>81006.095000000001</v>
      </c>
      <c r="M36" s="1">
        <v>87907.555999999997</v>
      </c>
      <c r="N36" s="1">
        <v>73690.334000000003</v>
      </c>
      <c r="O36" s="1">
        <v>77642.213000000003</v>
      </c>
      <c r="P36" s="1">
        <v>68650.262000000002</v>
      </c>
      <c r="Q36" s="1">
        <v>75386.13</v>
      </c>
      <c r="R36" s="1">
        <v>109070.26</v>
      </c>
      <c r="S36" s="1">
        <v>116102.59299999999</v>
      </c>
      <c r="T36" s="1">
        <v>0</v>
      </c>
      <c r="U36" s="1">
        <v>0</v>
      </c>
    </row>
    <row r="37" spans="1:22">
      <c r="A37" s="1" t="s">
        <v>113</v>
      </c>
      <c r="F37" s="42">
        <v>43004.158000000003</v>
      </c>
      <c r="I37" s="1">
        <v>53763.832000000002</v>
      </c>
      <c r="K37" s="1">
        <v>58514.870999999999</v>
      </c>
      <c r="L37" s="1">
        <v>77923.247000000003</v>
      </c>
      <c r="M37" s="1">
        <v>88237.785999999993</v>
      </c>
      <c r="N37" s="1">
        <v>97445.091</v>
      </c>
      <c r="O37" s="1">
        <v>89957.006999999998</v>
      </c>
      <c r="P37" s="1">
        <v>101710.298</v>
      </c>
      <c r="Q37" s="1">
        <v>101407.31200000001</v>
      </c>
      <c r="R37" s="1">
        <v>113888.287</v>
      </c>
      <c r="S37" s="1">
        <v>111850.41800000001</v>
      </c>
      <c r="T37" s="1">
        <v>39971.398999999998</v>
      </c>
      <c r="U37" s="1">
        <v>44421.993999999999</v>
      </c>
    </row>
    <row r="38" spans="1:22">
      <c r="A38" s="1" t="s">
        <v>115</v>
      </c>
      <c r="F38" s="42">
        <v>98475.517000000007</v>
      </c>
      <c r="I38" s="1">
        <v>124436.307</v>
      </c>
      <c r="K38" s="1">
        <v>134756.99900000001</v>
      </c>
      <c r="L38" s="1">
        <v>138431.891</v>
      </c>
      <c r="M38" s="1">
        <v>156457.171</v>
      </c>
      <c r="N38" s="1">
        <v>176913.761</v>
      </c>
      <c r="O38" s="1">
        <v>272755.55300000001</v>
      </c>
      <c r="P38" s="1">
        <v>233282.45300000001</v>
      </c>
      <c r="Q38" s="1">
        <v>246622.12599999999</v>
      </c>
      <c r="R38" s="1">
        <v>258554.20499999999</v>
      </c>
      <c r="S38" s="1">
        <v>308182.75599999999</v>
      </c>
      <c r="T38" s="1">
        <v>269063.28700000001</v>
      </c>
      <c r="U38" s="1">
        <v>271198.02799999999</v>
      </c>
    </row>
    <row r="39" spans="1:22">
      <c r="A39" s="24" t="s">
        <v>117</v>
      </c>
      <c r="B39" s="24"/>
      <c r="C39" s="24"/>
      <c r="D39" s="24"/>
      <c r="E39" s="24"/>
      <c r="F39" s="45">
        <v>11591.267</v>
      </c>
      <c r="G39" s="24"/>
      <c r="H39" s="24"/>
      <c r="I39" s="24">
        <v>12339.377</v>
      </c>
      <c r="J39" s="24"/>
      <c r="K39" s="24">
        <v>12957.491</v>
      </c>
      <c r="L39" s="24">
        <v>12959.218000000001</v>
      </c>
      <c r="M39" s="24">
        <v>13482.914000000001</v>
      </c>
      <c r="N39" s="24">
        <v>16845.259999999998</v>
      </c>
      <c r="O39" s="24">
        <v>18582.684000000001</v>
      </c>
      <c r="P39" s="24">
        <v>19688.579000000002</v>
      </c>
      <c r="Q39" s="24">
        <v>18690.753000000001</v>
      </c>
      <c r="R39" s="24">
        <v>20945.258000000002</v>
      </c>
      <c r="S39" s="24">
        <v>23966.329000000002</v>
      </c>
      <c r="T39" s="24">
        <v>24372.863000000001</v>
      </c>
      <c r="U39" s="24">
        <v>39377.461000000003</v>
      </c>
      <c r="V39" s="24"/>
    </row>
    <row r="40" spans="1:22">
      <c r="A40" s="7" t="s">
        <v>121</v>
      </c>
      <c r="B40" s="48">
        <f>SUM(B42:B53)</f>
        <v>0</v>
      </c>
      <c r="C40" s="48">
        <f t="shared" ref="C40:V40" si="5">SUM(C42:C53)</f>
        <v>0</v>
      </c>
      <c r="D40" s="48">
        <f t="shared" si="5"/>
        <v>0</v>
      </c>
      <c r="E40" s="48">
        <f t="shared" si="5"/>
        <v>0</v>
      </c>
      <c r="F40" s="48">
        <f t="shared" si="5"/>
        <v>1322208.1950000001</v>
      </c>
      <c r="G40" s="48">
        <f t="shared" si="5"/>
        <v>0</v>
      </c>
      <c r="H40" s="48">
        <f t="shared" si="5"/>
        <v>0</v>
      </c>
      <c r="I40" s="48">
        <f t="shared" si="5"/>
        <v>1446462.6</v>
      </c>
      <c r="J40" s="48">
        <f t="shared" si="5"/>
        <v>0</v>
      </c>
      <c r="K40" s="48">
        <f t="shared" si="5"/>
        <v>1605355.8382699999</v>
      </c>
      <c r="L40" s="48">
        <f t="shared" si="5"/>
        <v>1825629.31</v>
      </c>
      <c r="M40" s="48">
        <f t="shared" si="5"/>
        <v>2066202.4200000002</v>
      </c>
      <c r="N40" s="48">
        <f t="shared" si="5"/>
        <v>2159789.6369999996</v>
      </c>
      <c r="O40" s="48">
        <f t="shared" si="5"/>
        <v>2186660.6289999997</v>
      </c>
      <c r="P40" s="48">
        <f t="shared" si="5"/>
        <v>2333656.3879999998</v>
      </c>
      <c r="Q40" s="48">
        <f t="shared" si="5"/>
        <v>2471174.5399999991</v>
      </c>
      <c r="R40" s="48">
        <f t="shared" si="5"/>
        <v>2751077.7129999995</v>
      </c>
      <c r="S40" s="48">
        <f t="shared" si="5"/>
        <v>2799432.1659999997</v>
      </c>
      <c r="T40" s="48">
        <f t="shared" si="5"/>
        <v>2251960.4740000004</v>
      </c>
      <c r="U40" s="48">
        <f t="shared" si="5"/>
        <v>1755913.0460000001</v>
      </c>
      <c r="V40" s="48">
        <f t="shared" si="5"/>
        <v>0</v>
      </c>
    </row>
    <row r="41" spans="1:22">
      <c r="A41" s="7" t="s">
        <v>119</v>
      </c>
    </row>
    <row r="42" spans="1:22">
      <c r="A42" s="1" t="s">
        <v>93</v>
      </c>
      <c r="F42" s="42">
        <v>193302.39799999999</v>
      </c>
      <c r="I42" s="1">
        <v>219457.49</v>
      </c>
      <c r="K42" s="1">
        <v>240420.65400000001</v>
      </c>
      <c r="L42" s="1">
        <v>270027.33899999998</v>
      </c>
      <c r="M42" s="1">
        <v>293185.717</v>
      </c>
      <c r="N42" s="1">
        <v>306717.07500000001</v>
      </c>
      <c r="O42" s="1">
        <v>329654.065</v>
      </c>
      <c r="P42" s="1">
        <v>332590.41800000001</v>
      </c>
      <c r="Q42" s="1">
        <v>356330.12599999999</v>
      </c>
      <c r="R42" s="1">
        <v>395956.4</v>
      </c>
      <c r="S42" s="1">
        <v>388809.25300000003</v>
      </c>
      <c r="T42" s="1">
        <v>426365.21</v>
      </c>
      <c r="U42" s="1">
        <v>431896.39</v>
      </c>
    </row>
    <row r="43" spans="1:22">
      <c r="A43" s="1" t="s">
        <v>58</v>
      </c>
      <c r="F43" s="42">
        <v>174146.90100000001</v>
      </c>
      <c r="I43" s="1">
        <v>186201.01</v>
      </c>
      <c r="K43" s="1">
        <v>197892.88800000001</v>
      </c>
      <c r="L43" s="1">
        <v>217289.21100000001</v>
      </c>
      <c r="M43" s="1">
        <v>224608.592</v>
      </c>
      <c r="N43" s="1">
        <v>229497.13200000001</v>
      </c>
      <c r="O43" s="1">
        <v>249196.56400000001</v>
      </c>
      <c r="P43" s="1">
        <v>260954.185</v>
      </c>
      <c r="Q43" s="1">
        <v>284333.81900000002</v>
      </c>
      <c r="R43" s="1">
        <v>299097.75900000002</v>
      </c>
      <c r="S43" s="1">
        <v>311593.223</v>
      </c>
      <c r="T43" s="1">
        <v>341137.04</v>
      </c>
      <c r="U43" s="1">
        <v>257983.44399999999</v>
      </c>
    </row>
    <row r="44" spans="1:22">
      <c r="A44" s="1" t="s">
        <v>94</v>
      </c>
      <c r="F44" s="42">
        <v>63106.853000000003</v>
      </c>
      <c r="I44" s="1">
        <v>70546.608999999997</v>
      </c>
      <c r="K44" s="1">
        <v>78395.745999999999</v>
      </c>
      <c r="L44" s="1">
        <v>92165.486000000004</v>
      </c>
      <c r="M44" s="1">
        <v>97323.569000000003</v>
      </c>
      <c r="N44" s="1">
        <v>103975.416</v>
      </c>
      <c r="O44" s="1">
        <v>83234.514999999999</v>
      </c>
      <c r="P44" s="1">
        <v>114030.171</v>
      </c>
      <c r="Q44" s="1">
        <v>120652.25900000001</v>
      </c>
      <c r="R44" s="1">
        <v>127734.042</v>
      </c>
      <c r="S44" s="1">
        <v>129592.823</v>
      </c>
      <c r="T44" s="1">
        <v>72137.748000000007</v>
      </c>
      <c r="U44" s="1">
        <v>74146.832999999999</v>
      </c>
    </row>
    <row r="45" spans="1:22">
      <c r="A45" s="1" t="s">
        <v>95</v>
      </c>
      <c r="F45" s="42">
        <v>78441.562000000005</v>
      </c>
      <c r="I45" s="1">
        <v>94093.84</v>
      </c>
      <c r="K45" s="1">
        <v>98716.209439999991</v>
      </c>
      <c r="L45" s="1">
        <v>108209.35400000001</v>
      </c>
      <c r="M45" s="1">
        <v>115881.19</v>
      </c>
      <c r="N45" s="1">
        <v>118900.54300000001</v>
      </c>
      <c r="O45" s="1">
        <v>120363.52899999999</v>
      </c>
      <c r="P45" s="1">
        <v>134337.10699999999</v>
      </c>
      <c r="Q45" s="1">
        <v>143184.06</v>
      </c>
      <c r="R45" s="1">
        <v>145099.18400000001</v>
      </c>
      <c r="S45" s="1">
        <v>147900.33799999999</v>
      </c>
      <c r="T45" s="1">
        <v>142046.587</v>
      </c>
      <c r="U45" s="1">
        <v>141820.94899999999</v>
      </c>
    </row>
    <row r="46" spans="1:22">
      <c r="A46" s="1" t="s">
        <v>98</v>
      </c>
      <c r="F46" s="42">
        <v>223357.804</v>
      </c>
      <c r="I46" s="1">
        <v>246106.07</v>
      </c>
      <c r="K46" s="1">
        <v>280582.73</v>
      </c>
      <c r="L46" s="1">
        <v>359880.777</v>
      </c>
      <c r="M46" s="1">
        <v>380932.73100000003</v>
      </c>
      <c r="N46" s="1">
        <v>476561.88400000002</v>
      </c>
      <c r="O46" s="1">
        <v>484258.21799999999</v>
      </c>
      <c r="P46" s="1">
        <v>494273.01500000001</v>
      </c>
      <c r="Q46" s="1">
        <v>523281.84299999999</v>
      </c>
      <c r="R46" s="1">
        <v>587280.58900000004</v>
      </c>
      <c r="S46" s="1">
        <v>624397.54399999999</v>
      </c>
      <c r="T46" s="1">
        <v>130428.128</v>
      </c>
      <c r="U46" s="1">
        <v>87121.606</v>
      </c>
    </row>
    <row r="47" spans="1:22">
      <c r="A47" s="1" t="s">
        <v>99</v>
      </c>
      <c r="F47" s="42">
        <v>118109.466</v>
      </c>
      <c r="I47" s="1">
        <v>120465.492</v>
      </c>
      <c r="K47" s="1">
        <v>138625.04699999999</v>
      </c>
      <c r="L47" s="1">
        <v>159335.78700000001</v>
      </c>
      <c r="M47" s="1">
        <v>178081.071</v>
      </c>
      <c r="N47" s="1">
        <v>197535.57500000001</v>
      </c>
      <c r="O47" s="1">
        <v>210267.09</v>
      </c>
      <c r="P47" s="1">
        <v>198414.11300000001</v>
      </c>
      <c r="Q47" s="1">
        <v>216897.67300000001</v>
      </c>
      <c r="R47" s="1">
        <v>247997.33600000001</v>
      </c>
      <c r="S47" s="1">
        <v>246173.16699999999</v>
      </c>
      <c r="T47" s="1">
        <v>302026.41800000001</v>
      </c>
      <c r="U47" s="1">
        <v>57756</v>
      </c>
    </row>
    <row r="48" spans="1:22">
      <c r="A48" s="1" t="s">
        <v>59</v>
      </c>
      <c r="F48" s="42">
        <v>70619.085999999996</v>
      </c>
      <c r="I48" s="1">
        <v>84082.694000000003</v>
      </c>
      <c r="K48" s="1">
        <v>110969.196</v>
      </c>
      <c r="L48" s="1">
        <v>122376.878</v>
      </c>
      <c r="M48" s="1">
        <v>224876.52499999999</v>
      </c>
      <c r="N48" s="1">
        <v>141651.55799999999</v>
      </c>
      <c r="O48" s="1">
        <v>120897.588</v>
      </c>
      <c r="P48" s="1">
        <v>127992.22900000001</v>
      </c>
      <c r="Q48" s="1">
        <v>131302.18299999999</v>
      </c>
      <c r="R48" s="1">
        <v>149376.234</v>
      </c>
      <c r="S48" s="1">
        <v>138679.87599999999</v>
      </c>
      <c r="T48" s="1">
        <v>51566.697999999997</v>
      </c>
      <c r="U48" s="1">
        <v>41970.108999999997</v>
      </c>
    </row>
    <row r="49" spans="1:22">
      <c r="A49" s="1" t="s">
        <v>101</v>
      </c>
      <c r="F49" s="42">
        <v>38947.639000000003</v>
      </c>
      <c r="I49" s="1">
        <v>43831.546000000002</v>
      </c>
      <c r="K49" s="1">
        <v>48128.921000000002</v>
      </c>
      <c r="L49" s="1">
        <v>50556.182000000001</v>
      </c>
      <c r="M49" s="1">
        <v>55049.027999999998</v>
      </c>
      <c r="N49" s="1">
        <v>67324.573999999993</v>
      </c>
      <c r="O49" s="1">
        <v>66462.581999999995</v>
      </c>
      <c r="P49" s="1">
        <v>72307.422999999995</v>
      </c>
      <c r="Q49" s="1">
        <v>81195.415999999997</v>
      </c>
      <c r="R49" s="1">
        <v>87882.9</v>
      </c>
      <c r="S49" s="1">
        <v>90300.129000000001</v>
      </c>
      <c r="T49" s="1">
        <v>93248.596999999994</v>
      </c>
      <c r="U49" s="1">
        <v>75387.972999999998</v>
      </c>
    </row>
    <row r="50" spans="1:22">
      <c r="A50" s="1" t="s">
        <v>107</v>
      </c>
      <c r="F50" s="42">
        <v>25678.436000000002</v>
      </c>
      <c r="I50" s="1">
        <v>27429.458999999999</v>
      </c>
      <c r="K50" s="1">
        <v>31967.86</v>
      </c>
      <c r="L50" s="1">
        <v>26972.197</v>
      </c>
      <c r="M50" s="1">
        <v>36694.239000000001</v>
      </c>
      <c r="N50" s="1">
        <v>39385.78</v>
      </c>
      <c r="O50" s="1">
        <v>34218.737999999998</v>
      </c>
      <c r="P50" s="1">
        <v>36983.942999999999</v>
      </c>
      <c r="Q50" s="1">
        <v>35648.243000000002</v>
      </c>
      <c r="R50" s="1">
        <v>44535.05</v>
      </c>
      <c r="S50" s="1">
        <v>41616.766000000003</v>
      </c>
      <c r="T50" s="1">
        <v>51331.307999999997</v>
      </c>
      <c r="U50" s="1">
        <v>52126.747000000003</v>
      </c>
    </row>
    <row r="51" spans="1:22">
      <c r="A51" s="1" t="s">
        <v>108</v>
      </c>
      <c r="F51" s="42">
        <v>208153.33300000001</v>
      </c>
      <c r="I51" s="1">
        <v>216586.052</v>
      </c>
      <c r="K51" s="1">
        <v>236087.79500000001</v>
      </c>
      <c r="L51" s="1">
        <v>261289.31299999999</v>
      </c>
      <c r="M51" s="1">
        <v>277714.33299999998</v>
      </c>
      <c r="N51" s="1">
        <v>297496.69799999997</v>
      </c>
      <c r="O51" s="1">
        <v>309242.23300000001</v>
      </c>
      <c r="P51" s="1">
        <v>335248.478</v>
      </c>
      <c r="Q51" s="1">
        <v>345031.625</v>
      </c>
      <c r="R51" s="1">
        <v>410225.28600000002</v>
      </c>
      <c r="S51" s="1">
        <v>396683.81599999999</v>
      </c>
      <c r="T51" s="1">
        <v>348628.27600000001</v>
      </c>
      <c r="U51" s="1">
        <v>215384.15400000001</v>
      </c>
    </row>
    <row r="52" spans="1:22">
      <c r="A52" s="1" t="s">
        <v>112</v>
      </c>
      <c r="F52" s="42">
        <v>10659.018</v>
      </c>
      <c r="I52" s="1">
        <v>12736.093999999999</v>
      </c>
      <c r="K52" s="1">
        <v>13443.74683</v>
      </c>
      <c r="L52" s="1">
        <v>16305.173000000001</v>
      </c>
      <c r="M52" s="1">
        <v>17824.628000000001</v>
      </c>
      <c r="N52" s="1">
        <v>20706.406999999999</v>
      </c>
      <c r="O52" s="1">
        <v>17974.448</v>
      </c>
      <c r="P52" s="1">
        <v>22820.232</v>
      </c>
      <c r="Q52" s="1">
        <v>24449.276999999998</v>
      </c>
      <c r="R52" s="1">
        <v>22268.681</v>
      </c>
      <c r="S52" s="1">
        <v>31167.078000000001</v>
      </c>
      <c r="T52" s="1">
        <v>38947.815000000002</v>
      </c>
      <c r="U52" s="1">
        <v>39016.131999999998</v>
      </c>
    </row>
    <row r="53" spans="1:22">
      <c r="A53" s="24" t="s">
        <v>116</v>
      </c>
      <c r="B53" s="24"/>
      <c r="C53" s="24"/>
      <c r="D53" s="24"/>
      <c r="E53" s="24"/>
      <c r="F53" s="45">
        <v>117685.69899999999</v>
      </c>
      <c r="G53" s="24"/>
      <c r="H53" s="24"/>
      <c r="I53" s="24">
        <v>124926.24400000001</v>
      </c>
      <c r="J53" s="24"/>
      <c r="K53" s="24">
        <v>130125.045</v>
      </c>
      <c r="L53" s="24">
        <v>141221.61300000001</v>
      </c>
      <c r="M53" s="24">
        <v>164030.79699999999</v>
      </c>
      <c r="N53" s="24">
        <v>160036.995</v>
      </c>
      <c r="O53" s="24">
        <v>160891.05900000001</v>
      </c>
      <c r="P53" s="24">
        <v>203705.07399999999</v>
      </c>
      <c r="Q53" s="24">
        <v>208868.016</v>
      </c>
      <c r="R53" s="24">
        <v>233624.25200000001</v>
      </c>
      <c r="S53" s="24">
        <v>252518.15299999999</v>
      </c>
      <c r="T53" s="24">
        <v>254096.649</v>
      </c>
      <c r="U53" s="24">
        <v>281302.70899999997</v>
      </c>
      <c r="V53" s="24"/>
    </row>
    <row r="54" spans="1:22">
      <c r="A54" s="7" t="s">
        <v>122</v>
      </c>
      <c r="B54" s="48">
        <f>SUM(B56:B64)</f>
        <v>0</v>
      </c>
      <c r="C54" s="48">
        <f t="shared" ref="C54:V54" si="6">SUM(C56:C64)</f>
        <v>0</v>
      </c>
      <c r="D54" s="48">
        <f t="shared" si="6"/>
        <v>0</v>
      </c>
      <c r="E54" s="48">
        <f t="shared" si="6"/>
        <v>0</v>
      </c>
      <c r="F54" s="48">
        <f t="shared" si="6"/>
        <v>907794.96400000004</v>
      </c>
      <c r="G54" s="48">
        <f t="shared" si="6"/>
        <v>0</v>
      </c>
      <c r="H54" s="48">
        <f t="shared" si="6"/>
        <v>0</v>
      </c>
      <c r="I54" s="48">
        <f t="shared" si="6"/>
        <v>1025035.6499999999</v>
      </c>
      <c r="J54" s="48">
        <f t="shared" si="6"/>
        <v>0</v>
      </c>
      <c r="K54" s="48">
        <f t="shared" si="6"/>
        <v>1151974.027</v>
      </c>
      <c r="L54" s="48">
        <f t="shared" si="6"/>
        <v>1246165.3419999999</v>
      </c>
      <c r="M54" s="48">
        <f t="shared" si="6"/>
        <v>1260990.9270000001</v>
      </c>
      <c r="N54" s="48">
        <f t="shared" si="6"/>
        <v>1184300.47</v>
      </c>
      <c r="O54" s="48">
        <f t="shared" si="6"/>
        <v>1108893.004</v>
      </c>
      <c r="P54" s="48">
        <f t="shared" si="6"/>
        <v>1249779.6679999998</v>
      </c>
      <c r="Q54" s="48">
        <f t="shared" si="6"/>
        <v>1630260.858</v>
      </c>
      <c r="R54" s="48">
        <f t="shared" si="6"/>
        <v>1707780.6230000001</v>
      </c>
      <c r="S54" s="48">
        <f t="shared" si="6"/>
        <v>1770328.3659999997</v>
      </c>
      <c r="T54" s="48">
        <f t="shared" si="6"/>
        <v>1578008.1069999998</v>
      </c>
      <c r="U54" s="48">
        <f t="shared" si="6"/>
        <v>1170224.9639999999</v>
      </c>
      <c r="V54" s="48">
        <f t="shared" si="6"/>
        <v>0</v>
      </c>
    </row>
    <row r="55" spans="1:22">
      <c r="A55" s="7" t="s">
        <v>119</v>
      </c>
    </row>
    <row r="56" spans="1:22">
      <c r="A56" s="1" t="s">
        <v>89</v>
      </c>
      <c r="F56" s="42">
        <v>54627.347000000002</v>
      </c>
      <c r="I56" s="1">
        <v>65700.97</v>
      </c>
      <c r="K56" s="1">
        <v>62917.338000000003</v>
      </c>
      <c r="L56" s="1">
        <v>90913.577000000005</v>
      </c>
      <c r="M56" s="1">
        <v>89637.682000000001</v>
      </c>
      <c r="N56" s="1">
        <v>93670.433999999994</v>
      </c>
      <c r="O56" s="1">
        <v>107087.541</v>
      </c>
      <c r="P56" s="1">
        <v>110345.73299999999</v>
      </c>
      <c r="Q56" s="1">
        <v>160345.87700000001</v>
      </c>
      <c r="R56" s="1">
        <v>172784.61799999999</v>
      </c>
      <c r="S56" s="1">
        <v>167520.549</v>
      </c>
      <c r="T56" s="1">
        <v>106984.575</v>
      </c>
      <c r="U56" s="1">
        <v>91790.323999999993</v>
      </c>
    </row>
    <row r="57" spans="1:22">
      <c r="A57" s="1" t="s">
        <v>96</v>
      </c>
      <c r="F57" s="42">
        <v>22537.149000000001</v>
      </c>
      <c r="I57" s="1">
        <v>23219.721000000001</v>
      </c>
      <c r="K57" s="1">
        <v>25286.573</v>
      </c>
      <c r="L57" s="1">
        <v>27183.235000000001</v>
      </c>
      <c r="M57" s="1">
        <v>30064.795999999998</v>
      </c>
      <c r="N57" s="1">
        <v>30347.91</v>
      </c>
      <c r="O57" s="1">
        <v>34536.900999999998</v>
      </c>
      <c r="P57" s="1">
        <v>36855.563999999998</v>
      </c>
      <c r="Q57" s="1">
        <v>40463.455999999998</v>
      </c>
      <c r="R57" s="1">
        <v>46783.86</v>
      </c>
      <c r="S57" s="1">
        <v>47540.892</v>
      </c>
      <c r="T57" s="1">
        <v>51567.811999999998</v>
      </c>
      <c r="U57" s="1">
        <v>52427.845000000001</v>
      </c>
    </row>
    <row r="58" spans="1:22" s="11" customFormat="1">
      <c r="A58" s="1" t="s">
        <v>97</v>
      </c>
      <c r="B58" s="1"/>
      <c r="C58" s="1"/>
      <c r="D58" s="1"/>
      <c r="E58" s="1"/>
      <c r="F58" s="42">
        <v>87456.43</v>
      </c>
      <c r="G58" s="1"/>
      <c r="H58" s="1"/>
      <c r="I58" s="1">
        <v>111027.535</v>
      </c>
      <c r="J58" s="1"/>
      <c r="K58" s="1">
        <v>113443.482</v>
      </c>
      <c r="L58" s="1">
        <v>133367.29699999999</v>
      </c>
      <c r="M58" s="1">
        <v>146950.774</v>
      </c>
      <c r="N58" s="1">
        <v>154590.83499999999</v>
      </c>
      <c r="O58" s="1">
        <v>154737.848</v>
      </c>
      <c r="P58" s="1">
        <v>174597.45199999999</v>
      </c>
      <c r="Q58" s="1">
        <v>208590.40400000001</v>
      </c>
      <c r="R58" s="1">
        <v>239583.61600000001</v>
      </c>
      <c r="S58" s="1">
        <v>248935.728</v>
      </c>
      <c r="T58" s="1">
        <v>255573.86</v>
      </c>
      <c r="U58" s="1">
        <v>203532.29699999999</v>
      </c>
      <c r="V58" s="1"/>
    </row>
    <row r="59" spans="1:22">
      <c r="A59" s="1" t="s">
        <v>103</v>
      </c>
      <c r="F59" s="42">
        <v>11770.768</v>
      </c>
      <c r="I59" s="1">
        <v>14894.15</v>
      </c>
      <c r="K59" s="1">
        <v>16537.701000000001</v>
      </c>
      <c r="L59" s="1">
        <v>17986.597000000002</v>
      </c>
      <c r="M59" s="1">
        <v>17157.830000000002</v>
      </c>
      <c r="N59" s="1">
        <v>20489.866000000002</v>
      </c>
      <c r="O59" s="1">
        <v>19907.644</v>
      </c>
      <c r="P59" s="1">
        <v>23522.32</v>
      </c>
      <c r="Q59" s="1">
        <v>32992.339</v>
      </c>
      <c r="R59" s="1">
        <v>32967.014999999999</v>
      </c>
      <c r="S59" s="1">
        <v>38487.894999999997</v>
      </c>
      <c r="T59" s="1">
        <v>0</v>
      </c>
      <c r="U59" s="1">
        <v>0</v>
      </c>
    </row>
    <row r="60" spans="1:22">
      <c r="A60" s="1" t="s">
        <v>104</v>
      </c>
      <c r="F60" s="42">
        <v>91714.248000000007</v>
      </c>
      <c r="I60" s="1">
        <v>108668.83900000001</v>
      </c>
      <c r="K60" s="1">
        <v>181964.057</v>
      </c>
      <c r="L60" s="1">
        <v>127892.113</v>
      </c>
      <c r="M60" s="1">
        <v>138256.06899999999</v>
      </c>
      <c r="N60" s="1">
        <v>147237.72700000001</v>
      </c>
      <c r="O60" s="1">
        <v>150660.16800000001</v>
      </c>
      <c r="P60" s="1">
        <v>163149.29500000001</v>
      </c>
      <c r="Q60" s="1">
        <v>284699.935</v>
      </c>
      <c r="R60" s="1">
        <v>319158.85100000002</v>
      </c>
      <c r="S60" s="1">
        <v>316192.005</v>
      </c>
      <c r="T60" s="1">
        <v>136984.71299999999</v>
      </c>
      <c r="U60" s="1">
        <v>146554.10800000001</v>
      </c>
    </row>
    <row r="61" spans="1:22">
      <c r="A61" s="1" t="s">
        <v>106</v>
      </c>
      <c r="F61" s="42">
        <v>355659.80699999997</v>
      </c>
      <c r="I61" s="1">
        <v>409674.59399999998</v>
      </c>
      <c r="K61" s="1">
        <v>438884.52500000002</v>
      </c>
      <c r="L61" s="1">
        <v>502108.853</v>
      </c>
      <c r="M61" s="1">
        <v>528830.946</v>
      </c>
      <c r="N61" s="1">
        <v>518260.63</v>
      </c>
      <c r="O61" s="1">
        <v>484733.21</v>
      </c>
      <c r="P61" s="1">
        <v>559350.26</v>
      </c>
      <c r="Q61" s="1">
        <v>706122.50699999998</v>
      </c>
      <c r="R61" s="1">
        <v>669906.42799999996</v>
      </c>
      <c r="S61" s="1">
        <v>723344.84199999995</v>
      </c>
      <c r="T61" s="1">
        <v>804568.13399999996</v>
      </c>
      <c r="U61" s="1">
        <v>470184.56400000001</v>
      </c>
    </row>
    <row r="62" spans="1:22">
      <c r="A62" s="1" t="s">
        <v>110</v>
      </c>
      <c r="F62" s="42">
        <v>243649.01800000001</v>
      </c>
      <c r="I62" s="1">
        <v>247337.337</v>
      </c>
      <c r="K62" s="1">
        <v>262750.62099999998</v>
      </c>
      <c r="L62" s="1">
        <v>290126.70199999999</v>
      </c>
      <c r="M62" s="1">
        <v>250199.595</v>
      </c>
      <c r="N62" s="1">
        <v>158383.98499999999</v>
      </c>
      <c r="O62" s="1">
        <v>105488.716</v>
      </c>
      <c r="P62" s="1">
        <v>109581.659</v>
      </c>
      <c r="Q62" s="1">
        <v>114896.073</v>
      </c>
      <c r="R62" s="1">
        <v>127977.401</v>
      </c>
      <c r="S62" s="1">
        <v>134019.535</v>
      </c>
      <c r="T62" s="1">
        <v>141775.81200000001</v>
      </c>
      <c r="U62" s="1">
        <v>144040.74</v>
      </c>
    </row>
    <row r="63" spans="1:22">
      <c r="A63" s="1" t="s">
        <v>111</v>
      </c>
      <c r="F63" s="42">
        <v>19246.728999999999</v>
      </c>
      <c r="I63" s="1">
        <v>20884.095000000001</v>
      </c>
      <c r="K63" s="1">
        <v>26967.8</v>
      </c>
      <c r="L63" s="1">
        <v>31016.024000000001</v>
      </c>
      <c r="M63" s="1">
        <v>33588.360999999997</v>
      </c>
      <c r="N63" s="1">
        <v>29988.785</v>
      </c>
      <c r="O63" s="1">
        <v>34864.116999999998</v>
      </c>
      <c r="P63" s="1">
        <v>34257.423999999999</v>
      </c>
      <c r="Q63" s="1">
        <v>38479.635000000002</v>
      </c>
      <c r="R63" s="1">
        <v>47666.718999999997</v>
      </c>
      <c r="S63" s="1">
        <v>42155.586000000003</v>
      </c>
      <c r="T63" s="1">
        <v>34726.362000000001</v>
      </c>
      <c r="U63" s="1">
        <v>33800.453999999998</v>
      </c>
    </row>
    <row r="64" spans="1:22">
      <c r="A64" s="24" t="s">
        <v>114</v>
      </c>
      <c r="B64" s="24"/>
      <c r="C64" s="24"/>
      <c r="D64" s="24"/>
      <c r="E64" s="24"/>
      <c r="F64" s="45">
        <v>21133.468000000001</v>
      </c>
      <c r="G64" s="24"/>
      <c r="H64" s="24"/>
      <c r="I64" s="24">
        <v>23628.409</v>
      </c>
      <c r="J64" s="24"/>
      <c r="K64" s="24">
        <v>23221.93</v>
      </c>
      <c r="L64" s="24">
        <v>25570.944</v>
      </c>
      <c r="M64" s="24">
        <v>26304.874</v>
      </c>
      <c r="N64" s="24">
        <v>31330.297999999999</v>
      </c>
      <c r="O64" s="24">
        <v>16876.859</v>
      </c>
      <c r="P64" s="24">
        <v>38119.961000000003</v>
      </c>
      <c r="Q64" s="24">
        <v>43670.631999999998</v>
      </c>
      <c r="R64" s="24">
        <v>50952.114999999998</v>
      </c>
      <c r="S64" s="24">
        <v>52131.334000000003</v>
      </c>
      <c r="T64" s="24">
        <v>45826.839</v>
      </c>
      <c r="U64" s="24">
        <v>27894.632000000001</v>
      </c>
      <c r="V64" s="24"/>
    </row>
    <row r="65" spans="1:22">
      <c r="A65" s="46" t="s">
        <v>90</v>
      </c>
      <c r="B65" s="46"/>
      <c r="C65" s="46"/>
      <c r="D65" s="46"/>
      <c r="E65" s="46"/>
      <c r="F65" s="47">
        <v>16378.137000000001</v>
      </c>
      <c r="G65" s="46"/>
      <c r="H65" s="46"/>
      <c r="I65" s="46">
        <v>16121.873</v>
      </c>
      <c r="J65" s="46"/>
      <c r="K65" s="46">
        <v>17388.88178</v>
      </c>
      <c r="L65" s="46">
        <v>6534.36</v>
      </c>
      <c r="M65" s="46">
        <v>8058.1819999999998</v>
      </c>
      <c r="N65" s="46">
        <v>6955.058</v>
      </c>
      <c r="O65" s="46">
        <v>7412.5240000000003</v>
      </c>
      <c r="P65" s="46">
        <v>7884.3509999999997</v>
      </c>
      <c r="Q65" s="46">
        <v>7575.7659999999996</v>
      </c>
      <c r="R65" s="46">
        <v>8810.7810000000009</v>
      </c>
      <c r="S65" s="46">
        <v>9409.74</v>
      </c>
      <c r="T65" s="46">
        <v>14313.107</v>
      </c>
      <c r="U65" s="46">
        <v>16711.631000000001</v>
      </c>
      <c r="V65" s="46"/>
    </row>
    <row r="66" spans="1:22">
      <c r="F66" s="15"/>
    </row>
    <row r="67" spans="1:22">
      <c r="I67" s="20" t="s">
        <v>78</v>
      </c>
      <c r="J67" s="20" t="s">
        <v>76</v>
      </c>
      <c r="K67" s="20"/>
      <c r="L67" s="20" t="s">
        <v>69</v>
      </c>
      <c r="M67" s="20"/>
      <c r="N67" s="20"/>
      <c r="O67" s="20" t="s">
        <v>78</v>
      </c>
      <c r="P67" s="20" t="s">
        <v>78</v>
      </c>
      <c r="Q67" s="20" t="s">
        <v>78</v>
      </c>
      <c r="R67" s="20" t="s">
        <v>78</v>
      </c>
      <c r="S67" s="20"/>
      <c r="T67" s="20"/>
      <c r="U67" s="20"/>
      <c r="V67" s="20"/>
    </row>
    <row r="68" spans="1:22">
      <c r="I68" s="1" t="s">
        <v>79</v>
      </c>
      <c r="J68" s="1" t="s">
        <v>72</v>
      </c>
      <c r="L68" s="1" t="s">
        <v>70</v>
      </c>
      <c r="O68" s="1" t="s">
        <v>79</v>
      </c>
      <c r="P68" s="1" t="s">
        <v>79</v>
      </c>
      <c r="Q68" s="1" t="s">
        <v>79</v>
      </c>
      <c r="R68" s="1" t="s">
        <v>79</v>
      </c>
    </row>
    <row r="69" spans="1:22">
      <c r="I69" s="1" t="s">
        <v>80</v>
      </c>
      <c r="J69" s="1" t="s">
        <v>73</v>
      </c>
      <c r="O69" s="1" t="s">
        <v>80</v>
      </c>
      <c r="P69" s="1" t="s">
        <v>80</v>
      </c>
      <c r="Q69" s="1" t="s">
        <v>80</v>
      </c>
      <c r="R69" s="1" t="s">
        <v>80</v>
      </c>
    </row>
    <row r="70" spans="1:22">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codeName="Sheet10">
    <tabColor theme="0" tint="-0.499984740745262"/>
  </sheetPr>
  <dimension ref="A1:V70"/>
  <sheetViews>
    <sheetView showZeros="0" zoomScale="80" zoomScaleNormal="80" workbookViewId="0">
      <pane xSplit="1" ySplit="5" topLeftCell="R6" activePane="bottomRight" state="frozen"/>
      <selection activeCell="Z72" sqref="Z72"/>
      <selection pane="topRight" activeCell="Z72" sqref="Z72"/>
      <selection pane="bottomLeft" activeCell="Z72" sqref="Z72"/>
      <selection pane="bottomRight" activeCell="Z72" sqref="Z72"/>
    </sheetView>
  </sheetViews>
  <sheetFormatPr defaultColWidth="9.7109375" defaultRowHeight="12.75"/>
  <cols>
    <col min="1" max="1" width="23.42578125" style="44" customWidth="1"/>
    <col min="2" max="22" width="12.42578125" style="1" customWidth="1"/>
    <col min="23" max="49" width="10.7109375" style="1" customWidth="1"/>
    <col min="50" max="16384" width="9.7109375" style="1"/>
  </cols>
  <sheetData>
    <row r="1" spans="1:22">
      <c r="A1" s="7" t="s">
        <v>39</v>
      </c>
      <c r="B1"/>
      <c r="C1"/>
      <c r="D1"/>
      <c r="E1"/>
      <c r="F1"/>
      <c r="G1"/>
      <c r="H1"/>
      <c r="I1"/>
      <c r="J1"/>
      <c r="K1"/>
      <c r="L1"/>
      <c r="M1"/>
      <c r="N1"/>
      <c r="O1"/>
      <c r="P1"/>
      <c r="Q1"/>
      <c r="R1"/>
      <c r="S1"/>
    </row>
    <row r="2" spans="1:22">
      <c r="A2" s="7"/>
      <c r="B2"/>
      <c r="C2"/>
      <c r="D2"/>
      <c r="E2"/>
      <c r="F2"/>
      <c r="G2"/>
      <c r="H2"/>
      <c r="I2"/>
      <c r="J2"/>
      <c r="K2"/>
      <c r="L2"/>
      <c r="M2"/>
      <c r="N2"/>
      <c r="O2"/>
      <c r="P2"/>
      <c r="Q2"/>
      <c r="R2"/>
      <c r="S2"/>
    </row>
    <row r="3" spans="1:22">
      <c r="A3" s="7" t="s">
        <v>24</v>
      </c>
      <c r="B3"/>
      <c r="C3"/>
      <c r="D3"/>
      <c r="E3"/>
      <c r="F3"/>
      <c r="G3"/>
      <c r="H3"/>
      <c r="I3"/>
      <c r="J3"/>
      <c r="K3"/>
      <c r="L3"/>
      <c r="M3"/>
      <c r="N3"/>
      <c r="O3"/>
      <c r="P3"/>
      <c r="Q3"/>
      <c r="R3"/>
      <c r="S3"/>
    </row>
    <row r="4" spans="1:22"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row>
    <row r="5" spans="1:22" s="8" customFormat="1">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row>
    <row r="6" spans="1:22">
      <c r="A6" s="24" t="s">
        <v>118</v>
      </c>
      <c r="B6" s="1">
        <v>1076371</v>
      </c>
      <c r="C6" s="1">
        <v>1157820</v>
      </c>
      <c r="D6" s="1">
        <v>1221422</v>
      </c>
      <c r="E6" s="1">
        <v>1621541.983</v>
      </c>
      <c r="F6" s="49">
        <f>+F7+F25+F40+F54+F65</f>
        <v>1603792.071</v>
      </c>
      <c r="G6" s="1">
        <v>1750489.294</v>
      </c>
      <c r="H6" s="1">
        <v>1888780.2860000001</v>
      </c>
      <c r="I6" s="49">
        <f>+I7+I25+I40+I54+I65</f>
        <v>1856752.5500000003</v>
      </c>
      <c r="J6" s="1">
        <v>2079515.963</v>
      </c>
      <c r="K6" s="49">
        <f t="shared" ref="K6:U6" si="0">+K7+K25+K40+K54+K65</f>
        <v>2150215.3102299999</v>
      </c>
      <c r="L6" s="49">
        <f t="shared" si="0"/>
        <v>2396546.0669999998</v>
      </c>
      <c r="M6" s="49">
        <f t="shared" si="0"/>
        <v>2640926.8169999998</v>
      </c>
      <c r="N6" s="49">
        <f t="shared" si="0"/>
        <v>2727567.9819999998</v>
      </c>
      <c r="O6" s="49">
        <f t="shared" si="0"/>
        <v>2806103.9949999996</v>
      </c>
      <c r="P6" s="49">
        <f t="shared" si="0"/>
        <v>2879059.2639999995</v>
      </c>
      <c r="Q6" s="49">
        <f t="shared" si="0"/>
        <v>3211991.45</v>
      </c>
      <c r="R6" s="49">
        <f t="shared" si="0"/>
        <v>3532956.0569999996</v>
      </c>
      <c r="S6" s="49">
        <f t="shared" si="0"/>
        <v>3759702.1880000001</v>
      </c>
      <c r="T6" s="49">
        <f t="shared" si="0"/>
        <v>3246415.4239999996</v>
      </c>
      <c r="U6" s="49">
        <f t="shared" si="0"/>
        <v>2690661.2999999993</v>
      </c>
      <c r="V6" s="49">
        <f t="shared" ref="V6" si="1">+V7+V25+V40+V54+V65</f>
        <v>0</v>
      </c>
    </row>
    <row r="7" spans="1:22">
      <c r="A7" s="1" t="s">
        <v>56</v>
      </c>
      <c r="B7" s="48">
        <f>SUM(B8:B24)</f>
        <v>319416</v>
      </c>
      <c r="C7" s="48">
        <f t="shared" ref="C7:U7" si="2">SUM(C8:C24)</f>
        <v>336273</v>
      </c>
      <c r="D7" s="48">
        <f t="shared" si="2"/>
        <v>356632</v>
      </c>
      <c r="E7" s="48">
        <f t="shared" si="2"/>
        <v>488743.09199999995</v>
      </c>
      <c r="F7" s="48">
        <f t="shared" si="2"/>
        <v>485412.24199999991</v>
      </c>
      <c r="G7" s="48">
        <f t="shared" si="2"/>
        <v>539103.48100000003</v>
      </c>
      <c r="H7" s="48">
        <f t="shared" si="2"/>
        <v>581386.87399999995</v>
      </c>
      <c r="I7" s="48">
        <f t="shared" si="2"/>
        <v>575137.91800000006</v>
      </c>
      <c r="J7" s="48">
        <f t="shared" si="2"/>
        <v>620296.65599999996</v>
      </c>
      <c r="K7" s="48">
        <f t="shared" si="2"/>
        <v>645303.74984000006</v>
      </c>
      <c r="L7" s="48">
        <f t="shared" si="2"/>
        <v>814495.96600000001</v>
      </c>
      <c r="M7" s="48">
        <f t="shared" si="2"/>
        <v>943489.27599999984</v>
      </c>
      <c r="N7" s="48">
        <f t="shared" si="2"/>
        <v>957104.66399999987</v>
      </c>
      <c r="O7" s="48">
        <f t="shared" si="2"/>
        <v>1000868.0780000001</v>
      </c>
      <c r="P7" s="48">
        <f t="shared" si="2"/>
        <v>1018153.9649999999</v>
      </c>
      <c r="Q7" s="48">
        <f t="shared" si="2"/>
        <v>1133836.304</v>
      </c>
      <c r="R7" s="48">
        <f t="shared" si="2"/>
        <v>1253884.2889999999</v>
      </c>
      <c r="S7" s="48">
        <f t="shared" si="2"/>
        <v>1404181.94</v>
      </c>
      <c r="T7" s="48">
        <f t="shared" si="2"/>
        <v>1183668.3879999998</v>
      </c>
      <c r="U7" s="48">
        <f t="shared" si="2"/>
        <v>765174.03700000001</v>
      </c>
      <c r="V7" s="48">
        <f t="shared" ref="V7" si="3">SUM(V8:V24)</f>
        <v>0</v>
      </c>
    </row>
    <row r="8" spans="1:22">
      <c r="A8" s="7" t="s">
        <v>119</v>
      </c>
    </row>
    <row r="9" spans="1:22">
      <c r="A9" s="1" t="s">
        <v>3</v>
      </c>
      <c r="B9" s="1">
        <v>11171</v>
      </c>
      <c r="C9" s="1">
        <v>15759</v>
      </c>
      <c r="D9" s="1">
        <v>17037</v>
      </c>
      <c r="E9" s="1">
        <v>22625.322</v>
      </c>
      <c r="F9" s="42">
        <v>23965.131000000001</v>
      </c>
      <c r="G9" s="1">
        <v>25808.300999999999</v>
      </c>
      <c r="H9" s="1">
        <v>28463.056</v>
      </c>
      <c r="I9" s="1">
        <v>28223.271000000001</v>
      </c>
      <c r="J9" s="1">
        <v>29769.841</v>
      </c>
      <c r="K9" s="1">
        <v>30424.781939999997</v>
      </c>
      <c r="L9" s="1">
        <v>34535.716</v>
      </c>
      <c r="M9" s="1">
        <v>37292.78</v>
      </c>
      <c r="N9" s="1">
        <v>40291.038</v>
      </c>
      <c r="O9" s="1">
        <v>47509.514999999999</v>
      </c>
      <c r="P9" s="1">
        <v>46022.26</v>
      </c>
      <c r="Q9" s="1">
        <v>49514.720000000001</v>
      </c>
      <c r="R9" s="1">
        <v>56669.703000000001</v>
      </c>
      <c r="S9" s="1">
        <v>63094.124000000003</v>
      </c>
      <c r="T9" s="1">
        <v>0</v>
      </c>
      <c r="U9" s="1">
        <v>0</v>
      </c>
    </row>
    <row r="10" spans="1:22">
      <c r="A10" s="1" t="s">
        <v>4</v>
      </c>
      <c r="B10" s="1">
        <v>3202</v>
      </c>
      <c r="C10" s="1">
        <v>3784</v>
      </c>
      <c r="D10" s="1">
        <v>3885</v>
      </c>
      <c r="E10" s="1">
        <v>5316.8969999999999</v>
      </c>
      <c r="F10" s="42">
        <v>5346.78</v>
      </c>
      <c r="G10" s="1">
        <v>6552.2969999999996</v>
      </c>
      <c r="H10" s="1">
        <v>7299.5339999999997</v>
      </c>
      <c r="I10" s="1">
        <v>8337.018</v>
      </c>
      <c r="J10" s="1">
        <v>12536.431</v>
      </c>
      <c r="K10" s="1">
        <v>11713.671</v>
      </c>
      <c r="L10" s="1">
        <v>16159.447</v>
      </c>
      <c r="M10" s="1">
        <v>21326.48</v>
      </c>
      <c r="N10" s="1">
        <v>18607.651000000002</v>
      </c>
      <c r="O10" s="1">
        <v>18244.498</v>
      </c>
      <c r="P10" s="1">
        <v>21895.455000000002</v>
      </c>
      <c r="Q10" s="1">
        <v>22877.483</v>
      </c>
      <c r="R10" s="1">
        <v>26011.556</v>
      </c>
      <c r="S10" s="1">
        <v>33624.025999999998</v>
      </c>
      <c r="T10" s="1">
        <v>32511.437000000002</v>
      </c>
      <c r="U10" s="1">
        <v>29737.74</v>
      </c>
    </row>
    <row r="11" spans="1:22">
      <c r="A11" s="1" t="s">
        <v>52</v>
      </c>
      <c r="D11" s="1">
        <v>2251</v>
      </c>
      <c r="E11" s="1">
        <v>3337.4209999999998</v>
      </c>
      <c r="F11" s="42">
        <v>3537.21</v>
      </c>
      <c r="I11" s="1">
        <v>9295.0580000000009</v>
      </c>
      <c r="J11" s="1">
        <v>7604.8180000000002</v>
      </c>
      <c r="K11" s="1">
        <v>7925.3559999999998</v>
      </c>
      <c r="L11" s="1">
        <v>8644.5660000000007</v>
      </c>
      <c r="M11" s="1">
        <v>7774.0209999999997</v>
      </c>
      <c r="N11" s="1">
        <v>8257.4390000000003</v>
      </c>
      <c r="O11" s="1">
        <v>8076.665</v>
      </c>
      <c r="P11" s="1">
        <v>8911.0329999999994</v>
      </c>
      <c r="Q11" s="1">
        <v>9454.8940000000002</v>
      </c>
      <c r="R11" s="1">
        <v>10570.557000000001</v>
      </c>
      <c r="S11" s="1">
        <v>10571.209000000001</v>
      </c>
      <c r="T11" s="1">
        <v>11053.826999999999</v>
      </c>
      <c r="U11" s="1">
        <v>12047.611999999999</v>
      </c>
    </row>
    <row r="12" spans="1:22">
      <c r="A12" s="1" t="s">
        <v>5</v>
      </c>
      <c r="B12" s="1">
        <v>57833</v>
      </c>
      <c r="C12" s="1">
        <v>60204</v>
      </c>
      <c r="D12" s="1">
        <v>62009</v>
      </c>
      <c r="E12" s="1">
        <v>91100.122000000003</v>
      </c>
      <c r="F12" s="42">
        <v>91361.505999999994</v>
      </c>
      <c r="G12" s="1">
        <v>97063.846999999994</v>
      </c>
      <c r="H12" s="1">
        <v>104557.334</v>
      </c>
      <c r="I12" s="1">
        <v>107890.81600000001</v>
      </c>
      <c r="J12" s="1">
        <v>109674.09699999999</v>
      </c>
      <c r="K12" s="1">
        <v>121267.704</v>
      </c>
      <c r="L12" s="1">
        <v>145434.54500000001</v>
      </c>
      <c r="M12" s="1">
        <v>175751.65299999999</v>
      </c>
      <c r="N12" s="1">
        <v>204221.361</v>
      </c>
      <c r="O12" s="1">
        <v>184544.97700000001</v>
      </c>
      <c r="P12" s="1">
        <v>175956.405</v>
      </c>
      <c r="Q12" s="1">
        <v>195750.35399999999</v>
      </c>
      <c r="R12" s="1">
        <v>210336.087</v>
      </c>
      <c r="S12" s="1">
        <v>271640.87099999998</v>
      </c>
      <c r="T12" s="1">
        <v>269334.864</v>
      </c>
      <c r="U12" s="1">
        <v>0</v>
      </c>
    </row>
    <row r="13" spans="1:22">
      <c r="A13" s="1" t="s">
        <v>6</v>
      </c>
      <c r="B13" s="1">
        <v>11973</v>
      </c>
      <c r="C13" s="1">
        <v>12408</v>
      </c>
      <c r="D13" s="1">
        <v>13715</v>
      </c>
      <c r="E13" s="1">
        <v>28309.420999999998</v>
      </c>
      <c r="F13" s="42">
        <v>32388.947</v>
      </c>
      <c r="G13" s="1">
        <v>34546.163999999997</v>
      </c>
      <c r="H13" s="1">
        <v>39394.934999999998</v>
      </c>
      <c r="I13" s="1">
        <v>42530.078999999998</v>
      </c>
      <c r="J13" s="1">
        <v>37595.269999999997</v>
      </c>
      <c r="K13" s="1">
        <v>37272.96143000001</v>
      </c>
      <c r="L13" s="1">
        <v>59718.341</v>
      </c>
      <c r="M13" s="1">
        <v>64525.665000000001</v>
      </c>
      <c r="N13" s="1">
        <v>87198.820999999996</v>
      </c>
      <c r="O13" s="1">
        <v>71178.262000000002</v>
      </c>
      <c r="P13" s="1">
        <v>76412.191999999995</v>
      </c>
      <c r="Q13" s="1">
        <v>87815.504000000001</v>
      </c>
      <c r="R13" s="1">
        <v>106609.302</v>
      </c>
      <c r="S13" s="1">
        <v>92886.343999999997</v>
      </c>
      <c r="T13" s="1">
        <v>98760.388999999996</v>
      </c>
      <c r="U13" s="1">
        <v>59692.41</v>
      </c>
    </row>
    <row r="14" spans="1:22">
      <c r="A14" s="1" t="s">
        <v>7</v>
      </c>
      <c r="B14" s="1">
        <v>4437</v>
      </c>
      <c r="C14" s="1">
        <v>4687</v>
      </c>
      <c r="D14" s="1">
        <v>5125</v>
      </c>
      <c r="E14" s="1">
        <v>7336.6769999999997</v>
      </c>
      <c r="F14" s="42">
        <v>8357.7279999999992</v>
      </c>
      <c r="G14" s="1">
        <v>8436.7270000000008</v>
      </c>
      <c r="H14" s="1">
        <v>9463.6489999999994</v>
      </c>
      <c r="I14" s="1">
        <v>10349.851000000001</v>
      </c>
      <c r="J14" s="1">
        <v>10731.895</v>
      </c>
      <c r="K14" s="1">
        <v>11295.322</v>
      </c>
      <c r="L14" s="1">
        <v>24329.696</v>
      </c>
      <c r="M14" s="1">
        <v>23948.451000000001</v>
      </c>
      <c r="N14" s="1">
        <v>945.76599999999996</v>
      </c>
      <c r="O14" s="1">
        <v>1146.306</v>
      </c>
      <c r="P14" s="1">
        <v>1284.3789999999999</v>
      </c>
      <c r="Q14" s="1">
        <v>31313.698</v>
      </c>
      <c r="R14" s="1">
        <v>33680.502999999997</v>
      </c>
      <c r="S14" s="1">
        <v>35752.11</v>
      </c>
      <c r="T14" s="1">
        <v>0</v>
      </c>
      <c r="U14" s="1">
        <v>0</v>
      </c>
    </row>
    <row r="15" spans="1:22">
      <c r="A15" s="1" t="s">
        <v>8</v>
      </c>
      <c r="B15" s="1">
        <v>5731</v>
      </c>
      <c r="C15" s="1">
        <v>5644</v>
      </c>
      <c r="D15" s="1">
        <v>5640</v>
      </c>
      <c r="E15" s="1">
        <v>6785.2849999999999</v>
      </c>
      <c r="F15" s="42">
        <v>6630.65</v>
      </c>
      <c r="G15" s="1">
        <v>7582.5829999999996</v>
      </c>
      <c r="H15" s="1">
        <v>9199.7160000000003</v>
      </c>
      <c r="I15" s="1">
        <v>9139.3950000000004</v>
      </c>
      <c r="J15" s="1">
        <v>14132.112999999999</v>
      </c>
      <c r="K15" s="1">
        <v>17772.176749999999</v>
      </c>
      <c r="L15" s="1">
        <v>17636.098000000002</v>
      </c>
      <c r="M15" s="1">
        <v>21099.192999999999</v>
      </c>
      <c r="N15" s="1">
        <v>21359.05</v>
      </c>
      <c r="O15" s="1">
        <v>25461.714</v>
      </c>
      <c r="P15" s="1">
        <v>28915.053</v>
      </c>
      <c r="Q15" s="1">
        <v>31856.727999999999</v>
      </c>
      <c r="R15" s="1">
        <v>34031.243999999999</v>
      </c>
      <c r="S15" s="1">
        <v>40680.697999999997</v>
      </c>
      <c r="T15" s="1">
        <v>48190.341</v>
      </c>
      <c r="U15" s="1">
        <v>23585.392</v>
      </c>
    </row>
    <row r="16" spans="1:22">
      <c r="A16" s="1" t="s">
        <v>9</v>
      </c>
      <c r="B16" s="1">
        <v>26427</v>
      </c>
      <c r="C16" s="1">
        <v>27804</v>
      </c>
      <c r="D16" s="1">
        <v>30129</v>
      </c>
      <c r="E16" s="1">
        <v>37956.915000000001</v>
      </c>
      <c r="F16" s="42">
        <v>29649.172999999999</v>
      </c>
      <c r="G16" s="1">
        <v>42100.887000000002</v>
      </c>
      <c r="H16" s="1">
        <v>44519.082999999999</v>
      </c>
      <c r="I16" s="1">
        <v>35911.794999999998</v>
      </c>
      <c r="J16" s="1">
        <v>46301.785000000003</v>
      </c>
      <c r="K16" s="1">
        <v>46943.875999999997</v>
      </c>
      <c r="L16" s="1">
        <v>55698.756000000001</v>
      </c>
      <c r="M16" s="1">
        <v>65264.974999999999</v>
      </c>
      <c r="N16" s="1">
        <v>62848.75</v>
      </c>
      <c r="O16" s="1">
        <v>68758.819000000003</v>
      </c>
      <c r="P16" s="1">
        <v>72185.361999999994</v>
      </c>
      <c r="Q16" s="1">
        <v>80448.52</v>
      </c>
      <c r="R16" s="1">
        <v>90101.729000000007</v>
      </c>
      <c r="S16" s="1">
        <v>100934.171</v>
      </c>
      <c r="T16" s="1">
        <v>94568.657000000007</v>
      </c>
      <c r="U16" s="1">
        <v>57079.737000000001</v>
      </c>
    </row>
    <row r="17" spans="1:22">
      <c r="A17" s="1" t="s">
        <v>10</v>
      </c>
      <c r="B17" s="1">
        <v>16367</v>
      </c>
      <c r="C17" s="1">
        <v>15548</v>
      </c>
      <c r="D17" s="1">
        <v>17205</v>
      </c>
      <c r="E17" s="1">
        <v>22152.879000000001</v>
      </c>
      <c r="F17" s="42">
        <v>21806.633000000002</v>
      </c>
      <c r="G17" s="1">
        <v>24584.776999999998</v>
      </c>
      <c r="H17" s="1">
        <v>26252.815999999999</v>
      </c>
      <c r="I17" s="1">
        <v>32780.25</v>
      </c>
      <c r="J17" s="1">
        <v>31595.447</v>
      </c>
      <c r="K17" s="1">
        <v>32311.971000000001</v>
      </c>
      <c r="L17" s="1">
        <v>41630.290999999997</v>
      </c>
      <c r="M17" s="1">
        <v>42781.997000000003</v>
      </c>
      <c r="N17" s="1">
        <v>40110.205999999998</v>
      </c>
      <c r="O17" s="1">
        <v>50730.756999999998</v>
      </c>
      <c r="P17" s="1">
        <v>49594.307999999997</v>
      </c>
      <c r="Q17" s="1">
        <v>56498.114000000001</v>
      </c>
      <c r="R17" s="1">
        <v>63754.995999999999</v>
      </c>
      <c r="S17" s="1">
        <v>65212.688000000002</v>
      </c>
      <c r="T17" s="1">
        <v>70347.236000000004</v>
      </c>
      <c r="U17" s="1">
        <v>54365.671000000002</v>
      </c>
    </row>
    <row r="18" spans="1:22">
      <c r="A18" s="1" t="s">
        <v>11</v>
      </c>
      <c r="B18" s="1">
        <v>28883</v>
      </c>
      <c r="C18" s="1">
        <v>29829</v>
      </c>
      <c r="D18" s="1">
        <v>31887</v>
      </c>
      <c r="E18" s="1">
        <v>47419.383000000002</v>
      </c>
      <c r="F18" s="42">
        <v>49679.516000000003</v>
      </c>
      <c r="G18" s="1">
        <v>53695.538</v>
      </c>
      <c r="H18" s="1">
        <v>55437.535000000003</v>
      </c>
      <c r="I18" s="1">
        <v>56734.273999999998</v>
      </c>
      <c r="J18" s="1">
        <v>60999.567999999999</v>
      </c>
      <c r="K18" s="1">
        <v>65170.907039999991</v>
      </c>
      <c r="L18" s="1">
        <v>82453.788</v>
      </c>
      <c r="M18" s="1">
        <v>90555.16</v>
      </c>
      <c r="N18" s="1">
        <v>107385.469</v>
      </c>
      <c r="O18" s="1">
        <v>121468.944</v>
      </c>
      <c r="P18" s="1">
        <v>125863.625</v>
      </c>
      <c r="Q18" s="1">
        <v>128951.599</v>
      </c>
      <c r="R18" s="1">
        <v>133369.038</v>
      </c>
      <c r="S18" s="1">
        <v>149363.663</v>
      </c>
      <c r="T18" s="1">
        <v>151482.625</v>
      </c>
      <c r="U18" s="1">
        <v>131603.886</v>
      </c>
    </row>
    <row r="19" spans="1:22">
      <c r="A19" s="1" t="s">
        <v>12</v>
      </c>
      <c r="B19" s="1">
        <v>12051</v>
      </c>
      <c r="C19" s="1">
        <v>13002</v>
      </c>
      <c r="D19" s="1">
        <v>13886</v>
      </c>
      <c r="E19" s="1">
        <v>18022.761999999999</v>
      </c>
      <c r="F19" s="42">
        <v>18921.262999999999</v>
      </c>
      <c r="G19" s="1">
        <v>19228.350999999999</v>
      </c>
      <c r="H19" s="1">
        <v>19411.064999999999</v>
      </c>
      <c r="I19" s="1">
        <v>19484.564999999999</v>
      </c>
      <c r="J19" s="1">
        <v>21337.348999999998</v>
      </c>
      <c r="K19" s="1">
        <v>22440.296719999998</v>
      </c>
      <c r="L19" s="1">
        <v>24914.374</v>
      </c>
      <c r="M19" s="1">
        <v>56124.88</v>
      </c>
      <c r="N19" s="1">
        <v>30915.161</v>
      </c>
      <c r="O19" s="1">
        <v>33700.120999999999</v>
      </c>
      <c r="P19" s="1">
        <v>31589.257000000001</v>
      </c>
      <c r="Q19" s="1">
        <v>32456.609</v>
      </c>
      <c r="R19" s="1">
        <v>34024.841</v>
      </c>
      <c r="S19" s="1">
        <v>35367.879000000001</v>
      </c>
      <c r="T19" s="1">
        <v>34600.612999999998</v>
      </c>
      <c r="U19" s="1">
        <v>30452.648000000001</v>
      </c>
    </row>
    <row r="20" spans="1:22">
      <c r="A20" s="1" t="s">
        <v>13</v>
      </c>
      <c r="B20" s="1">
        <v>14817</v>
      </c>
      <c r="C20" s="1">
        <v>12489</v>
      </c>
      <c r="D20" s="1">
        <v>12928</v>
      </c>
      <c r="E20" s="1">
        <v>19578.611000000001</v>
      </c>
      <c r="F20" s="42">
        <v>19730.968000000001</v>
      </c>
      <c r="G20" s="1">
        <v>20480.662</v>
      </c>
      <c r="H20" s="1">
        <v>22056.246999999999</v>
      </c>
      <c r="I20" s="1">
        <v>22649.957999999999</v>
      </c>
      <c r="J20" s="1">
        <v>23147.007000000001</v>
      </c>
      <c r="K20" s="1">
        <v>25594.384999999998</v>
      </c>
      <c r="L20" s="1">
        <v>32259.575000000001</v>
      </c>
      <c r="M20" s="1">
        <v>37603.112999999998</v>
      </c>
      <c r="N20" s="1">
        <v>40894.483</v>
      </c>
      <c r="O20" s="1">
        <v>47851.243000000002</v>
      </c>
      <c r="P20" s="1">
        <v>43947.118999999999</v>
      </c>
      <c r="Q20" s="1">
        <v>49010.254999999997</v>
      </c>
      <c r="R20" s="1">
        <v>55300.957000000002</v>
      </c>
      <c r="S20" s="1">
        <v>65511.834000000003</v>
      </c>
      <c r="T20" s="1">
        <v>44825.608999999997</v>
      </c>
      <c r="U20" s="1">
        <v>5491.9380000000001</v>
      </c>
    </row>
    <row r="21" spans="1:22" s="11" customFormat="1">
      <c r="A21" s="1" t="s">
        <v>14</v>
      </c>
      <c r="B21" s="1">
        <v>9930</v>
      </c>
      <c r="C21" s="1">
        <v>10715</v>
      </c>
      <c r="D21" s="1">
        <v>10589</v>
      </c>
      <c r="E21" s="1">
        <v>15581.120999999999</v>
      </c>
      <c r="F21" s="42">
        <v>15624.187</v>
      </c>
      <c r="G21" s="1">
        <v>16606.377</v>
      </c>
      <c r="H21" s="1">
        <v>17936.189999999999</v>
      </c>
      <c r="I21" s="1">
        <v>19467.755000000001</v>
      </c>
      <c r="J21" s="1">
        <v>20781.851999999999</v>
      </c>
      <c r="K21" s="1">
        <v>22420.054</v>
      </c>
      <c r="L21" s="1">
        <v>27756.425999999999</v>
      </c>
      <c r="M21" s="1">
        <v>32037.499</v>
      </c>
      <c r="N21" s="1">
        <v>30639.441999999999</v>
      </c>
      <c r="O21" s="1">
        <v>32240.261999999999</v>
      </c>
      <c r="P21" s="1">
        <v>35267.461000000003</v>
      </c>
      <c r="Q21" s="1">
        <v>40282.029000000002</v>
      </c>
      <c r="R21" s="1">
        <v>45578.076000000001</v>
      </c>
      <c r="S21" s="1">
        <v>49357.696000000004</v>
      </c>
      <c r="T21" s="1">
        <v>50430.756000000001</v>
      </c>
      <c r="U21" s="1">
        <v>34229.444000000003</v>
      </c>
      <c r="V21" s="1"/>
    </row>
    <row r="22" spans="1:22">
      <c r="A22" s="1" t="s">
        <v>15</v>
      </c>
      <c r="B22" s="1">
        <v>99108</v>
      </c>
      <c r="C22" s="1">
        <v>106001</v>
      </c>
      <c r="D22" s="1">
        <v>111265</v>
      </c>
      <c r="E22" s="1">
        <v>140220.978</v>
      </c>
      <c r="F22" s="42">
        <v>134624.88099999999</v>
      </c>
      <c r="G22" s="1">
        <v>156625.35999999999</v>
      </c>
      <c r="H22" s="1">
        <v>168848.81200000001</v>
      </c>
      <c r="I22" s="1">
        <v>143713.54</v>
      </c>
      <c r="J22" s="1">
        <v>164390.424</v>
      </c>
      <c r="K22" s="1">
        <v>162391.41099999999</v>
      </c>
      <c r="L22" s="1">
        <v>197917.39300000001</v>
      </c>
      <c r="M22" s="1">
        <v>217149.55300000001</v>
      </c>
      <c r="N22" s="1">
        <v>213231.95499999999</v>
      </c>
      <c r="O22" s="1">
        <v>233864.61799999999</v>
      </c>
      <c r="P22" s="1">
        <v>238452.88800000001</v>
      </c>
      <c r="Q22" s="1">
        <v>252792.96100000001</v>
      </c>
      <c r="R22" s="1">
        <v>284104.98499999999</v>
      </c>
      <c r="S22" s="1">
        <v>309100.114</v>
      </c>
      <c r="T22" s="1">
        <v>268522.71100000001</v>
      </c>
      <c r="U22" s="1">
        <v>316825.26699999999</v>
      </c>
    </row>
    <row r="23" spans="1:22">
      <c r="A23" s="1" t="s">
        <v>16</v>
      </c>
      <c r="B23" s="1">
        <v>15103</v>
      </c>
      <c r="C23" s="1">
        <v>15920</v>
      </c>
      <c r="D23" s="1">
        <v>16458</v>
      </c>
      <c r="E23" s="1">
        <v>20871.095000000001</v>
      </c>
      <c r="F23" s="42">
        <v>21666.331999999999</v>
      </c>
      <c r="G23" s="1">
        <v>23292.61</v>
      </c>
      <c r="H23" s="1">
        <v>26320.886999999999</v>
      </c>
      <c r="I23" s="1">
        <v>26572.407999999999</v>
      </c>
      <c r="J23" s="1">
        <v>27269.488000000001</v>
      </c>
      <c r="K23" s="1">
        <v>27905.241000000002</v>
      </c>
      <c r="L23" s="1">
        <v>42429.457999999999</v>
      </c>
      <c r="M23" s="1">
        <v>45550.34</v>
      </c>
      <c r="N23" s="1">
        <v>47147.298000000003</v>
      </c>
      <c r="O23" s="1">
        <v>52582.04</v>
      </c>
      <c r="P23" s="1">
        <v>59483.13</v>
      </c>
      <c r="Q23" s="1">
        <v>59670.93</v>
      </c>
      <c r="R23" s="1">
        <v>64688.207000000002</v>
      </c>
      <c r="S23" s="1">
        <v>74324.873999999996</v>
      </c>
      <c r="T23" s="1">
        <v>1544.94</v>
      </c>
      <c r="U23" s="1">
        <v>1524.6849999999999</v>
      </c>
    </row>
    <row r="24" spans="1:22">
      <c r="A24" s="24" t="s">
        <v>17</v>
      </c>
      <c r="B24" s="24">
        <v>2383</v>
      </c>
      <c r="C24" s="24">
        <v>2479</v>
      </c>
      <c r="D24" s="24">
        <v>2623</v>
      </c>
      <c r="E24" s="24">
        <v>2128.203</v>
      </c>
      <c r="F24" s="45">
        <v>2121.337</v>
      </c>
      <c r="G24" s="24">
        <v>2499</v>
      </c>
      <c r="H24" s="24">
        <v>2226.0149999999999</v>
      </c>
      <c r="I24" s="24">
        <v>2057.8850000000002</v>
      </c>
      <c r="J24" s="24">
        <v>2429.2710000000002</v>
      </c>
      <c r="K24" s="24">
        <v>2453.6349600000008</v>
      </c>
      <c r="L24" s="24">
        <v>2977.4960000000001</v>
      </c>
      <c r="M24" s="24">
        <v>4703.5159999999996</v>
      </c>
      <c r="N24" s="24">
        <v>3050.7739999999999</v>
      </c>
      <c r="O24" s="24">
        <v>3509.337</v>
      </c>
      <c r="P24" s="24">
        <v>2374.038</v>
      </c>
      <c r="Q24" s="24">
        <v>5141.9059999999999</v>
      </c>
      <c r="R24" s="24">
        <v>5052.5079999999998</v>
      </c>
      <c r="S24" s="24">
        <v>6759.6390000000001</v>
      </c>
      <c r="T24" s="24">
        <v>7494.3829999999998</v>
      </c>
      <c r="U24" s="24">
        <v>8537.607</v>
      </c>
      <c r="V24" s="24"/>
    </row>
    <row r="25" spans="1:22">
      <c r="A25" s="7" t="s">
        <v>120</v>
      </c>
      <c r="B25" s="48">
        <f>SUM(B27:B39)</f>
        <v>0</v>
      </c>
      <c r="C25" s="48">
        <f t="shared" ref="C25:V25" si="4">SUM(C27:C39)</f>
        <v>0</v>
      </c>
      <c r="D25" s="48">
        <f t="shared" si="4"/>
        <v>0</v>
      </c>
      <c r="E25" s="48">
        <f t="shared" si="4"/>
        <v>0</v>
      </c>
      <c r="F25" s="48">
        <f t="shared" si="4"/>
        <v>457561.48100000009</v>
      </c>
      <c r="G25" s="48">
        <f t="shared" si="4"/>
        <v>0</v>
      </c>
      <c r="H25" s="48">
        <f t="shared" si="4"/>
        <v>0</v>
      </c>
      <c r="I25" s="48">
        <f t="shared" si="4"/>
        <v>528864.804</v>
      </c>
      <c r="J25" s="48">
        <f t="shared" si="4"/>
        <v>0</v>
      </c>
      <c r="K25" s="48">
        <f t="shared" si="4"/>
        <v>634123.53477000003</v>
      </c>
      <c r="L25" s="48">
        <f t="shared" si="4"/>
        <v>612123.66599999997</v>
      </c>
      <c r="M25" s="48">
        <f t="shared" si="4"/>
        <v>631395.24400000006</v>
      </c>
      <c r="N25" s="48">
        <f t="shared" si="4"/>
        <v>658835.69300000009</v>
      </c>
      <c r="O25" s="48">
        <f t="shared" si="4"/>
        <v>643133.35900000005</v>
      </c>
      <c r="P25" s="48">
        <f t="shared" si="4"/>
        <v>654596.24</v>
      </c>
      <c r="Q25" s="48">
        <f t="shared" si="4"/>
        <v>813047.57500000007</v>
      </c>
      <c r="R25" s="48">
        <f t="shared" si="4"/>
        <v>901972.29299999983</v>
      </c>
      <c r="S25" s="48">
        <f t="shared" si="4"/>
        <v>921936.86600000015</v>
      </c>
      <c r="T25" s="48">
        <f t="shared" si="4"/>
        <v>733468.17799999996</v>
      </c>
      <c r="U25" s="48">
        <f t="shared" si="4"/>
        <v>780046.84299999988</v>
      </c>
      <c r="V25" s="48">
        <f t="shared" si="4"/>
        <v>0</v>
      </c>
    </row>
    <row r="26" spans="1:22">
      <c r="A26" s="7" t="s">
        <v>119</v>
      </c>
    </row>
    <row r="27" spans="1:22">
      <c r="A27" s="1" t="s">
        <v>85</v>
      </c>
      <c r="F27" s="42">
        <v>287.53300000000002</v>
      </c>
      <c r="I27" s="1">
        <v>538.33699999999999</v>
      </c>
      <c r="K27" s="1">
        <v>511.27699999999999</v>
      </c>
      <c r="L27" s="1">
        <v>1417.41</v>
      </c>
      <c r="M27" s="1">
        <v>538.01099999999997</v>
      </c>
      <c r="N27" s="1">
        <v>2695.4349999999999</v>
      </c>
      <c r="O27" s="1">
        <v>1023.419</v>
      </c>
      <c r="P27" s="1">
        <v>1000.829</v>
      </c>
      <c r="Q27" s="1">
        <v>722.58100000000002</v>
      </c>
      <c r="R27" s="1">
        <v>2473.9270000000001</v>
      </c>
      <c r="S27" s="1">
        <v>2517.2629999999999</v>
      </c>
      <c r="T27" s="1">
        <v>2628.74</v>
      </c>
      <c r="U27" s="1">
        <v>1785.2460000000001</v>
      </c>
    </row>
    <row r="28" spans="1:22">
      <c r="A28" s="1" t="s">
        <v>86</v>
      </c>
      <c r="F28" s="42">
        <v>35341.847999999998</v>
      </c>
      <c r="I28" s="1">
        <v>36389.622000000003</v>
      </c>
      <c r="K28" s="1">
        <v>39988.54939</v>
      </c>
      <c r="L28" s="1">
        <v>47617.012000000002</v>
      </c>
      <c r="M28" s="1">
        <v>53079.436000000002</v>
      </c>
      <c r="N28" s="1">
        <v>65601.084000000003</v>
      </c>
      <c r="O28" s="1">
        <v>59954.773000000001</v>
      </c>
      <c r="P28" s="1">
        <v>67383.345000000001</v>
      </c>
      <c r="Q28" s="1">
        <v>69952.736000000004</v>
      </c>
      <c r="R28" s="1">
        <v>79019.816999999995</v>
      </c>
      <c r="S28" s="1">
        <v>82994.445999999996</v>
      </c>
      <c r="T28" s="1">
        <v>32095.850999999999</v>
      </c>
      <c r="U28" s="1">
        <v>32064.237000000001</v>
      </c>
    </row>
    <row r="29" spans="1:22">
      <c r="A29" s="1" t="s">
        <v>87</v>
      </c>
      <c r="F29" s="42">
        <v>275247.40100000001</v>
      </c>
      <c r="I29" s="1">
        <v>315881.26</v>
      </c>
      <c r="K29" s="1">
        <v>399253.70101000002</v>
      </c>
      <c r="L29" s="1">
        <v>340765.52</v>
      </c>
      <c r="M29" s="1">
        <v>337457.64899999998</v>
      </c>
      <c r="N29" s="1">
        <v>340972.67300000001</v>
      </c>
      <c r="O29" s="1">
        <v>313875.21799999999</v>
      </c>
      <c r="P29" s="1">
        <v>313728.73499999999</v>
      </c>
      <c r="Q29" s="1">
        <v>448351.859</v>
      </c>
      <c r="R29" s="1">
        <v>468471.01899999997</v>
      </c>
      <c r="S29" s="1">
        <v>504744.10600000003</v>
      </c>
      <c r="T29" s="1">
        <v>435005.54200000002</v>
      </c>
      <c r="U29" s="1">
        <v>424444.95600000001</v>
      </c>
    </row>
    <row r="30" spans="1:22">
      <c r="A30" s="1" t="s">
        <v>88</v>
      </c>
      <c r="F30" s="42">
        <v>17581.528999999999</v>
      </c>
      <c r="I30" s="1">
        <v>21106.954000000002</v>
      </c>
      <c r="K30" s="1">
        <v>23138.536</v>
      </c>
      <c r="L30" s="1">
        <v>30745.208999999999</v>
      </c>
      <c r="M30" s="1">
        <v>33711.945</v>
      </c>
      <c r="N30" s="1">
        <v>40386.856</v>
      </c>
      <c r="O30" s="1">
        <v>40217.868999999999</v>
      </c>
      <c r="P30" s="1">
        <v>36824.858999999997</v>
      </c>
      <c r="Q30" s="1">
        <v>37137.612000000001</v>
      </c>
      <c r="R30" s="1">
        <v>41050.894999999997</v>
      </c>
      <c r="S30" s="1">
        <v>43000.915000000001</v>
      </c>
      <c r="T30" s="1">
        <v>15078.883</v>
      </c>
      <c r="U30" s="1">
        <v>17251.507000000001</v>
      </c>
    </row>
    <row r="31" spans="1:22">
      <c r="A31" s="1" t="s">
        <v>91</v>
      </c>
      <c r="F31" s="42">
        <v>7336.5749999999998</v>
      </c>
      <c r="I31" s="1">
        <v>10470.415000000001</v>
      </c>
      <c r="K31" s="1">
        <v>8961.0619999999999</v>
      </c>
      <c r="L31" s="1">
        <v>7989.3890000000001</v>
      </c>
      <c r="M31" s="1">
        <v>7998.4570000000003</v>
      </c>
      <c r="N31" s="1">
        <v>8224.4240000000009</v>
      </c>
      <c r="O31" s="1">
        <v>8634.2039999999997</v>
      </c>
      <c r="P31" s="1">
        <v>8881.5169999999998</v>
      </c>
      <c r="Q31" s="1">
        <v>8966.75</v>
      </c>
      <c r="R31" s="1">
        <v>13017.998</v>
      </c>
      <c r="S31" s="1">
        <v>14125.014999999999</v>
      </c>
      <c r="T31" s="1">
        <v>16651.098000000002</v>
      </c>
      <c r="U31" s="1">
        <v>18779.955999999998</v>
      </c>
    </row>
    <row r="32" spans="1:22">
      <c r="A32" s="1" t="s">
        <v>92</v>
      </c>
      <c r="F32" s="42">
        <v>3484.0120000000002</v>
      </c>
      <c r="I32" s="1">
        <v>5327.2879999999996</v>
      </c>
      <c r="K32" s="1">
        <v>6248.0259999999998</v>
      </c>
      <c r="L32" s="1">
        <v>4914.5349999999999</v>
      </c>
      <c r="M32" s="1">
        <v>5371.9620000000004</v>
      </c>
      <c r="N32" s="1">
        <v>4034.0149999999999</v>
      </c>
      <c r="O32" s="1">
        <v>7070.6589999999997</v>
      </c>
      <c r="P32" s="1">
        <v>8391.259</v>
      </c>
      <c r="Q32" s="1">
        <v>5912.97</v>
      </c>
      <c r="R32" s="1">
        <v>10014.244000000001</v>
      </c>
      <c r="S32" s="1">
        <v>6498.732</v>
      </c>
      <c r="T32" s="1">
        <v>6856.8339999999998</v>
      </c>
      <c r="U32" s="1">
        <v>8409.5560000000005</v>
      </c>
    </row>
    <row r="33" spans="1:22">
      <c r="A33" s="1" t="s">
        <v>100</v>
      </c>
      <c r="F33" s="42">
        <v>2412.4160000000002</v>
      </c>
      <c r="I33" s="1">
        <v>3462.4430000000002</v>
      </c>
      <c r="K33" s="1">
        <v>3055.1905100000017</v>
      </c>
      <c r="L33" s="1">
        <v>3605.982</v>
      </c>
      <c r="M33" s="1">
        <v>4166.9290000000001</v>
      </c>
      <c r="N33" s="1">
        <v>4564.5020000000004</v>
      </c>
      <c r="O33" s="1">
        <v>5976.4769999999999</v>
      </c>
      <c r="P33" s="1">
        <v>5063.0649999999996</v>
      </c>
      <c r="Q33" s="1">
        <v>7370.3879999999999</v>
      </c>
      <c r="R33" s="1">
        <v>9615.6949999999997</v>
      </c>
      <c r="S33" s="1">
        <v>6427.5889999999999</v>
      </c>
      <c r="T33" s="1">
        <v>8612.018</v>
      </c>
      <c r="U33" s="1">
        <v>7440.9889999999996</v>
      </c>
    </row>
    <row r="34" spans="1:22">
      <c r="A34" s="1" t="s">
        <v>102</v>
      </c>
      <c r="F34" s="42">
        <v>5959.2809999999999</v>
      </c>
      <c r="I34" s="1">
        <v>7580.4790000000003</v>
      </c>
      <c r="K34" s="1">
        <v>10540</v>
      </c>
      <c r="L34" s="1">
        <v>14314</v>
      </c>
      <c r="M34" s="1">
        <v>15427</v>
      </c>
      <c r="N34" s="1">
        <v>13720</v>
      </c>
      <c r="O34" s="1">
        <v>15508</v>
      </c>
      <c r="P34" s="1">
        <v>8238</v>
      </c>
      <c r="Q34" s="1">
        <v>8516</v>
      </c>
      <c r="R34" s="1">
        <v>9193</v>
      </c>
      <c r="S34" s="1">
        <v>4901</v>
      </c>
      <c r="T34" s="1">
        <v>6475</v>
      </c>
      <c r="U34" s="1">
        <v>34316.046999999999</v>
      </c>
    </row>
    <row r="35" spans="1:22">
      <c r="A35" s="1" t="s">
        <v>105</v>
      </c>
      <c r="F35" s="42">
        <v>13541.841</v>
      </c>
      <c r="I35" s="1">
        <v>17539.913</v>
      </c>
      <c r="K35" s="1">
        <v>20438.040699999994</v>
      </c>
      <c r="L35" s="1">
        <v>23335.279999999999</v>
      </c>
      <c r="M35" s="1">
        <v>24807.256000000001</v>
      </c>
      <c r="N35" s="1">
        <v>27713.422999999999</v>
      </c>
      <c r="O35" s="1">
        <v>31394.994999999999</v>
      </c>
      <c r="P35" s="1">
        <v>33178.391000000003</v>
      </c>
      <c r="Q35" s="1">
        <v>33900.292000000001</v>
      </c>
      <c r="R35" s="1">
        <v>39447.595000000001</v>
      </c>
      <c r="S35" s="1">
        <v>41698.239999999998</v>
      </c>
      <c r="T35" s="1">
        <v>30987.145</v>
      </c>
      <c r="U35" s="1">
        <v>23085.409</v>
      </c>
    </row>
    <row r="36" spans="1:22">
      <c r="A36" s="1" t="s">
        <v>109</v>
      </c>
      <c r="F36" s="42">
        <v>28433.186000000002</v>
      </c>
      <c r="I36" s="1">
        <v>30483.806</v>
      </c>
      <c r="K36" s="1">
        <v>35526.753859999997</v>
      </c>
      <c r="L36" s="1">
        <v>42184.11</v>
      </c>
      <c r="M36" s="1">
        <v>39557.15</v>
      </c>
      <c r="N36" s="1">
        <v>41524.944000000003</v>
      </c>
      <c r="O36" s="1">
        <v>44280.84</v>
      </c>
      <c r="P36" s="1">
        <v>51762.482000000004</v>
      </c>
      <c r="Q36" s="1">
        <v>53695.177000000003</v>
      </c>
      <c r="R36" s="1">
        <v>68343.134000000005</v>
      </c>
      <c r="S36" s="1">
        <v>61946.961000000003</v>
      </c>
      <c r="T36" s="1">
        <v>23558.267</v>
      </c>
      <c r="U36" s="1">
        <v>29651.794999999998</v>
      </c>
    </row>
    <row r="37" spans="1:22">
      <c r="A37" s="1" t="s">
        <v>113</v>
      </c>
      <c r="F37" s="42">
        <v>13539.275</v>
      </c>
      <c r="I37" s="1">
        <v>11023.002</v>
      </c>
      <c r="K37" s="1">
        <v>14327.605</v>
      </c>
      <c r="L37" s="1">
        <v>13758.179</v>
      </c>
      <c r="M37" s="1">
        <v>16471.638999999999</v>
      </c>
      <c r="N37" s="1">
        <v>16707.907999999999</v>
      </c>
      <c r="O37" s="1">
        <v>18530.624</v>
      </c>
      <c r="P37" s="1">
        <v>21674.174999999999</v>
      </c>
      <c r="Q37" s="1">
        <v>21410.785</v>
      </c>
      <c r="R37" s="1">
        <v>23762.327000000001</v>
      </c>
      <c r="S37" s="1">
        <v>25953.873</v>
      </c>
      <c r="T37" s="1">
        <v>24566.091</v>
      </c>
      <c r="U37" s="1">
        <v>23481.266</v>
      </c>
    </row>
    <row r="38" spans="1:22">
      <c r="A38" s="1" t="s">
        <v>115</v>
      </c>
      <c r="F38" s="42">
        <v>42300.482000000004</v>
      </c>
      <c r="I38" s="1">
        <v>57265.133999999998</v>
      </c>
      <c r="K38" s="1">
        <v>60204.900300000008</v>
      </c>
      <c r="L38" s="1">
        <v>67184.251999999993</v>
      </c>
      <c r="M38" s="1">
        <v>76585.788</v>
      </c>
      <c r="N38" s="1">
        <v>73707.138999999996</v>
      </c>
      <c r="O38" s="1">
        <v>80609.016000000003</v>
      </c>
      <c r="P38" s="1">
        <v>79508.718999999997</v>
      </c>
      <c r="Q38" s="1">
        <v>96952.093999999997</v>
      </c>
      <c r="R38" s="1">
        <v>117019.327</v>
      </c>
      <c r="S38" s="1">
        <v>103514.05899999999</v>
      </c>
      <c r="T38" s="1">
        <v>110005.557</v>
      </c>
      <c r="U38" s="1">
        <v>135278.83600000001</v>
      </c>
    </row>
    <row r="39" spans="1:22">
      <c r="A39" s="24" t="s">
        <v>117</v>
      </c>
      <c r="B39" s="24"/>
      <c r="C39" s="24"/>
      <c r="D39" s="24"/>
      <c r="E39" s="24"/>
      <c r="F39" s="45">
        <v>12096.102000000001</v>
      </c>
      <c r="G39" s="24"/>
      <c r="H39" s="24"/>
      <c r="I39" s="24">
        <v>11796.151</v>
      </c>
      <c r="J39" s="24"/>
      <c r="K39" s="24">
        <v>11929.893</v>
      </c>
      <c r="L39" s="24">
        <v>14292.788</v>
      </c>
      <c r="M39" s="24">
        <v>16222.022000000001</v>
      </c>
      <c r="N39" s="24">
        <v>18983.29</v>
      </c>
      <c r="O39" s="24">
        <v>16057.264999999999</v>
      </c>
      <c r="P39" s="24">
        <v>18960.864000000001</v>
      </c>
      <c r="Q39" s="24">
        <v>20158.330999999998</v>
      </c>
      <c r="R39" s="24">
        <v>20543.314999999999</v>
      </c>
      <c r="S39" s="24">
        <v>23614.667000000001</v>
      </c>
      <c r="T39" s="24">
        <v>20947.151999999998</v>
      </c>
      <c r="U39" s="24">
        <v>24057.043000000001</v>
      </c>
      <c r="V39" s="24"/>
    </row>
    <row r="40" spans="1:22">
      <c r="A40" s="7" t="s">
        <v>121</v>
      </c>
      <c r="B40" s="48">
        <f>SUM(B42:B53)</f>
        <v>0</v>
      </c>
      <c r="C40" s="48">
        <f t="shared" ref="C40:V40" si="5">SUM(C42:C53)</f>
        <v>0</v>
      </c>
      <c r="D40" s="48">
        <f t="shared" si="5"/>
        <v>0</v>
      </c>
      <c r="E40" s="48">
        <f t="shared" si="5"/>
        <v>0</v>
      </c>
      <c r="F40" s="48">
        <f t="shared" si="5"/>
        <v>400278.89900000003</v>
      </c>
      <c r="G40" s="48">
        <f t="shared" si="5"/>
        <v>0</v>
      </c>
      <c r="H40" s="48">
        <f t="shared" si="5"/>
        <v>0</v>
      </c>
      <c r="I40" s="48">
        <f t="shared" si="5"/>
        <v>447359.89000000007</v>
      </c>
      <c r="J40" s="48">
        <f t="shared" si="5"/>
        <v>0</v>
      </c>
      <c r="K40" s="48">
        <f t="shared" si="5"/>
        <v>542380.09667000012</v>
      </c>
      <c r="L40" s="48">
        <f t="shared" si="5"/>
        <v>638322.40899999987</v>
      </c>
      <c r="M40" s="48">
        <f t="shared" si="5"/>
        <v>688529.80699999991</v>
      </c>
      <c r="N40" s="48">
        <f t="shared" si="5"/>
        <v>717289.60800000001</v>
      </c>
      <c r="O40" s="48">
        <f t="shared" si="5"/>
        <v>718436.9879999999</v>
      </c>
      <c r="P40" s="48">
        <f t="shared" si="5"/>
        <v>728288.08599999989</v>
      </c>
      <c r="Q40" s="48">
        <f t="shared" si="5"/>
        <v>760698.21600000001</v>
      </c>
      <c r="R40" s="48">
        <f t="shared" si="5"/>
        <v>824330.31900000002</v>
      </c>
      <c r="S40" s="48">
        <f t="shared" si="5"/>
        <v>851065.375</v>
      </c>
      <c r="T40" s="48">
        <f t="shared" si="5"/>
        <v>750700.15199999989</v>
      </c>
      <c r="U40" s="48">
        <f t="shared" si="5"/>
        <v>696967.31599999988</v>
      </c>
      <c r="V40" s="48">
        <f t="shared" si="5"/>
        <v>0</v>
      </c>
    </row>
    <row r="41" spans="1:22">
      <c r="A41" s="7" t="s">
        <v>119</v>
      </c>
    </row>
    <row r="42" spans="1:22">
      <c r="A42" s="1" t="s">
        <v>93</v>
      </c>
      <c r="F42" s="42">
        <v>111162.97500000001</v>
      </c>
      <c r="I42" s="1">
        <v>123965.84</v>
      </c>
      <c r="K42" s="1">
        <v>154212.27882000001</v>
      </c>
      <c r="L42" s="1">
        <v>181047.97399999999</v>
      </c>
      <c r="M42" s="1">
        <v>185538.80799999999</v>
      </c>
      <c r="N42" s="1">
        <v>216478.56299999999</v>
      </c>
      <c r="O42" s="1">
        <v>167733.43799999999</v>
      </c>
      <c r="P42" s="1">
        <v>182537.58300000001</v>
      </c>
      <c r="Q42" s="1">
        <v>197764.212</v>
      </c>
      <c r="R42" s="1">
        <v>212460.78899999999</v>
      </c>
      <c r="S42" s="1">
        <v>226681.28700000001</v>
      </c>
      <c r="T42" s="1">
        <v>182291.125</v>
      </c>
      <c r="U42" s="1">
        <v>132078.21400000001</v>
      </c>
    </row>
    <row r="43" spans="1:22">
      <c r="A43" s="1" t="s">
        <v>58</v>
      </c>
      <c r="F43" s="42">
        <v>14788.628000000001</v>
      </c>
      <c r="I43" s="1">
        <v>15643.468000000001</v>
      </c>
      <c r="K43" s="1">
        <v>17638.23</v>
      </c>
      <c r="L43" s="1">
        <v>20187.856</v>
      </c>
      <c r="M43" s="1">
        <v>21527.830999999998</v>
      </c>
      <c r="N43" s="1">
        <v>16340.815000000001</v>
      </c>
      <c r="O43" s="1">
        <v>22036.673999999999</v>
      </c>
      <c r="P43" s="1">
        <v>18921.376</v>
      </c>
      <c r="Q43" s="1">
        <v>21447.377</v>
      </c>
      <c r="R43" s="1">
        <v>22347.550999999999</v>
      </c>
      <c r="S43" s="1">
        <v>25085.606</v>
      </c>
      <c r="T43" s="1">
        <v>25849.15</v>
      </c>
      <c r="U43" s="1">
        <v>25904.432000000001</v>
      </c>
    </row>
    <row r="44" spans="1:22">
      <c r="A44" s="1" t="s">
        <v>94</v>
      </c>
      <c r="F44" s="42">
        <v>23207.995999999999</v>
      </c>
      <c r="I44" s="1">
        <v>27296.94</v>
      </c>
      <c r="K44" s="1">
        <v>29275.746999999999</v>
      </c>
      <c r="L44" s="1">
        <v>33805.72</v>
      </c>
      <c r="M44" s="1">
        <v>36513.762000000002</v>
      </c>
      <c r="N44" s="1">
        <v>42569.415999999997</v>
      </c>
      <c r="O44" s="1">
        <v>47805.436999999998</v>
      </c>
      <c r="P44" s="1">
        <v>48551.942999999999</v>
      </c>
      <c r="Q44" s="1">
        <v>51095.446000000004</v>
      </c>
      <c r="R44" s="1">
        <v>52734.159</v>
      </c>
      <c r="S44" s="1">
        <v>59127.781999999999</v>
      </c>
      <c r="T44" s="1">
        <v>44451.629000000001</v>
      </c>
      <c r="U44" s="1">
        <v>43726.951000000001</v>
      </c>
    </row>
    <row r="45" spans="1:22">
      <c r="A45" s="1" t="s">
        <v>95</v>
      </c>
      <c r="F45" s="42">
        <v>24783.036</v>
      </c>
      <c r="I45" s="1">
        <v>27271.606</v>
      </c>
      <c r="K45" s="1">
        <v>30925.48747</v>
      </c>
      <c r="L45" s="1">
        <v>37817.786</v>
      </c>
      <c r="M45" s="1">
        <v>40959.252999999997</v>
      </c>
      <c r="N45" s="1">
        <v>43694.207000000002</v>
      </c>
      <c r="O45" s="1">
        <v>39666.696000000004</v>
      </c>
      <c r="P45" s="1">
        <v>39390.451000000001</v>
      </c>
      <c r="Q45" s="1">
        <v>42546.521999999997</v>
      </c>
      <c r="R45" s="1">
        <v>43207.057999999997</v>
      </c>
      <c r="S45" s="1">
        <v>47641.362999999998</v>
      </c>
      <c r="T45" s="1">
        <v>47136.315999999999</v>
      </c>
      <c r="U45" s="1">
        <v>51437.625999999997</v>
      </c>
    </row>
    <row r="46" spans="1:22">
      <c r="A46" s="1" t="s">
        <v>98</v>
      </c>
      <c r="F46" s="42">
        <v>70327.467000000004</v>
      </c>
      <c r="I46" s="1">
        <v>76652.607000000004</v>
      </c>
      <c r="K46" s="1">
        <v>85024.969420000023</v>
      </c>
      <c r="L46" s="1">
        <v>97560.843999999997</v>
      </c>
      <c r="M46" s="1">
        <v>106214.989</v>
      </c>
      <c r="N46" s="1">
        <v>118770.951</v>
      </c>
      <c r="O46" s="1">
        <v>141884.978</v>
      </c>
      <c r="P46" s="1">
        <v>132803.524</v>
      </c>
      <c r="Q46" s="1">
        <v>138665.60500000001</v>
      </c>
      <c r="R46" s="1">
        <v>155417.20800000001</v>
      </c>
      <c r="S46" s="1">
        <v>154708.05499999999</v>
      </c>
      <c r="T46" s="1">
        <v>163617.90900000001</v>
      </c>
      <c r="U46" s="1">
        <v>172319.242</v>
      </c>
    </row>
    <row r="47" spans="1:22">
      <c r="A47" s="1" t="s">
        <v>99</v>
      </c>
      <c r="F47" s="42">
        <v>32244.937999999998</v>
      </c>
      <c r="I47" s="1">
        <v>43485.271000000001</v>
      </c>
      <c r="K47" s="1">
        <v>51076.329840000006</v>
      </c>
      <c r="L47" s="1">
        <v>56195.786</v>
      </c>
      <c r="M47" s="1">
        <v>67697.262000000002</v>
      </c>
      <c r="N47" s="1">
        <v>68058.64</v>
      </c>
      <c r="O47" s="1">
        <v>74681.171000000002</v>
      </c>
      <c r="P47" s="1">
        <v>71013.695999999996</v>
      </c>
      <c r="Q47" s="1">
        <v>71780.032000000007</v>
      </c>
      <c r="R47" s="1">
        <v>81951.057000000001</v>
      </c>
      <c r="S47" s="1">
        <v>85325.577999999994</v>
      </c>
      <c r="T47" s="1">
        <v>87445.646999999997</v>
      </c>
      <c r="U47" s="1">
        <v>83426.191999999995</v>
      </c>
    </row>
    <row r="48" spans="1:22">
      <c r="A48" s="1" t="s">
        <v>59</v>
      </c>
      <c r="F48" s="42">
        <v>20996.819</v>
      </c>
      <c r="I48" s="1">
        <v>8894.1939999999995</v>
      </c>
      <c r="K48" s="1">
        <v>34625.262999999999</v>
      </c>
      <c r="L48" s="1">
        <v>18447.260999999999</v>
      </c>
      <c r="M48" s="1">
        <v>32629.120999999999</v>
      </c>
      <c r="N48" s="1">
        <v>21878.406999999999</v>
      </c>
      <c r="O48" s="1">
        <v>20528.859</v>
      </c>
      <c r="P48" s="1">
        <v>20855.592000000001</v>
      </c>
      <c r="Q48" s="1">
        <v>23476.332999999999</v>
      </c>
      <c r="R48" s="1">
        <v>24439.181</v>
      </c>
      <c r="S48" s="1">
        <v>28454.09</v>
      </c>
      <c r="T48" s="1">
        <v>20571.460999999999</v>
      </c>
      <c r="U48" s="1">
        <v>15825.562</v>
      </c>
    </row>
    <row r="49" spans="1:22">
      <c r="A49" s="1" t="s">
        <v>101</v>
      </c>
      <c r="F49" s="42">
        <v>8467.9060000000009</v>
      </c>
      <c r="I49" s="1">
        <v>8120.9549999999999</v>
      </c>
      <c r="K49" s="1">
        <v>12177.058000000001</v>
      </c>
      <c r="L49" s="1">
        <v>13999.481</v>
      </c>
      <c r="M49" s="1">
        <v>14981.987999999999</v>
      </c>
      <c r="N49" s="1">
        <v>15303.474</v>
      </c>
      <c r="O49" s="1">
        <v>18853.396000000001</v>
      </c>
      <c r="P49" s="1">
        <v>19108.292000000001</v>
      </c>
      <c r="Q49" s="1">
        <v>19355.781999999999</v>
      </c>
      <c r="R49" s="1">
        <v>21987.172999999999</v>
      </c>
      <c r="S49" s="1">
        <v>21622.29</v>
      </c>
      <c r="T49" s="1">
        <v>24437.401999999998</v>
      </c>
      <c r="U49" s="1">
        <v>26786.953000000001</v>
      </c>
    </row>
    <row r="50" spans="1:22">
      <c r="A50" s="1" t="s">
        <v>107</v>
      </c>
      <c r="F50" s="42">
        <v>5770.46</v>
      </c>
      <c r="I50" s="1">
        <v>6361.4549999999999</v>
      </c>
      <c r="K50" s="1">
        <v>6181.637950000003</v>
      </c>
      <c r="L50" s="1">
        <v>7940.3339999999998</v>
      </c>
      <c r="M50" s="1">
        <v>7698.6239999999998</v>
      </c>
      <c r="N50" s="1">
        <v>7528.4849999999997</v>
      </c>
      <c r="O50" s="1">
        <v>7450.0410000000002</v>
      </c>
      <c r="P50" s="1">
        <v>6270.8649999999998</v>
      </c>
      <c r="Q50" s="1">
        <v>7111.5150000000003</v>
      </c>
      <c r="R50" s="1">
        <v>6996.1149999999998</v>
      </c>
      <c r="S50" s="1">
        <v>7029.1329999999998</v>
      </c>
      <c r="T50" s="1">
        <v>8028.1139999999996</v>
      </c>
      <c r="U50" s="1">
        <v>9682.0020000000004</v>
      </c>
    </row>
    <row r="51" spans="1:22">
      <c r="A51" s="1" t="s">
        <v>108</v>
      </c>
      <c r="F51" s="42">
        <v>48382.947999999997</v>
      </c>
      <c r="I51" s="1">
        <v>58340.341999999997</v>
      </c>
      <c r="K51" s="1">
        <v>62987.783000000003</v>
      </c>
      <c r="L51" s="1">
        <v>83133.043999999994</v>
      </c>
      <c r="M51" s="1">
        <v>91910.471999999994</v>
      </c>
      <c r="N51" s="1">
        <v>87391.214000000007</v>
      </c>
      <c r="O51" s="1">
        <v>88728.804999999993</v>
      </c>
      <c r="P51" s="1">
        <v>93382.326000000001</v>
      </c>
      <c r="Q51" s="1">
        <v>93046.394</v>
      </c>
      <c r="R51" s="1">
        <v>103712.19500000001</v>
      </c>
      <c r="S51" s="1">
        <v>106200.883</v>
      </c>
      <c r="T51" s="1">
        <v>70589.808999999994</v>
      </c>
      <c r="U51" s="1">
        <v>78040.817999999999</v>
      </c>
    </row>
    <row r="52" spans="1:22">
      <c r="A52" s="1" t="s">
        <v>112</v>
      </c>
      <c r="F52" s="42">
        <v>79.465000000000003</v>
      </c>
      <c r="I52" s="1">
        <v>79.066999999999993</v>
      </c>
      <c r="K52" s="1">
        <v>2844.9511699999998</v>
      </c>
      <c r="L52" s="1">
        <v>2952.1880000000001</v>
      </c>
      <c r="M52" s="1">
        <v>4250.3890000000001</v>
      </c>
      <c r="N52" s="1">
        <v>3546.1329999999998</v>
      </c>
      <c r="O52" s="1">
        <v>4507.5780000000004</v>
      </c>
      <c r="P52" s="1">
        <v>4417.7539999999999</v>
      </c>
      <c r="Q52" s="1">
        <v>3817.1849999999999</v>
      </c>
      <c r="R52" s="1">
        <v>4679.8109999999997</v>
      </c>
      <c r="S52" s="1">
        <v>7002.9769999999999</v>
      </c>
      <c r="T52" s="1">
        <v>5355.9650000000001</v>
      </c>
      <c r="U52" s="1">
        <v>11600.561</v>
      </c>
    </row>
    <row r="53" spans="1:22">
      <c r="A53" s="24" t="s">
        <v>116</v>
      </c>
      <c r="B53" s="24"/>
      <c r="C53" s="24"/>
      <c r="D53" s="24"/>
      <c r="E53" s="24"/>
      <c r="F53" s="45">
        <v>40066.260999999999</v>
      </c>
      <c r="G53" s="24"/>
      <c r="H53" s="24"/>
      <c r="I53" s="24">
        <v>51248.144999999997</v>
      </c>
      <c r="J53" s="24"/>
      <c r="K53" s="24">
        <v>55410.360999999997</v>
      </c>
      <c r="L53" s="24">
        <v>85234.134999999995</v>
      </c>
      <c r="M53" s="24">
        <v>78607.308000000005</v>
      </c>
      <c r="N53" s="24">
        <v>75729.303</v>
      </c>
      <c r="O53" s="24">
        <v>84559.914999999994</v>
      </c>
      <c r="P53" s="24">
        <v>91034.683999999994</v>
      </c>
      <c r="Q53" s="24">
        <v>90591.812999999995</v>
      </c>
      <c r="R53" s="24">
        <v>94398.021999999997</v>
      </c>
      <c r="S53" s="24">
        <v>82186.331000000006</v>
      </c>
      <c r="T53" s="24">
        <v>70925.625</v>
      </c>
      <c r="U53" s="24">
        <v>46138.762999999999</v>
      </c>
      <c r="V53" s="24"/>
    </row>
    <row r="54" spans="1:22">
      <c r="A54" s="7" t="s">
        <v>122</v>
      </c>
      <c r="B54" s="48">
        <f>SUM(B56:B64)</f>
        <v>0</v>
      </c>
      <c r="C54" s="48">
        <f t="shared" ref="C54:V54" si="6">SUM(C56:C64)</f>
        <v>0</v>
      </c>
      <c r="D54" s="48">
        <f t="shared" si="6"/>
        <v>0</v>
      </c>
      <c r="E54" s="48">
        <f t="shared" si="6"/>
        <v>0</v>
      </c>
      <c r="F54" s="48">
        <f t="shared" si="6"/>
        <v>260539.44899999999</v>
      </c>
      <c r="G54" s="48">
        <f t="shared" si="6"/>
        <v>0</v>
      </c>
      <c r="H54" s="48">
        <f t="shared" si="6"/>
        <v>0</v>
      </c>
      <c r="I54" s="48">
        <f t="shared" si="6"/>
        <v>305389.93799999997</v>
      </c>
      <c r="J54" s="48">
        <f t="shared" si="6"/>
        <v>0</v>
      </c>
      <c r="K54" s="48">
        <f t="shared" si="6"/>
        <v>328407.92895000003</v>
      </c>
      <c r="L54" s="48">
        <f t="shared" si="6"/>
        <v>331604.02600000001</v>
      </c>
      <c r="M54" s="48">
        <f t="shared" si="6"/>
        <v>377512.49</v>
      </c>
      <c r="N54" s="48">
        <f t="shared" si="6"/>
        <v>394338.01699999999</v>
      </c>
      <c r="O54" s="48">
        <f t="shared" si="6"/>
        <v>443665.57</v>
      </c>
      <c r="P54" s="48">
        <f t="shared" si="6"/>
        <v>478020.973</v>
      </c>
      <c r="Q54" s="48">
        <f t="shared" si="6"/>
        <v>504409.35499999998</v>
      </c>
      <c r="R54" s="48">
        <f t="shared" si="6"/>
        <v>552769.15599999996</v>
      </c>
      <c r="S54" s="48">
        <f t="shared" si="6"/>
        <v>582518.0070000001</v>
      </c>
      <c r="T54" s="48">
        <f t="shared" si="6"/>
        <v>578578.70600000001</v>
      </c>
      <c r="U54" s="48">
        <f t="shared" si="6"/>
        <v>448473.10399999993</v>
      </c>
      <c r="V54" s="48">
        <f t="shared" si="6"/>
        <v>0</v>
      </c>
    </row>
    <row r="55" spans="1:22">
      <c r="A55" s="7" t="s">
        <v>119</v>
      </c>
    </row>
    <row r="56" spans="1:22">
      <c r="A56" s="1" t="s">
        <v>89</v>
      </c>
      <c r="F56" s="42">
        <v>7584.6589999999997</v>
      </c>
      <c r="I56" s="1">
        <v>10957.975</v>
      </c>
      <c r="K56" s="1">
        <v>14028.170079999998</v>
      </c>
      <c r="L56" s="1">
        <v>16028.99</v>
      </c>
      <c r="M56" s="1">
        <v>17551.952000000001</v>
      </c>
      <c r="N56" s="1">
        <v>24487.231</v>
      </c>
      <c r="O56" s="1">
        <v>30301.278999999999</v>
      </c>
      <c r="P56" s="1">
        <v>31637.41</v>
      </c>
      <c r="Q56" s="1">
        <v>31536.172999999999</v>
      </c>
      <c r="R56" s="1">
        <v>32834.021999999997</v>
      </c>
      <c r="S56" s="1">
        <v>35716.006000000001</v>
      </c>
      <c r="T56" s="1">
        <v>41353.112000000001</v>
      </c>
      <c r="U56" s="1">
        <v>45732.161999999997</v>
      </c>
    </row>
    <row r="57" spans="1:22">
      <c r="A57" s="1" t="s">
        <v>96</v>
      </c>
      <c r="F57" s="42">
        <v>4554.1189999999997</v>
      </c>
      <c r="I57" s="1">
        <v>4807.4840000000004</v>
      </c>
      <c r="K57" s="1">
        <v>5440.6419999999998</v>
      </c>
      <c r="L57" s="1">
        <v>6325.7629999999999</v>
      </c>
      <c r="M57" s="1">
        <v>6644.9359999999997</v>
      </c>
      <c r="N57" s="1">
        <v>6885.0379999999996</v>
      </c>
      <c r="O57" s="1">
        <v>7625.59</v>
      </c>
      <c r="P57" s="1">
        <v>8130.7820000000002</v>
      </c>
      <c r="Q57" s="1">
        <v>9113.0020000000004</v>
      </c>
      <c r="R57" s="1">
        <v>9474.6540000000005</v>
      </c>
      <c r="S57" s="1">
        <v>9555.8349999999991</v>
      </c>
      <c r="T57" s="1">
        <v>10501.19</v>
      </c>
      <c r="U57" s="1">
        <v>0</v>
      </c>
    </row>
    <row r="58" spans="1:22" s="11" customFormat="1">
      <c r="A58" s="1" t="s">
        <v>97</v>
      </c>
      <c r="B58" s="1"/>
      <c r="C58" s="1"/>
      <c r="D58" s="1"/>
      <c r="E58" s="1"/>
      <c r="F58" s="42">
        <v>26079.044000000002</v>
      </c>
      <c r="G58" s="1"/>
      <c r="H58" s="1"/>
      <c r="I58" s="1">
        <v>32580.02</v>
      </c>
      <c r="J58" s="1"/>
      <c r="K58" s="1">
        <v>37348.232000000004</v>
      </c>
      <c r="L58" s="1">
        <v>42387.883000000002</v>
      </c>
      <c r="M58" s="1">
        <v>47178.273000000001</v>
      </c>
      <c r="N58" s="1">
        <v>50921.877999999997</v>
      </c>
      <c r="O58" s="1">
        <v>49214.904000000002</v>
      </c>
      <c r="P58" s="1">
        <v>49577.819000000003</v>
      </c>
      <c r="Q58" s="1">
        <v>56310.472999999998</v>
      </c>
      <c r="R58" s="1">
        <v>60944.735000000001</v>
      </c>
      <c r="S58" s="1">
        <v>64043.569000000003</v>
      </c>
      <c r="T58" s="1">
        <v>74045.75</v>
      </c>
      <c r="U58" s="1">
        <v>69667.195000000007</v>
      </c>
      <c r="V58" s="1"/>
    </row>
    <row r="59" spans="1:22">
      <c r="A59" s="1" t="s">
        <v>103</v>
      </c>
      <c r="F59" s="42">
        <v>2760.4160000000002</v>
      </c>
      <c r="I59" s="1">
        <v>3484.0160000000001</v>
      </c>
      <c r="K59" s="1">
        <v>3924.1167699999996</v>
      </c>
      <c r="L59" s="1">
        <v>3635.134</v>
      </c>
      <c r="M59" s="1">
        <v>3823.3180000000002</v>
      </c>
      <c r="N59" s="1">
        <v>4565.6689999999999</v>
      </c>
      <c r="O59" s="1">
        <v>4630.6220000000003</v>
      </c>
      <c r="P59" s="1">
        <v>4869.3379999999997</v>
      </c>
      <c r="Q59" s="1">
        <v>4986.0450000000001</v>
      </c>
      <c r="R59" s="1">
        <v>5446.3819999999996</v>
      </c>
      <c r="S59" s="1">
        <v>5566.17</v>
      </c>
      <c r="T59" s="1">
        <v>6911.82</v>
      </c>
      <c r="U59" s="1">
        <v>8196.3089999999993</v>
      </c>
    </row>
    <row r="60" spans="1:22">
      <c r="A60" s="1" t="s">
        <v>104</v>
      </c>
      <c r="F60" s="42">
        <v>52261.714</v>
      </c>
      <c r="I60" s="1">
        <v>58207.866999999998</v>
      </c>
      <c r="K60" s="1">
        <v>61003.273000000001</v>
      </c>
      <c r="L60" s="1">
        <v>64668.014000000003</v>
      </c>
      <c r="M60" s="1">
        <v>70718.376999999993</v>
      </c>
      <c r="N60" s="1">
        <v>75278.858999999997</v>
      </c>
      <c r="O60" s="1">
        <v>79991.716</v>
      </c>
      <c r="P60" s="1">
        <v>84924.172000000006</v>
      </c>
      <c r="Q60" s="1">
        <v>86578.49</v>
      </c>
      <c r="R60" s="1">
        <v>103186.99400000001</v>
      </c>
      <c r="S60" s="1">
        <v>107471.88499999999</v>
      </c>
      <c r="T60" s="1">
        <v>95550.592000000004</v>
      </c>
      <c r="U60" s="1">
        <v>67474.520999999993</v>
      </c>
    </row>
    <row r="61" spans="1:22">
      <c r="A61" s="1" t="s">
        <v>106</v>
      </c>
      <c r="F61" s="42">
        <v>124187.55499999999</v>
      </c>
      <c r="I61" s="1">
        <v>149756.74</v>
      </c>
      <c r="K61" s="1">
        <v>157602.74100000001</v>
      </c>
      <c r="L61" s="1">
        <v>142210.016</v>
      </c>
      <c r="M61" s="1">
        <v>169287.69099999999</v>
      </c>
      <c r="N61" s="1">
        <v>163924.03599999999</v>
      </c>
      <c r="O61" s="1">
        <v>191966.106</v>
      </c>
      <c r="P61" s="1">
        <v>213391.177</v>
      </c>
      <c r="Q61" s="1">
        <v>230346.24299999999</v>
      </c>
      <c r="R61" s="1">
        <v>249396.12400000001</v>
      </c>
      <c r="S61" s="1">
        <v>259824.003</v>
      </c>
      <c r="T61" s="1">
        <v>277017.53399999999</v>
      </c>
      <c r="U61" s="1">
        <v>194542.98499999999</v>
      </c>
    </row>
    <row r="62" spans="1:22">
      <c r="A62" s="1" t="s">
        <v>110</v>
      </c>
      <c r="F62" s="42">
        <v>36885.243999999999</v>
      </c>
      <c r="I62" s="1">
        <v>38738.726000000002</v>
      </c>
      <c r="K62" s="1">
        <v>41590.963100000023</v>
      </c>
      <c r="L62" s="1">
        <v>47093.256000000001</v>
      </c>
      <c r="M62" s="1">
        <v>52277.944000000003</v>
      </c>
      <c r="N62" s="1">
        <v>57741.123</v>
      </c>
      <c r="O62" s="1">
        <v>69162.365000000005</v>
      </c>
      <c r="P62" s="1">
        <v>74100.054000000004</v>
      </c>
      <c r="Q62" s="1">
        <v>75323.028999999995</v>
      </c>
      <c r="R62" s="1">
        <v>80601.37</v>
      </c>
      <c r="S62" s="1">
        <v>89055.044999999998</v>
      </c>
      <c r="T62" s="1">
        <v>61608.142999999996</v>
      </c>
      <c r="U62" s="1">
        <v>64360.006999999998</v>
      </c>
    </row>
    <row r="63" spans="1:22">
      <c r="A63" s="1" t="s">
        <v>111</v>
      </c>
      <c r="F63" s="42">
        <v>5490.5659999999998</v>
      </c>
      <c r="I63" s="1">
        <v>5909.1130000000003</v>
      </c>
      <c r="K63" s="1">
        <v>6458.585</v>
      </c>
      <c r="L63" s="1">
        <v>8057.6540000000005</v>
      </c>
      <c r="M63" s="1">
        <v>8404.3960000000006</v>
      </c>
      <c r="N63" s="1">
        <v>9187.2510000000002</v>
      </c>
      <c r="O63" s="1">
        <v>9312.7430000000004</v>
      </c>
      <c r="P63" s="1">
        <v>10003.56</v>
      </c>
      <c r="Q63" s="1">
        <v>8685.1790000000001</v>
      </c>
      <c r="R63" s="1">
        <v>9022.8250000000007</v>
      </c>
      <c r="S63" s="1">
        <v>9262.9050000000007</v>
      </c>
      <c r="T63" s="1">
        <v>9542.3060000000005</v>
      </c>
      <c r="U63" s="1">
        <v>0</v>
      </c>
    </row>
    <row r="64" spans="1:22">
      <c r="A64" s="24" t="s">
        <v>114</v>
      </c>
      <c r="B64" s="24"/>
      <c r="C64" s="24"/>
      <c r="D64" s="24"/>
      <c r="E64" s="24"/>
      <c r="F64" s="45">
        <v>736.13199999999995</v>
      </c>
      <c r="G64" s="24"/>
      <c r="H64" s="24"/>
      <c r="I64" s="24">
        <v>947.99699999999996</v>
      </c>
      <c r="J64" s="24"/>
      <c r="K64" s="24">
        <v>1011.206</v>
      </c>
      <c r="L64" s="24">
        <v>1197.316</v>
      </c>
      <c r="M64" s="24">
        <v>1625.6030000000001</v>
      </c>
      <c r="N64" s="24">
        <v>1346.932</v>
      </c>
      <c r="O64" s="24">
        <v>1460.2449999999999</v>
      </c>
      <c r="P64" s="24">
        <v>1386.6610000000001</v>
      </c>
      <c r="Q64" s="24">
        <v>1530.721</v>
      </c>
      <c r="R64" s="24">
        <v>1862.05</v>
      </c>
      <c r="S64" s="24">
        <v>2022.5889999999999</v>
      </c>
      <c r="T64" s="24">
        <v>2048.259</v>
      </c>
      <c r="U64" s="24">
        <v>-1500.075</v>
      </c>
      <c r="V64" s="24"/>
    </row>
    <row r="65" spans="1:22">
      <c r="A65" s="46" t="s">
        <v>90</v>
      </c>
      <c r="B65" s="46"/>
      <c r="C65" s="46"/>
      <c r="D65" s="46"/>
      <c r="E65" s="46"/>
      <c r="F65" s="47">
        <v>0</v>
      </c>
      <c r="G65" s="46"/>
      <c r="H65" s="46"/>
      <c r="I65" s="46">
        <v>0</v>
      </c>
      <c r="J65" s="46"/>
      <c r="K65" s="46">
        <v>0</v>
      </c>
      <c r="L65" s="46">
        <v>0</v>
      </c>
      <c r="M65" s="46">
        <v>0</v>
      </c>
      <c r="N65" s="46">
        <v>0</v>
      </c>
      <c r="O65" s="46">
        <v>0</v>
      </c>
      <c r="P65" s="46">
        <v>0</v>
      </c>
      <c r="Q65" s="46">
        <v>0</v>
      </c>
      <c r="R65" s="46">
        <v>0</v>
      </c>
      <c r="S65" s="46">
        <v>0</v>
      </c>
      <c r="T65" s="46">
        <v>0</v>
      </c>
      <c r="U65" s="46">
        <v>0</v>
      </c>
      <c r="V65" s="46"/>
    </row>
    <row r="66" spans="1:22">
      <c r="F66" s="15"/>
    </row>
    <row r="67" spans="1:22">
      <c r="I67" s="20" t="s">
        <v>78</v>
      </c>
      <c r="J67" s="20" t="s">
        <v>76</v>
      </c>
      <c r="K67" s="20"/>
      <c r="L67" s="20" t="s">
        <v>69</v>
      </c>
      <c r="M67" s="20"/>
      <c r="N67" s="20"/>
      <c r="O67" s="20" t="s">
        <v>78</v>
      </c>
      <c r="P67" s="20" t="s">
        <v>78</v>
      </c>
      <c r="Q67" s="20" t="s">
        <v>78</v>
      </c>
      <c r="R67" s="20" t="s">
        <v>78</v>
      </c>
      <c r="S67" s="20"/>
    </row>
    <row r="68" spans="1:22">
      <c r="I68" s="1" t="s">
        <v>79</v>
      </c>
      <c r="J68" s="1" t="s">
        <v>72</v>
      </c>
      <c r="L68" s="1" t="s">
        <v>70</v>
      </c>
      <c r="O68" s="1" t="s">
        <v>79</v>
      </c>
      <c r="P68" s="1" t="s">
        <v>79</v>
      </c>
      <c r="Q68" s="1" t="s">
        <v>79</v>
      </c>
      <c r="R68" s="1" t="s">
        <v>79</v>
      </c>
    </row>
    <row r="69" spans="1:22">
      <c r="I69" s="1" t="s">
        <v>80</v>
      </c>
      <c r="J69" s="1" t="s">
        <v>73</v>
      </c>
      <c r="O69" s="1" t="s">
        <v>80</v>
      </c>
      <c r="P69" s="1" t="s">
        <v>80</v>
      </c>
      <c r="Q69" s="1" t="s">
        <v>80</v>
      </c>
      <c r="R69" s="1" t="s">
        <v>80</v>
      </c>
    </row>
    <row r="70" spans="1:22">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0099FF"/>
  </sheetPr>
  <dimension ref="A1:BE70"/>
  <sheetViews>
    <sheetView showGridLines="0" zoomScaleNormal="100" workbookViewId="0">
      <pane xSplit="1" ySplit="5" topLeftCell="AL6" activePane="bottomRight" state="frozen"/>
      <selection activeCell="H72" sqref="H72"/>
      <selection pane="topRight" activeCell="H72" sqref="H72"/>
      <selection pane="bottomLeft" activeCell="H72" sqref="H72"/>
      <selection pane="bottomRight" activeCell="BD13" sqref="BD13"/>
    </sheetView>
  </sheetViews>
  <sheetFormatPr defaultColWidth="9.7109375" defaultRowHeight="12.75"/>
  <cols>
    <col min="1" max="1" width="23.42578125" style="44" customWidth="1"/>
    <col min="2" max="49" width="12.42578125" style="1" customWidth="1"/>
    <col min="50" max="50" width="13.5703125" style="1" bestFit="1" customWidth="1"/>
    <col min="51" max="52" width="11.28515625" style="1" bestFit="1" customWidth="1"/>
    <col min="53" max="16384" width="9.7109375" style="1"/>
  </cols>
  <sheetData>
    <row r="1" spans="1:57">
      <c r="A1" s="7" t="s">
        <v>39</v>
      </c>
      <c r="D1" s="9"/>
      <c r="E1" s="9"/>
      <c r="F1" s="9"/>
      <c r="AB1" s="1">
        <v>1000</v>
      </c>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row>
    <row r="2" spans="1:57">
      <c r="A2" s="1"/>
      <c r="D2" s="9"/>
      <c r="E2" s="9"/>
      <c r="F2" s="9"/>
      <c r="AD2" s="75" t="s">
        <v>77</v>
      </c>
      <c r="AE2" s="76"/>
      <c r="AF2" s="76"/>
      <c r="AG2" s="76"/>
      <c r="AH2" s="76"/>
      <c r="AI2" s="76"/>
      <c r="AJ2" s="76"/>
      <c r="AK2" s="76"/>
      <c r="AL2" s="76"/>
      <c r="AM2" s="76"/>
      <c r="AN2" s="76"/>
      <c r="AO2" s="76"/>
      <c r="AP2" s="76"/>
      <c r="AQ2" s="76"/>
      <c r="AR2" s="76"/>
      <c r="AS2" s="76"/>
      <c r="AT2" s="76"/>
      <c r="AU2" s="76"/>
      <c r="AV2" s="76"/>
      <c r="AW2" s="75" t="s">
        <v>77</v>
      </c>
      <c r="AX2" s="75" t="s">
        <v>77</v>
      </c>
      <c r="AY2" s="75" t="s">
        <v>77</v>
      </c>
      <c r="AZ2" s="75"/>
      <c r="BA2" s="75"/>
      <c r="BB2" s="75"/>
      <c r="BC2" s="75"/>
      <c r="BD2" s="75"/>
      <c r="BE2" s="75"/>
    </row>
    <row r="3" spans="1:57">
      <c r="A3" s="1" t="s">
        <v>40</v>
      </c>
      <c r="D3" s="9"/>
      <c r="E3" s="9"/>
      <c r="F3" s="9"/>
      <c r="AD3" s="75"/>
      <c r="AE3" s="76"/>
      <c r="AF3" s="76"/>
      <c r="AG3" s="76"/>
      <c r="AH3" s="76"/>
      <c r="AI3" s="76"/>
      <c r="AJ3" s="76"/>
      <c r="AK3" s="76"/>
      <c r="AL3" s="76"/>
      <c r="AM3" s="76"/>
      <c r="AN3" s="76"/>
      <c r="AO3" s="76"/>
      <c r="AP3" s="76"/>
      <c r="AQ3" s="76"/>
      <c r="AR3" s="76"/>
      <c r="AS3" s="76"/>
      <c r="AT3" s="76"/>
      <c r="AU3" s="76"/>
      <c r="AV3" s="76"/>
      <c r="AW3" s="75"/>
      <c r="AX3" s="75"/>
      <c r="AY3" s="75"/>
      <c r="AZ3" s="75"/>
      <c r="BA3" s="75"/>
      <c r="BB3" s="75"/>
      <c r="BC3" s="75"/>
      <c r="BD3" s="75"/>
      <c r="BE3" s="75"/>
    </row>
    <row r="4" spans="1:57"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33">
        <v>2005</v>
      </c>
      <c r="R4" s="33">
        <v>2006</v>
      </c>
      <c r="S4" s="40">
        <v>2007</v>
      </c>
      <c r="T4" s="40">
        <v>2008</v>
      </c>
      <c r="U4" s="40">
        <v>2009</v>
      </c>
      <c r="V4" s="40">
        <v>2010</v>
      </c>
      <c r="W4" s="40">
        <v>2011</v>
      </c>
      <c r="X4" s="40">
        <v>2012</v>
      </c>
      <c r="Y4" s="40">
        <v>2013</v>
      </c>
      <c r="Z4" s="40">
        <v>2014</v>
      </c>
      <c r="AA4" s="40">
        <v>2015</v>
      </c>
      <c r="AB4" s="97">
        <v>2016</v>
      </c>
      <c r="AC4" s="97">
        <v>2017</v>
      </c>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row>
    <row r="5" spans="1:57">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c r="W5" s="8" t="s">
        <v>1</v>
      </c>
      <c r="X5" s="8" t="s">
        <v>1</v>
      </c>
      <c r="Y5" s="8" t="s">
        <v>1</v>
      </c>
      <c r="Z5" s="8" t="s">
        <v>1</v>
      </c>
      <c r="AA5" s="8" t="s">
        <v>1</v>
      </c>
      <c r="AB5" s="8" t="s">
        <v>1</v>
      </c>
      <c r="AC5" s="8" t="s">
        <v>1</v>
      </c>
      <c r="AD5" s="77">
        <f t="shared" ref="AD5:AY5" si="0">+B4</f>
        <v>1984</v>
      </c>
      <c r="AE5" s="77">
        <f t="shared" si="0"/>
        <v>1985</v>
      </c>
      <c r="AF5" s="77">
        <f t="shared" si="0"/>
        <v>1986</v>
      </c>
      <c r="AG5" s="77">
        <f t="shared" si="0"/>
        <v>1991</v>
      </c>
      <c r="AH5" s="77">
        <f t="shared" si="0"/>
        <v>1992</v>
      </c>
      <c r="AI5" s="77">
        <f t="shared" si="0"/>
        <v>1993</v>
      </c>
      <c r="AJ5" s="77">
        <f t="shared" si="0"/>
        <v>1994</v>
      </c>
      <c r="AK5" s="77">
        <f t="shared" si="0"/>
        <v>1995</v>
      </c>
      <c r="AL5" s="77">
        <f t="shared" si="0"/>
        <v>1996</v>
      </c>
      <c r="AM5" s="77">
        <f t="shared" si="0"/>
        <v>1997</v>
      </c>
      <c r="AN5" s="77">
        <f t="shared" si="0"/>
        <v>2000</v>
      </c>
      <c r="AO5" s="77">
        <f t="shared" si="0"/>
        <v>2001</v>
      </c>
      <c r="AP5" s="77">
        <f t="shared" si="0"/>
        <v>2002</v>
      </c>
      <c r="AQ5" s="77">
        <f t="shared" si="0"/>
        <v>2003</v>
      </c>
      <c r="AR5" s="77">
        <f t="shared" si="0"/>
        <v>2004</v>
      </c>
      <c r="AS5" s="77">
        <f t="shared" si="0"/>
        <v>2005</v>
      </c>
      <c r="AT5" s="77">
        <f t="shared" si="0"/>
        <v>2006</v>
      </c>
      <c r="AU5" s="77">
        <f t="shared" si="0"/>
        <v>2007</v>
      </c>
      <c r="AV5" s="77">
        <f t="shared" si="0"/>
        <v>2008</v>
      </c>
      <c r="AW5" s="77">
        <f t="shared" si="0"/>
        <v>2009</v>
      </c>
      <c r="AX5" s="77">
        <f t="shared" si="0"/>
        <v>2010</v>
      </c>
      <c r="AY5" s="77">
        <f t="shared" si="0"/>
        <v>2011</v>
      </c>
      <c r="AZ5" s="76">
        <v>2012</v>
      </c>
      <c r="BA5" s="76">
        <v>2013</v>
      </c>
      <c r="BB5" s="100">
        <v>2014</v>
      </c>
      <c r="BC5" s="100">
        <v>2015</v>
      </c>
      <c r="BD5" s="100">
        <v>2016</v>
      </c>
      <c r="BE5" s="100">
        <v>2017</v>
      </c>
    </row>
    <row r="6" spans="1:57">
      <c r="A6" s="24" t="s">
        <v>118</v>
      </c>
      <c r="B6" s="24">
        <f>14692148+20043143</f>
        <v>34735291</v>
      </c>
      <c r="C6" s="24">
        <f>16164351+22182388</f>
        <v>38346739</v>
      </c>
      <c r="D6" s="24">
        <f>17739540+24088718</f>
        <v>41828258</v>
      </c>
      <c r="E6" s="24">
        <v>60717016.428999998</v>
      </c>
      <c r="F6" s="49">
        <f>+F7+F25+F40+F54+F65</f>
        <v>63086595.118000001</v>
      </c>
      <c r="G6" s="24">
        <v>68094627.483999997</v>
      </c>
      <c r="H6" s="24">
        <v>70972121.620000005</v>
      </c>
      <c r="I6" s="49">
        <f>+I7+I25+I40+I54+I65</f>
        <v>72983322.177000001</v>
      </c>
      <c r="J6" s="24">
        <v>78112280.522</v>
      </c>
      <c r="K6" s="49">
        <f t="shared" ref="K6:U6" si="1">+K7+K25+K40+K54+K65</f>
        <v>82791254.839900002</v>
      </c>
      <c r="L6" s="49">
        <f t="shared" si="1"/>
        <v>97344402.655000001</v>
      </c>
      <c r="M6" s="49">
        <f t="shared" si="1"/>
        <v>105255878.21100001</v>
      </c>
      <c r="N6" s="49">
        <f t="shared" si="1"/>
        <v>114476664.09300001</v>
      </c>
      <c r="O6" s="49">
        <f t="shared" si="1"/>
        <v>119158293.78999999</v>
      </c>
      <c r="P6" s="49">
        <f t="shared" si="1"/>
        <v>126324849.40000001</v>
      </c>
      <c r="Q6" s="49">
        <f t="shared" si="1"/>
        <v>136254441.289</v>
      </c>
      <c r="R6" s="49">
        <f t="shared" si="1"/>
        <v>142077199.52599999</v>
      </c>
      <c r="S6" s="49">
        <f t="shared" si="1"/>
        <v>151644586.63</v>
      </c>
      <c r="T6" s="49">
        <f t="shared" si="1"/>
        <v>163699695.785</v>
      </c>
      <c r="U6" s="49">
        <f t="shared" si="1"/>
        <v>155006693.76300001</v>
      </c>
      <c r="V6" s="49">
        <f t="shared" ref="V6:W6" si="2">+V7+V25+V40+V54+V65</f>
        <v>170626200.972</v>
      </c>
      <c r="W6" s="49">
        <f t="shared" si="2"/>
        <v>180374626.90999997</v>
      </c>
      <c r="X6" s="49">
        <f t="shared" ref="X6:Y6" si="3">+X7+X25+X40+X54+X65</f>
        <v>185296911.405</v>
      </c>
      <c r="Y6" s="49">
        <f t="shared" si="3"/>
        <v>185186822.30999997</v>
      </c>
      <c r="Z6" s="49">
        <f t="shared" ref="Z6:AA6" si="4">+Z7+Z25+Z40+Z54+Z65</f>
        <v>194215935.35000002</v>
      </c>
      <c r="AA6" s="49">
        <f t="shared" si="4"/>
        <v>201396526.74600002</v>
      </c>
      <c r="AB6" s="49">
        <f t="shared" ref="AB6:AC6" si="5">+AB7+AB25+AB40+AB54+AB65</f>
        <v>218248260.42200002</v>
      </c>
      <c r="AC6" s="49">
        <f t="shared" si="5"/>
        <v>228807114.94299996</v>
      </c>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row>
    <row r="7" spans="1:57">
      <c r="A7" s="1" t="s">
        <v>56</v>
      </c>
      <c r="B7" s="48">
        <f>SUM(B8:B24)</f>
        <v>11195623</v>
      </c>
      <c r="C7" s="48">
        <f t="shared" ref="C7:U7" si="6">SUM(C8:C24)</f>
        <v>12289870</v>
      </c>
      <c r="D7" s="48">
        <f t="shared" si="6"/>
        <v>13604883</v>
      </c>
      <c r="E7" s="48">
        <f t="shared" si="6"/>
        <v>20283096.723000001</v>
      </c>
      <c r="F7" s="48">
        <f t="shared" si="6"/>
        <v>20986763.502</v>
      </c>
      <c r="G7" s="48">
        <f t="shared" si="6"/>
        <v>22401225.125999995</v>
      </c>
      <c r="H7" s="48">
        <f t="shared" si="6"/>
        <v>23546651.619999997</v>
      </c>
      <c r="I7" s="48">
        <f t="shared" si="6"/>
        <v>25247528.560000002</v>
      </c>
      <c r="J7" s="48">
        <f t="shared" si="6"/>
        <v>26935678.545999996</v>
      </c>
      <c r="K7" s="48">
        <f t="shared" si="6"/>
        <v>28768130.757919997</v>
      </c>
      <c r="L7" s="48">
        <f t="shared" si="6"/>
        <v>34617800.920000002</v>
      </c>
      <c r="M7" s="48">
        <f t="shared" si="6"/>
        <v>37491545.475000001</v>
      </c>
      <c r="N7" s="48">
        <f t="shared" si="6"/>
        <v>42425641.704999998</v>
      </c>
      <c r="O7" s="48">
        <f t="shared" si="6"/>
        <v>45161487.040999994</v>
      </c>
      <c r="P7" s="48">
        <f t="shared" si="6"/>
        <v>47927207.759000011</v>
      </c>
      <c r="Q7" s="48">
        <f t="shared" si="6"/>
        <v>51563018.194000006</v>
      </c>
      <c r="R7" s="48">
        <f t="shared" si="6"/>
        <v>53248986.096000001</v>
      </c>
      <c r="S7" s="48">
        <f t="shared" si="6"/>
        <v>56716844.725999996</v>
      </c>
      <c r="T7" s="48">
        <f t="shared" si="6"/>
        <v>61746202.609999999</v>
      </c>
      <c r="U7" s="48">
        <f t="shared" si="6"/>
        <v>56093672.956000008</v>
      </c>
      <c r="V7" s="48">
        <f t="shared" ref="V7:W7" si="7">SUM(V8:V24)</f>
        <v>65200095.023999996</v>
      </c>
      <c r="W7" s="48">
        <f t="shared" si="7"/>
        <v>68844749.775000006</v>
      </c>
      <c r="X7" s="48">
        <f t="shared" ref="X7:Y7" si="8">SUM(X8:X24)</f>
        <v>70028189.103</v>
      </c>
      <c r="Y7" s="48">
        <f t="shared" si="8"/>
        <v>67344997.675999999</v>
      </c>
      <c r="Z7" s="48">
        <f t="shared" ref="Z7:AA7" si="9">SUM(Z8:Z24)</f>
        <v>70579336.119000003</v>
      </c>
      <c r="AA7" s="48">
        <f t="shared" si="9"/>
        <v>73487913.803000003</v>
      </c>
      <c r="AB7" s="48">
        <f t="shared" ref="AB7:AC7" si="10">SUM(AB8:AB24)</f>
        <v>81565297.179999992</v>
      </c>
      <c r="AC7" s="48">
        <f t="shared" si="10"/>
        <v>85119431.109999985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row>
    <row r="8" spans="1:57">
      <c r="A8" s="7" t="s">
        <v>119</v>
      </c>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row>
    <row r="9" spans="1:57">
      <c r="A9" s="1" t="s">
        <v>3</v>
      </c>
      <c r="B9" s="1">
        <v>672396</v>
      </c>
      <c r="C9" s="1">
        <v>762502</v>
      </c>
      <c r="D9" s="1">
        <v>844481</v>
      </c>
      <c r="E9" s="1">
        <v>1252084.4680000001</v>
      </c>
      <c r="F9" s="42">
        <v>1292610.4850000001</v>
      </c>
      <c r="G9" s="1">
        <v>1390108.5719999999</v>
      </c>
      <c r="H9" s="1">
        <v>1495473.66</v>
      </c>
      <c r="I9" s="1">
        <v>1612440.4739999999</v>
      </c>
      <c r="J9" s="1">
        <v>1659985.3689999999</v>
      </c>
      <c r="K9" s="1">
        <v>1695708.2879999999</v>
      </c>
      <c r="L9" s="1">
        <v>2032126.4439999999</v>
      </c>
      <c r="M9" s="1">
        <v>2151222.5660000001</v>
      </c>
      <c r="N9" s="1">
        <v>2380230.048</v>
      </c>
      <c r="O9" s="1">
        <v>2563775.7370000002</v>
      </c>
      <c r="P9" s="1">
        <v>2820309.8229999999</v>
      </c>
      <c r="Q9" s="1">
        <v>2923819.5329999998</v>
      </c>
      <c r="R9" s="1">
        <v>3151654.2880000002</v>
      </c>
      <c r="S9" s="1">
        <v>3454020.1</v>
      </c>
      <c r="T9" s="1">
        <v>4016071.1880000001</v>
      </c>
      <c r="U9" s="1">
        <v>4103818.2820000001</v>
      </c>
      <c r="V9" s="1">
        <v>4213609.1469999999</v>
      </c>
      <c r="W9" s="1">
        <v>4118915.5959999999</v>
      </c>
      <c r="X9" s="1">
        <v>4044047.6779999998</v>
      </c>
      <c r="Y9" s="1">
        <v>4226042.3210000005</v>
      </c>
      <c r="Z9" s="1">
        <v>4388581.841</v>
      </c>
      <c r="AA9" s="1">
        <v>4528543.7539999997</v>
      </c>
      <c r="AB9" s="1">
        <v>4739771.5889999997</v>
      </c>
      <c r="AC9" s="1">
        <v>4977635.182</v>
      </c>
      <c r="AD9" s="75">
        <f>('Instruction-4YR'!B9+'RESEARCH 4yr'!B9+'PUBLIC SERVICE 4yr'!B9+'ASptISptSSv 4yr'!B9+'PLANT OPER MAIN 4yr'!B9+'SCHOLAR FELLOW 4yr'!B9+'All Other 4yr'!B9)-B9</f>
        <v>0</v>
      </c>
      <c r="AE9" s="75">
        <f>('Instruction-4YR'!C9+'RESEARCH 4yr'!C9+'PUBLIC SERVICE 4yr'!C9+'ASptISptSSv 4yr'!C9+'PLANT OPER MAIN 4yr'!C9+'SCHOLAR FELLOW 4yr'!C9+'All Other 4yr'!C9)-C9</f>
        <v>0</v>
      </c>
      <c r="AF9" s="75">
        <f>('Instruction-4YR'!D9+'RESEARCH 4yr'!D9+'PUBLIC SERVICE 4yr'!D9+'ASptISptSSv 4yr'!D9+'PLANT OPER MAIN 4yr'!D9+'SCHOLAR FELLOW 4yr'!D9+'All Other 4yr'!D9)-D9</f>
        <v>0</v>
      </c>
      <c r="AG9" s="75">
        <f>('Instruction-4YR'!E9+'RESEARCH 4yr'!E9+'PUBLIC SERVICE 4yr'!E9+'ASptISptSSv 4yr'!E9+'PLANT OPER MAIN 4yr'!E9+'SCHOLAR FELLOW 4yr'!E9+'All Other 4yr'!E9)-E9</f>
        <v>0</v>
      </c>
      <c r="AH9" s="75">
        <f>('Instruction-4YR'!F9+'RESEARCH 4yr'!F9+'PUBLIC SERVICE 4yr'!F9+'ASptISptSSv 4yr'!F9+'PLANT OPER MAIN 4yr'!F9+'SCHOLAR FELLOW 4yr'!F9+'All Other 4yr'!F9)-F9</f>
        <v>0</v>
      </c>
      <c r="AI9" s="75">
        <f>('Instruction-4YR'!G9+'RESEARCH 4yr'!G9+'PUBLIC SERVICE 4yr'!G9+'ASptISptSSv 4yr'!G9+'PLANT OPER MAIN 4yr'!G9+'SCHOLAR FELLOW 4yr'!G9+'All Other 4yr'!G9)-G9</f>
        <v>0</v>
      </c>
      <c r="AJ9" s="75">
        <f>('Instruction-4YR'!H9+'RESEARCH 4yr'!H9+'PUBLIC SERVICE 4yr'!H9+'ASptISptSSv 4yr'!H9+'PLANT OPER MAIN 4yr'!H9+'SCHOLAR FELLOW 4yr'!H9+'All Other 4yr'!H9)-H9</f>
        <v>0</v>
      </c>
      <c r="AK9" s="75">
        <f>('Instruction-4YR'!I9+'RESEARCH 4yr'!I9+'PUBLIC SERVICE 4yr'!I9+'ASptISptSSv 4yr'!I9+'PLANT OPER MAIN 4yr'!I9+'SCHOLAR FELLOW 4yr'!I9+'All Other 4yr'!I9)-I9</f>
        <v>0</v>
      </c>
      <c r="AL9" s="75">
        <f>('Instruction-4YR'!J9+'RESEARCH 4yr'!J9+'PUBLIC SERVICE 4yr'!J9+'ASptISptSSv 4yr'!J9+'PLANT OPER MAIN 4yr'!J9+'SCHOLAR FELLOW 4yr'!J9+'All Other 4yr'!J9)-J9</f>
        <v>0</v>
      </c>
      <c r="AM9" s="75">
        <f>('Instruction-4YR'!K9+'RESEARCH 4yr'!K9+'PUBLIC SERVICE 4yr'!K9+'ASptISptSSv 4yr'!K9+'PLANT OPER MAIN 4yr'!K9+'SCHOLAR FELLOW 4yr'!K9+'All Other 4yr'!K9)-K9</f>
        <v>0</v>
      </c>
      <c r="AN9" s="75">
        <f>('Instruction-4YR'!L9+'RESEARCH 4yr'!L9+'PUBLIC SERVICE 4yr'!L9+'ASptISptSSv 4yr'!L9+'PLANT OPER MAIN 4yr'!L9+'SCHOLAR FELLOW 4yr'!L9+'All Other 4yr'!L9)-L9</f>
        <v>0</v>
      </c>
      <c r="AO9" s="75">
        <f>('Instruction-4YR'!M9+'RESEARCH 4yr'!M9+'PUBLIC SERVICE 4yr'!M9+'ASptISptSSv 4yr'!M9+'PLANT OPER MAIN 4yr'!M9+'SCHOLAR FELLOW 4yr'!M9+'All Other 4yr'!M9)-M9</f>
        <v>0</v>
      </c>
      <c r="AP9" s="75">
        <f>('Instruction-4YR'!N9+'RESEARCH 4yr'!N9+'PUBLIC SERVICE 4yr'!N9+'ASptISptSSv 4yr'!N9+'PLANT OPER MAIN 4yr'!N9+'SCHOLAR FELLOW 4yr'!N9+'All Other 4yr'!N9)-N9</f>
        <v>0</v>
      </c>
      <c r="AQ9" s="75">
        <f>('Instruction-4YR'!O9+'RESEARCH 4yr'!O9+'PUBLIC SERVICE 4yr'!O9+'ASptISptSSv 4yr'!O9+'PLANT OPER MAIN 4yr'!O9+'SCHOLAR FELLOW 4yr'!O9+'All Other 4yr'!O9)-O9</f>
        <v>0</v>
      </c>
      <c r="AR9" s="75">
        <f>('Instruction-4YR'!P9+'RESEARCH 4yr'!P9+'PUBLIC SERVICE 4yr'!P9+'ASptISptSSv 4yr'!P9+'PLANT OPER MAIN 4yr'!P9+'SCHOLAR FELLOW 4yr'!P9+'All Other 4yr'!P9)-P9</f>
        <v>0</v>
      </c>
      <c r="AS9" s="75">
        <f>('Instruction-4YR'!Q9+'RESEARCH 4yr'!Q9+'PUBLIC SERVICE 4yr'!Q9+'ASptISptSSv 4yr'!Q9+'PLANT OPER MAIN 4yr'!Q9+'SCHOLAR FELLOW 4yr'!Q9+'All Other 4yr'!Q9)-Q9</f>
        <v>0</v>
      </c>
      <c r="AT9" s="75">
        <f>('Instruction-4YR'!R9+'RESEARCH 4yr'!R9+'PUBLIC SERVICE 4yr'!R9+'ASptISptSSv 4yr'!R9+'PLANT OPER MAIN 4yr'!R9+'SCHOLAR FELLOW 4yr'!R9+'All Other 4yr'!R9)-R9</f>
        <v>0</v>
      </c>
      <c r="AU9" s="75">
        <f>('Instruction-4YR'!S9+'RESEARCH 4yr'!S9+'PUBLIC SERVICE 4yr'!S9+'ASptISptSSv 4yr'!S9+'PLANT OPER MAIN 4yr'!S9+'SCHOLAR FELLOW 4yr'!S9+'All Other 4yr'!S9)-S9</f>
        <v>0</v>
      </c>
      <c r="AV9" s="75">
        <f>('Instruction-4YR'!T9+'RESEARCH 4yr'!T9+'PUBLIC SERVICE 4yr'!T9+'ASptISptSSv 4yr'!T9+'PLANT OPER MAIN 4yr'!T9+'SCHOLAR FELLOW 4yr'!T9+'All Other 4yr'!T9)-T9</f>
        <v>0</v>
      </c>
      <c r="AW9" s="75">
        <f>('Instruction-4YR'!U9+'RESEARCH 4yr'!U9+'PUBLIC SERVICE 4yr'!U9+'ASptISptSSv 4yr'!U9+'PLANT OPER MAIN 4yr'!U9+'SCHOLAR FELLOW 4yr'!U9+'All Other 4yr'!U9)-U9</f>
        <v>0</v>
      </c>
      <c r="AX9" s="75">
        <f>('Instruction-4YR'!V9+'RESEARCH 4yr'!V9+'PUBLIC SERVICE 4yr'!V9+'ASptISptSSv 4yr'!V9+'PLANT OPER MAIN 4yr'!V9+'SCHOLAR FELLOW 4yr'!V9+'All Other 4yr'!V9)-V9</f>
        <v>0</v>
      </c>
      <c r="AY9" s="75">
        <f>('Instruction-4YR'!W9+'RESEARCH 4yr'!W9+'PUBLIC SERVICE 4yr'!W9+'ASptISptSSv 4yr'!W9+'PLANT OPER MAIN 4yr'!W9+'SCHOLAR FELLOW 4yr'!W9+'All Other 4yr'!W9)-W9</f>
        <v>0</v>
      </c>
      <c r="AZ9" s="75">
        <f>('Instruction-4YR'!X9+'RESEARCH 4yr'!X9+'PUBLIC SERVICE 4yr'!X9+'ASptISptSSv 4yr'!X9+'PLANT OPER MAIN 4yr'!X9+'SCHOLAR FELLOW 4yr'!X9+'All Other 4yr'!X9)-X9</f>
        <v>0</v>
      </c>
      <c r="BA9" s="75">
        <f>('Instruction-4YR'!Y9+'RESEARCH 4yr'!Y9+'PUBLIC SERVICE 4yr'!Y9+'ASptISptSSv 4yr'!Y9+'PLANT OPER MAIN 4yr'!Y9+'SCHOLAR FELLOW 4yr'!Y9+'All Other 4yr'!Y9)-Y9</f>
        <v>0</v>
      </c>
      <c r="BB9" s="75">
        <f>('Instruction-4YR'!Z9+'RESEARCH 4yr'!Z9+'PUBLIC SERVICE 4yr'!Z9+'ASptISptSSv 4yr'!Z9+'PLANT OPER MAIN 4yr'!Z9+'SCHOLAR FELLOW 4yr'!Z9+'All Other 4yr'!Z9)-Z9</f>
        <v>0</v>
      </c>
      <c r="BC9" s="75">
        <f>('Instruction-4YR'!AA9+'RESEARCH 4yr'!AA9+'PUBLIC SERVICE 4yr'!AA9+'ASptISptSSv 4yr'!AA9+'PLANT OPER MAIN 4yr'!AA9+'SCHOLAR FELLOW 4yr'!AA9+'All Other 4yr'!AA9)-AA9</f>
        <v>0</v>
      </c>
      <c r="BD9" s="75">
        <f>('Instruction-4YR'!AB9+'RESEARCH 4yr'!AB9+'PUBLIC SERVICE 4yr'!AB9+'ASptISptSSv 4yr'!AB9+'PLANT OPER MAIN 4yr'!AB9+'SCHOLAR FELLOW 4yr'!AB9+'All Other 4yr'!AB9)-AB9</f>
        <v>0</v>
      </c>
      <c r="BE9" s="75">
        <f>('Instruction-4YR'!AC9+'RESEARCH 4yr'!AC9+'PUBLIC SERVICE 4yr'!AC9+'ASptISptSSv 4yr'!AC9+'PLANT OPER MAIN 4yr'!AC9+'SCHOLAR FELLOW 4yr'!AC9+'All Other 4yr'!AC9)-AC9</f>
        <v>0</v>
      </c>
    </row>
    <row r="10" spans="1:57">
      <c r="A10" s="1" t="s">
        <v>4</v>
      </c>
      <c r="B10" s="1">
        <v>317039</v>
      </c>
      <c r="C10" s="1">
        <v>362811</v>
      </c>
      <c r="D10" s="1">
        <v>399788</v>
      </c>
      <c r="E10" s="1">
        <v>636383.96400000004</v>
      </c>
      <c r="F10" s="42">
        <v>591741.74300000002</v>
      </c>
      <c r="G10" s="1">
        <v>661069.99900000007</v>
      </c>
      <c r="H10" s="1">
        <v>683824.799</v>
      </c>
      <c r="I10" s="1">
        <v>726775.77099999995</v>
      </c>
      <c r="J10" s="1">
        <v>776408.96299999999</v>
      </c>
      <c r="K10" s="1">
        <v>837493.23400000005</v>
      </c>
      <c r="L10" s="1">
        <v>1001360.465</v>
      </c>
      <c r="M10" s="1">
        <v>1104514.075</v>
      </c>
      <c r="N10" s="1">
        <v>1296792.3060000001</v>
      </c>
      <c r="O10" s="1">
        <v>1329441.121</v>
      </c>
      <c r="P10" s="1">
        <v>1430792.2290000001</v>
      </c>
      <c r="Q10" s="1">
        <v>1519958.564</v>
      </c>
      <c r="R10" s="1">
        <v>1642227.5430000001</v>
      </c>
      <c r="S10" s="1">
        <v>1657628.287</v>
      </c>
      <c r="T10" s="1">
        <v>1774806.753</v>
      </c>
      <c r="U10" s="1">
        <v>1460993.0120000001</v>
      </c>
      <c r="V10" s="1">
        <v>1928902.253</v>
      </c>
      <c r="W10" s="1">
        <v>2119527.446</v>
      </c>
      <c r="X10" s="1">
        <v>2211134.5690000001</v>
      </c>
      <c r="Y10" s="1">
        <v>2204686.031</v>
      </c>
      <c r="Z10" s="1">
        <v>2243881.2480000001</v>
      </c>
      <c r="AA10" s="1">
        <v>2305310.42</v>
      </c>
      <c r="AB10" s="1">
        <v>2340461.4959999998</v>
      </c>
      <c r="AC10" s="1">
        <v>2399874.1329999999</v>
      </c>
      <c r="AD10" s="75">
        <f>('Instruction-4YR'!B10+'RESEARCH 4yr'!B10+'PUBLIC SERVICE 4yr'!B10+'ASptISptSSv 4yr'!B10+'PLANT OPER MAIN 4yr'!B10+'SCHOLAR FELLOW 4yr'!B10+'All Other 4yr'!B10)-B10</f>
        <v>0</v>
      </c>
      <c r="AE10" s="75">
        <f>('Instruction-4YR'!C10+'RESEARCH 4yr'!C10+'PUBLIC SERVICE 4yr'!C10+'ASptISptSSv 4yr'!C10+'PLANT OPER MAIN 4yr'!C10+'SCHOLAR FELLOW 4yr'!C10+'All Other 4yr'!C10)-C10</f>
        <v>0</v>
      </c>
      <c r="AF10" s="75">
        <f>('Instruction-4YR'!D10+'RESEARCH 4yr'!D10+'PUBLIC SERVICE 4yr'!D10+'ASptISptSSv 4yr'!D10+'PLANT OPER MAIN 4yr'!D10+'SCHOLAR FELLOW 4yr'!D10+'All Other 4yr'!D10)-D10</f>
        <v>0</v>
      </c>
      <c r="AG10" s="75">
        <f>('Instruction-4YR'!E10+'RESEARCH 4yr'!E10+'PUBLIC SERVICE 4yr'!E10+'ASptISptSSv 4yr'!E10+'PLANT OPER MAIN 4yr'!E10+'SCHOLAR FELLOW 4yr'!E10+'All Other 4yr'!E10)-E10</f>
        <v>0</v>
      </c>
      <c r="AH10" s="75">
        <f>('Instruction-4YR'!F10+'RESEARCH 4yr'!F10+'PUBLIC SERVICE 4yr'!F10+'ASptISptSSv 4yr'!F10+'PLANT OPER MAIN 4yr'!F10+'SCHOLAR FELLOW 4yr'!F10+'All Other 4yr'!F10)-F10</f>
        <v>0</v>
      </c>
      <c r="AI10" s="75">
        <f>('Instruction-4YR'!G10+'RESEARCH 4yr'!G10+'PUBLIC SERVICE 4yr'!G10+'ASptISptSSv 4yr'!G10+'PLANT OPER MAIN 4yr'!G10+'SCHOLAR FELLOW 4yr'!G10+'All Other 4yr'!G10)-G10</f>
        <v>0</v>
      </c>
      <c r="AJ10" s="75">
        <f>('Instruction-4YR'!H10+'RESEARCH 4yr'!H10+'PUBLIC SERVICE 4yr'!H10+'ASptISptSSv 4yr'!H10+'PLANT OPER MAIN 4yr'!H10+'SCHOLAR FELLOW 4yr'!H10+'All Other 4yr'!H10)-H10</f>
        <v>0</v>
      </c>
      <c r="AK10" s="75">
        <f>('Instruction-4YR'!I10+'RESEARCH 4yr'!I10+'PUBLIC SERVICE 4yr'!I10+'ASptISptSSv 4yr'!I10+'PLANT OPER MAIN 4yr'!I10+'SCHOLAR FELLOW 4yr'!I10+'All Other 4yr'!I10)-I10</f>
        <v>0</v>
      </c>
      <c r="AL10" s="75">
        <f>('Instruction-4YR'!J10+'RESEARCH 4yr'!J10+'PUBLIC SERVICE 4yr'!J10+'ASptISptSSv 4yr'!J10+'PLANT OPER MAIN 4yr'!J10+'SCHOLAR FELLOW 4yr'!J10+'All Other 4yr'!J10)-J10</f>
        <v>0</v>
      </c>
      <c r="AM10" s="75">
        <f>('Instruction-4YR'!K10+'RESEARCH 4yr'!K10+'PUBLIC SERVICE 4yr'!K10+'ASptISptSSv 4yr'!K10+'PLANT OPER MAIN 4yr'!K10+'SCHOLAR FELLOW 4yr'!K10+'All Other 4yr'!K10)-K10</f>
        <v>0</v>
      </c>
      <c r="AN10" s="75">
        <f>('Instruction-4YR'!L10+'RESEARCH 4yr'!L10+'PUBLIC SERVICE 4yr'!L10+'ASptISptSSv 4yr'!L10+'PLANT OPER MAIN 4yr'!L10+'SCHOLAR FELLOW 4yr'!L10+'All Other 4yr'!L10)-L10</f>
        <v>0</v>
      </c>
      <c r="AO10" s="75">
        <f>('Instruction-4YR'!M10+'RESEARCH 4yr'!M10+'PUBLIC SERVICE 4yr'!M10+'ASptISptSSv 4yr'!M10+'PLANT OPER MAIN 4yr'!M10+'SCHOLAR FELLOW 4yr'!M10+'All Other 4yr'!M10)-M10</f>
        <v>0</v>
      </c>
      <c r="AP10" s="75">
        <f>('Instruction-4YR'!N10+'RESEARCH 4yr'!N10+'PUBLIC SERVICE 4yr'!N10+'ASptISptSSv 4yr'!N10+'PLANT OPER MAIN 4yr'!N10+'SCHOLAR FELLOW 4yr'!N10+'All Other 4yr'!N10)-N10</f>
        <v>0</v>
      </c>
      <c r="AQ10" s="75">
        <f>('Instruction-4YR'!O10+'RESEARCH 4yr'!O10+'PUBLIC SERVICE 4yr'!O10+'ASptISptSSv 4yr'!O10+'PLANT OPER MAIN 4yr'!O10+'SCHOLAR FELLOW 4yr'!O10+'All Other 4yr'!O10)-O10</f>
        <v>0</v>
      </c>
      <c r="AR10" s="75">
        <f>('Instruction-4YR'!P10+'RESEARCH 4yr'!P10+'PUBLIC SERVICE 4yr'!P10+'ASptISptSSv 4yr'!P10+'PLANT OPER MAIN 4yr'!P10+'SCHOLAR FELLOW 4yr'!P10+'All Other 4yr'!P10)-P10</f>
        <v>0</v>
      </c>
      <c r="AS10" s="75">
        <f>('Instruction-4YR'!Q10+'RESEARCH 4yr'!Q10+'PUBLIC SERVICE 4yr'!Q10+'ASptISptSSv 4yr'!Q10+'PLANT OPER MAIN 4yr'!Q10+'SCHOLAR FELLOW 4yr'!Q10+'All Other 4yr'!Q10)-Q10</f>
        <v>0</v>
      </c>
      <c r="AT10" s="75">
        <f>('Instruction-4YR'!R10+'RESEARCH 4yr'!R10+'PUBLIC SERVICE 4yr'!R10+'ASptISptSSv 4yr'!R10+'PLANT OPER MAIN 4yr'!R10+'SCHOLAR FELLOW 4yr'!R10+'All Other 4yr'!R10)-R10</f>
        <v>0</v>
      </c>
      <c r="AU10" s="75">
        <f>('Instruction-4YR'!S10+'RESEARCH 4yr'!S10+'PUBLIC SERVICE 4yr'!S10+'ASptISptSSv 4yr'!S10+'PLANT OPER MAIN 4yr'!S10+'SCHOLAR FELLOW 4yr'!S10+'All Other 4yr'!S10)-S10</f>
        <v>0</v>
      </c>
      <c r="AV10" s="75">
        <f>('Instruction-4YR'!T10+'RESEARCH 4yr'!T10+'PUBLIC SERVICE 4yr'!T10+'ASptISptSSv 4yr'!T10+'PLANT OPER MAIN 4yr'!T10+'SCHOLAR FELLOW 4yr'!T10+'All Other 4yr'!T10)-T10</f>
        <v>0</v>
      </c>
      <c r="AW10" s="75">
        <f>('Instruction-4YR'!U10+'RESEARCH 4yr'!U10+'PUBLIC SERVICE 4yr'!U10+'ASptISptSSv 4yr'!U10+'PLANT OPER MAIN 4yr'!U10+'SCHOLAR FELLOW 4yr'!U10+'All Other 4yr'!U10)-U10</f>
        <v>0</v>
      </c>
      <c r="AX10" s="75">
        <f>('Instruction-4YR'!V10+'RESEARCH 4yr'!V10+'PUBLIC SERVICE 4yr'!V10+'ASptISptSSv 4yr'!V10+'PLANT OPER MAIN 4yr'!V10+'SCHOLAR FELLOW 4yr'!V10+'All Other 4yr'!V10)-V10</f>
        <v>0</v>
      </c>
      <c r="AY10" s="75">
        <f>('Instruction-4YR'!W10+'RESEARCH 4yr'!W10+'PUBLIC SERVICE 4yr'!W10+'ASptISptSSv 4yr'!W10+'PLANT OPER MAIN 4yr'!W10+'SCHOLAR FELLOW 4yr'!W10+'All Other 4yr'!W10)-W10</f>
        <v>0</v>
      </c>
      <c r="AZ10" s="75">
        <f>('Instruction-4YR'!X10+'RESEARCH 4yr'!X10+'PUBLIC SERVICE 4yr'!X10+'ASptISptSSv 4yr'!X10+'PLANT OPER MAIN 4yr'!X10+'SCHOLAR FELLOW 4yr'!X10+'All Other 4yr'!X10)-X10</f>
        <v>0</v>
      </c>
      <c r="BA10" s="75">
        <f>('Instruction-4YR'!Y10+'RESEARCH 4yr'!Y10+'PUBLIC SERVICE 4yr'!Y10+'ASptISptSSv 4yr'!Y10+'PLANT OPER MAIN 4yr'!Y10+'SCHOLAR FELLOW 4yr'!Y10+'All Other 4yr'!Y10)-Y10</f>
        <v>0</v>
      </c>
      <c r="BB10" s="75">
        <f>('Instruction-4YR'!Z10+'RESEARCH 4yr'!Z10+'PUBLIC SERVICE 4yr'!Z10+'ASptISptSSv 4yr'!Z10+'PLANT OPER MAIN 4yr'!Z10+'SCHOLAR FELLOW 4yr'!Z10+'All Other 4yr'!Z10)-Z10</f>
        <v>0</v>
      </c>
      <c r="BC10" s="75">
        <f>('Instruction-4YR'!AA10+'RESEARCH 4yr'!AA10+'PUBLIC SERVICE 4yr'!AA10+'ASptISptSSv 4yr'!AA10+'PLANT OPER MAIN 4yr'!AA10+'SCHOLAR FELLOW 4yr'!AA10+'All Other 4yr'!AA10)-AA10</f>
        <v>0</v>
      </c>
      <c r="BD10" s="75">
        <f>('Instruction-4YR'!AB10+'RESEARCH 4yr'!AB10+'PUBLIC SERVICE 4yr'!AB10+'ASptISptSSv 4yr'!AB10+'PLANT OPER MAIN 4yr'!AB10+'SCHOLAR FELLOW 4yr'!AB10+'All Other 4yr'!AB10)-AB10</f>
        <v>0</v>
      </c>
      <c r="BE10" s="75">
        <f>('Instruction-4YR'!AC10+'RESEARCH 4yr'!AC10+'PUBLIC SERVICE 4yr'!AC10+'ASptISptSSv 4yr'!AC10+'PLANT OPER MAIN 4yr'!AC10+'SCHOLAR FELLOW 4yr'!AC10+'All Other 4yr'!AC10)-AC10</f>
        <v>0</v>
      </c>
    </row>
    <row r="11" spans="1:57">
      <c r="A11" s="1" t="s">
        <v>52</v>
      </c>
      <c r="B11" s="1">
        <v>0</v>
      </c>
      <c r="C11" s="1">
        <v>0</v>
      </c>
      <c r="D11" s="1">
        <v>182553</v>
      </c>
      <c r="E11" s="1">
        <v>304282.02600000001</v>
      </c>
      <c r="F11" s="42">
        <v>317803.20299999998</v>
      </c>
      <c r="G11" s="1">
        <v>0</v>
      </c>
      <c r="I11" s="1">
        <v>374083.13900000002</v>
      </c>
      <c r="J11" s="1">
        <v>380791.01799999998</v>
      </c>
      <c r="K11" s="1">
        <v>397683.98100000003</v>
      </c>
      <c r="L11" s="1">
        <v>480076.4</v>
      </c>
      <c r="M11" s="1">
        <v>503321.016</v>
      </c>
      <c r="N11" s="1">
        <v>533444.16899999999</v>
      </c>
      <c r="O11" s="1">
        <v>571816.58700000006</v>
      </c>
      <c r="P11" s="1">
        <v>602356.88</v>
      </c>
      <c r="Q11" s="1">
        <v>648260.53200000001</v>
      </c>
      <c r="R11" s="1">
        <v>677539.91099999996</v>
      </c>
      <c r="S11" s="1">
        <v>703185.75300000003</v>
      </c>
      <c r="T11" s="1">
        <v>771316.42099999997</v>
      </c>
      <c r="U11" s="1">
        <v>802243.94200000004</v>
      </c>
      <c r="V11" s="1">
        <v>845074.15599999996</v>
      </c>
      <c r="W11" s="1">
        <v>907613.91700000002</v>
      </c>
      <c r="X11" s="1">
        <v>1003302.505</v>
      </c>
      <c r="Y11" s="1">
        <v>127711.414</v>
      </c>
      <c r="Z11" s="1">
        <v>1030778.606</v>
      </c>
      <c r="AA11" s="1">
        <v>1072243.5859999999</v>
      </c>
      <c r="AB11" s="1">
        <v>1110094.797</v>
      </c>
      <c r="AC11" s="1">
        <v>136399.78200000001</v>
      </c>
      <c r="AD11" s="75">
        <f>('Instruction-4YR'!B11+'RESEARCH 4yr'!B11+'PUBLIC SERVICE 4yr'!B11+'ASptISptSSv 4yr'!B11+'PLANT OPER MAIN 4yr'!B11+'SCHOLAR FELLOW 4yr'!B11+'All Other 4yr'!B11)-B11</f>
        <v>0</v>
      </c>
      <c r="AE11" s="75">
        <f>('Instruction-4YR'!C11+'RESEARCH 4yr'!C11+'PUBLIC SERVICE 4yr'!C11+'ASptISptSSv 4yr'!C11+'PLANT OPER MAIN 4yr'!C11+'SCHOLAR FELLOW 4yr'!C11+'All Other 4yr'!C11)-C11</f>
        <v>0</v>
      </c>
      <c r="AF11" s="75">
        <f>('Instruction-4YR'!D11+'RESEARCH 4yr'!D11+'PUBLIC SERVICE 4yr'!D11+'ASptISptSSv 4yr'!D11+'PLANT OPER MAIN 4yr'!D11+'SCHOLAR FELLOW 4yr'!D11+'All Other 4yr'!D11)-D11</f>
        <v>0</v>
      </c>
      <c r="AG11" s="75">
        <f>('Instruction-4YR'!E11+'RESEARCH 4yr'!E11+'PUBLIC SERVICE 4yr'!E11+'ASptISptSSv 4yr'!E11+'PLANT OPER MAIN 4yr'!E11+'SCHOLAR FELLOW 4yr'!E11+'All Other 4yr'!E11)-E11</f>
        <v>0</v>
      </c>
      <c r="AH11" s="75">
        <f>('Instruction-4YR'!F11+'RESEARCH 4yr'!F11+'PUBLIC SERVICE 4yr'!F11+'ASptISptSSv 4yr'!F11+'PLANT OPER MAIN 4yr'!F11+'SCHOLAR FELLOW 4yr'!F11+'All Other 4yr'!F11)-F11</f>
        <v>0</v>
      </c>
      <c r="AI11" s="75">
        <f>('Instruction-4YR'!G11+'RESEARCH 4yr'!G11+'PUBLIC SERVICE 4yr'!G11+'ASptISptSSv 4yr'!G11+'PLANT OPER MAIN 4yr'!G11+'SCHOLAR FELLOW 4yr'!G11+'All Other 4yr'!G11)-G11</f>
        <v>0</v>
      </c>
      <c r="AJ11" s="75">
        <f>('Instruction-4YR'!H11+'RESEARCH 4yr'!H11+'PUBLIC SERVICE 4yr'!H11+'ASptISptSSv 4yr'!H11+'PLANT OPER MAIN 4yr'!H11+'SCHOLAR FELLOW 4yr'!H11+'All Other 4yr'!H11)-H11</f>
        <v>0</v>
      </c>
      <c r="AK11" s="75">
        <f>('Instruction-4YR'!I11+'RESEARCH 4yr'!I11+'PUBLIC SERVICE 4yr'!I11+'ASptISptSSv 4yr'!I11+'PLANT OPER MAIN 4yr'!I11+'SCHOLAR FELLOW 4yr'!I11+'All Other 4yr'!I11)-I11</f>
        <v>0</v>
      </c>
      <c r="AL11" s="75">
        <f>('Instruction-4YR'!J11+'RESEARCH 4yr'!J11+'PUBLIC SERVICE 4yr'!J11+'ASptISptSSv 4yr'!J11+'PLANT OPER MAIN 4yr'!J11+'SCHOLAR FELLOW 4yr'!J11+'All Other 4yr'!J11)-J11</f>
        <v>0</v>
      </c>
      <c r="AM11" s="75">
        <f>('Instruction-4YR'!K11+'RESEARCH 4yr'!K11+'PUBLIC SERVICE 4yr'!K11+'ASptISptSSv 4yr'!K11+'PLANT OPER MAIN 4yr'!K11+'SCHOLAR FELLOW 4yr'!K11+'All Other 4yr'!K11)-K11</f>
        <v>0</v>
      </c>
      <c r="AN11" s="75">
        <f>('Instruction-4YR'!L11+'RESEARCH 4yr'!L11+'PUBLIC SERVICE 4yr'!L11+'ASptISptSSv 4yr'!L11+'PLANT OPER MAIN 4yr'!L11+'SCHOLAR FELLOW 4yr'!L11+'All Other 4yr'!L11)-L11</f>
        <v>0</v>
      </c>
      <c r="AO11" s="75">
        <f>('Instruction-4YR'!M11+'RESEARCH 4yr'!M11+'PUBLIC SERVICE 4yr'!M11+'ASptISptSSv 4yr'!M11+'PLANT OPER MAIN 4yr'!M11+'SCHOLAR FELLOW 4yr'!M11+'All Other 4yr'!M11)-M11</f>
        <v>0</v>
      </c>
      <c r="AP11" s="75">
        <f>('Instruction-4YR'!N11+'RESEARCH 4yr'!N11+'PUBLIC SERVICE 4yr'!N11+'ASptISptSSv 4yr'!N11+'PLANT OPER MAIN 4yr'!N11+'SCHOLAR FELLOW 4yr'!N11+'All Other 4yr'!N11)-N11</f>
        <v>0</v>
      </c>
      <c r="AQ11" s="75">
        <f>('Instruction-4YR'!O11+'RESEARCH 4yr'!O11+'PUBLIC SERVICE 4yr'!O11+'ASptISptSSv 4yr'!O11+'PLANT OPER MAIN 4yr'!O11+'SCHOLAR FELLOW 4yr'!O11+'All Other 4yr'!O11)-O11</f>
        <v>0</v>
      </c>
      <c r="AR11" s="75">
        <f>('Instruction-4YR'!P11+'RESEARCH 4yr'!P11+'PUBLIC SERVICE 4yr'!P11+'ASptISptSSv 4yr'!P11+'PLANT OPER MAIN 4yr'!P11+'SCHOLAR FELLOW 4yr'!P11+'All Other 4yr'!P11)-P11</f>
        <v>0</v>
      </c>
      <c r="AS11" s="75">
        <f>('Instruction-4YR'!Q11+'RESEARCH 4yr'!Q11+'PUBLIC SERVICE 4yr'!Q11+'ASptISptSSv 4yr'!Q11+'PLANT OPER MAIN 4yr'!Q11+'SCHOLAR FELLOW 4yr'!Q11+'All Other 4yr'!Q11)-Q11</f>
        <v>0</v>
      </c>
      <c r="AT11" s="75">
        <f>('Instruction-4YR'!R11+'RESEARCH 4yr'!R11+'PUBLIC SERVICE 4yr'!R11+'ASptISptSSv 4yr'!R11+'PLANT OPER MAIN 4yr'!R11+'SCHOLAR FELLOW 4yr'!R11+'All Other 4yr'!R11)-R11</f>
        <v>0</v>
      </c>
      <c r="AU11" s="75">
        <f>('Instruction-4YR'!S11+'RESEARCH 4yr'!S11+'PUBLIC SERVICE 4yr'!S11+'ASptISptSSv 4yr'!S11+'PLANT OPER MAIN 4yr'!S11+'SCHOLAR FELLOW 4yr'!S11+'All Other 4yr'!S11)-S11</f>
        <v>0</v>
      </c>
      <c r="AV11" s="75">
        <f>('Instruction-4YR'!T11+'RESEARCH 4yr'!T11+'PUBLIC SERVICE 4yr'!T11+'ASptISptSSv 4yr'!T11+'PLANT OPER MAIN 4yr'!T11+'SCHOLAR FELLOW 4yr'!T11+'All Other 4yr'!T11)-T11</f>
        <v>0</v>
      </c>
      <c r="AW11" s="75">
        <f>('Instruction-4YR'!U11+'RESEARCH 4yr'!U11+'PUBLIC SERVICE 4yr'!U11+'ASptISptSSv 4yr'!U11+'PLANT OPER MAIN 4yr'!U11+'SCHOLAR FELLOW 4yr'!U11+'All Other 4yr'!U11)-U11</f>
        <v>0</v>
      </c>
      <c r="AX11" s="75">
        <f>('Instruction-4YR'!V11+'RESEARCH 4yr'!V11+'PUBLIC SERVICE 4yr'!V11+'ASptISptSSv 4yr'!V11+'PLANT OPER MAIN 4yr'!V11+'SCHOLAR FELLOW 4yr'!V11+'All Other 4yr'!V11)-V11</f>
        <v>0</v>
      </c>
      <c r="AY11" s="75">
        <f>('Instruction-4YR'!W11+'RESEARCH 4yr'!W11+'PUBLIC SERVICE 4yr'!W11+'ASptISptSSv 4yr'!W11+'PLANT OPER MAIN 4yr'!W11+'SCHOLAR FELLOW 4yr'!W11+'All Other 4yr'!W11)-W11</f>
        <v>0</v>
      </c>
      <c r="AZ11" s="75">
        <f>('Instruction-4YR'!X11+'RESEARCH 4yr'!X11+'PUBLIC SERVICE 4yr'!X11+'ASptISptSSv 4yr'!X11+'PLANT OPER MAIN 4yr'!X11+'SCHOLAR FELLOW 4yr'!X11+'All Other 4yr'!X11)-X11</f>
        <v>0</v>
      </c>
      <c r="BA11" s="75">
        <f>('Instruction-4YR'!Y11+'RESEARCH 4yr'!Y11+'PUBLIC SERVICE 4yr'!Y11+'ASptISptSSv 4yr'!Y11+'PLANT OPER MAIN 4yr'!Y11+'SCHOLAR FELLOW 4yr'!Y11+'All Other 4yr'!Y11)-Y11</f>
        <v>0</v>
      </c>
      <c r="BB11" s="75">
        <f>('Instruction-4YR'!Z11+'RESEARCH 4yr'!Z11+'PUBLIC SERVICE 4yr'!Z11+'ASptISptSSv 4yr'!Z11+'PLANT OPER MAIN 4yr'!Z11+'SCHOLAR FELLOW 4yr'!Z11+'All Other 4yr'!Z11)-Z11</f>
        <v>0</v>
      </c>
      <c r="BC11" s="75">
        <f>('Instruction-4YR'!AA11+'RESEARCH 4yr'!AA11+'PUBLIC SERVICE 4yr'!AA11+'ASptISptSSv 4yr'!AA11+'PLANT OPER MAIN 4yr'!AA11+'SCHOLAR FELLOW 4yr'!AA11+'All Other 4yr'!AA11)-AA11</f>
        <v>0</v>
      </c>
      <c r="BD11" s="75">
        <f>('Instruction-4YR'!AB11+'RESEARCH 4yr'!AB11+'PUBLIC SERVICE 4yr'!AB11+'ASptISptSSv 4yr'!AB11+'PLANT OPER MAIN 4yr'!AB11+'SCHOLAR FELLOW 4yr'!AB11+'All Other 4yr'!AB11)-AB11</f>
        <v>0</v>
      </c>
      <c r="BE11" s="75">
        <f>('Instruction-4YR'!AC11+'RESEARCH 4yr'!AC11+'PUBLIC SERVICE 4yr'!AC11+'ASptISptSSv 4yr'!AC11+'PLANT OPER MAIN 4yr'!AC11+'SCHOLAR FELLOW 4yr'!AC11+'All Other 4yr'!AC11)-AC11</f>
        <v>0</v>
      </c>
    </row>
    <row r="12" spans="1:57">
      <c r="A12" s="1" t="s">
        <v>5</v>
      </c>
      <c r="B12" s="1">
        <v>924985</v>
      </c>
      <c r="C12" s="1">
        <v>1044356</v>
      </c>
      <c r="D12" s="1">
        <v>1145345</v>
      </c>
      <c r="E12" s="1">
        <v>1855634.024</v>
      </c>
      <c r="F12" s="42">
        <v>1881048.3870000001</v>
      </c>
      <c r="G12" s="1">
        <v>2012103.2510000002</v>
      </c>
      <c r="H12" s="1">
        <v>2133489.8330000001</v>
      </c>
      <c r="I12" s="1">
        <v>2247997.98</v>
      </c>
      <c r="J12" s="1">
        <v>2407309.79</v>
      </c>
      <c r="K12" s="1">
        <v>2587336.409</v>
      </c>
      <c r="L12" s="1">
        <v>3226186.4360000002</v>
      </c>
      <c r="M12" s="1">
        <v>3587486.0350000001</v>
      </c>
      <c r="N12" s="1">
        <v>4217290.4680000003</v>
      </c>
      <c r="O12" s="1">
        <v>4991452.1239999998</v>
      </c>
      <c r="P12" s="1">
        <v>5338478.5939999996</v>
      </c>
      <c r="Q12" s="1">
        <v>5775126.7920000004</v>
      </c>
      <c r="R12" s="1">
        <v>6033378.665</v>
      </c>
      <c r="S12" s="1">
        <v>6128318.5719999997</v>
      </c>
      <c r="T12" s="1">
        <v>6438754.1880000001</v>
      </c>
      <c r="U12" s="1">
        <v>6396477.2529999996</v>
      </c>
      <c r="V12" s="1">
        <v>6629193.9289999995</v>
      </c>
      <c r="W12" s="1">
        <v>7173115.8739999998</v>
      </c>
      <c r="X12" s="1">
        <v>7352011.5829999996</v>
      </c>
      <c r="Y12" s="1">
        <v>7525764.6179999998</v>
      </c>
      <c r="Z12" s="1">
        <v>7844083.9919999996</v>
      </c>
      <c r="AA12" s="1">
        <v>8180014.7589999996</v>
      </c>
      <c r="AB12" s="1">
        <v>8346686.9749999996</v>
      </c>
      <c r="AC12" s="1">
        <v>9086861.2290000003</v>
      </c>
      <c r="AD12" s="75">
        <f>('Instruction-4YR'!B12+'RESEARCH 4yr'!B12+'PUBLIC SERVICE 4yr'!B12+'ASptISptSSv 4yr'!B12+'PLANT OPER MAIN 4yr'!B12+'SCHOLAR FELLOW 4yr'!B12+'All Other 4yr'!B12)-B12</f>
        <v>0</v>
      </c>
      <c r="AE12" s="75">
        <f>('Instruction-4YR'!C12+'RESEARCH 4yr'!C12+'PUBLIC SERVICE 4yr'!C12+'ASptISptSSv 4yr'!C12+'PLANT OPER MAIN 4yr'!C12+'SCHOLAR FELLOW 4yr'!C12+'All Other 4yr'!C12)-C12</f>
        <v>0</v>
      </c>
      <c r="AF12" s="75">
        <f>('Instruction-4YR'!D12+'RESEARCH 4yr'!D12+'PUBLIC SERVICE 4yr'!D12+'ASptISptSSv 4yr'!D12+'PLANT OPER MAIN 4yr'!D12+'SCHOLAR FELLOW 4yr'!D12+'All Other 4yr'!D12)-D12</f>
        <v>0</v>
      </c>
      <c r="AG12" s="75">
        <f>('Instruction-4YR'!E12+'RESEARCH 4yr'!E12+'PUBLIC SERVICE 4yr'!E12+'ASptISptSSv 4yr'!E12+'PLANT OPER MAIN 4yr'!E12+'SCHOLAR FELLOW 4yr'!E12+'All Other 4yr'!E12)-E12</f>
        <v>0</v>
      </c>
      <c r="AH12" s="75">
        <f>('Instruction-4YR'!F12+'RESEARCH 4yr'!F12+'PUBLIC SERVICE 4yr'!F12+'ASptISptSSv 4yr'!F12+'PLANT OPER MAIN 4yr'!F12+'SCHOLAR FELLOW 4yr'!F12+'All Other 4yr'!F12)-F12</f>
        <v>0</v>
      </c>
      <c r="AI12" s="75">
        <f>('Instruction-4YR'!G12+'RESEARCH 4yr'!G12+'PUBLIC SERVICE 4yr'!G12+'ASptISptSSv 4yr'!G12+'PLANT OPER MAIN 4yr'!G12+'SCHOLAR FELLOW 4yr'!G12+'All Other 4yr'!G12)-G12</f>
        <v>0</v>
      </c>
      <c r="AJ12" s="75">
        <f>('Instruction-4YR'!H12+'RESEARCH 4yr'!H12+'PUBLIC SERVICE 4yr'!H12+'ASptISptSSv 4yr'!H12+'PLANT OPER MAIN 4yr'!H12+'SCHOLAR FELLOW 4yr'!H12+'All Other 4yr'!H12)-H12</f>
        <v>0</v>
      </c>
      <c r="AK12" s="75">
        <f>('Instruction-4YR'!I12+'RESEARCH 4yr'!I12+'PUBLIC SERVICE 4yr'!I12+'ASptISptSSv 4yr'!I12+'PLANT OPER MAIN 4yr'!I12+'SCHOLAR FELLOW 4yr'!I12+'All Other 4yr'!I12)-I12</f>
        <v>0</v>
      </c>
      <c r="AL12" s="75">
        <f>('Instruction-4YR'!J12+'RESEARCH 4yr'!J12+'PUBLIC SERVICE 4yr'!J12+'ASptISptSSv 4yr'!J12+'PLANT OPER MAIN 4yr'!J12+'SCHOLAR FELLOW 4yr'!J12+'All Other 4yr'!J12)-J12</f>
        <v>0</v>
      </c>
      <c r="AM12" s="75">
        <f>('Instruction-4YR'!K12+'RESEARCH 4yr'!K12+'PUBLIC SERVICE 4yr'!K12+'ASptISptSSv 4yr'!K12+'PLANT OPER MAIN 4yr'!K12+'SCHOLAR FELLOW 4yr'!K12+'All Other 4yr'!K12)-K12</f>
        <v>0</v>
      </c>
      <c r="AN12" s="75">
        <f>('Instruction-4YR'!L12+'RESEARCH 4yr'!L12+'PUBLIC SERVICE 4yr'!L12+'ASptISptSSv 4yr'!L12+'PLANT OPER MAIN 4yr'!L12+'SCHOLAR FELLOW 4yr'!L12+'All Other 4yr'!L12)-L12</f>
        <v>0</v>
      </c>
      <c r="AO12" s="75">
        <f>('Instruction-4YR'!M12+'RESEARCH 4yr'!M12+'PUBLIC SERVICE 4yr'!M12+'ASptISptSSv 4yr'!M12+'PLANT OPER MAIN 4yr'!M12+'SCHOLAR FELLOW 4yr'!M12+'All Other 4yr'!M12)-M12</f>
        <v>0</v>
      </c>
      <c r="AP12" s="75">
        <f>('Instruction-4YR'!N12+'RESEARCH 4yr'!N12+'PUBLIC SERVICE 4yr'!N12+'ASptISptSSv 4yr'!N12+'PLANT OPER MAIN 4yr'!N12+'SCHOLAR FELLOW 4yr'!N12+'All Other 4yr'!N12)-N12</f>
        <v>0</v>
      </c>
      <c r="AQ12" s="75">
        <f>('Instruction-4YR'!O12+'RESEARCH 4yr'!O12+'PUBLIC SERVICE 4yr'!O12+'ASptISptSSv 4yr'!O12+'PLANT OPER MAIN 4yr'!O12+'SCHOLAR FELLOW 4yr'!O12+'All Other 4yr'!O12)-O12</f>
        <v>0</v>
      </c>
      <c r="AR12" s="75">
        <f>('Instruction-4YR'!P12+'RESEARCH 4yr'!P12+'PUBLIC SERVICE 4yr'!P12+'ASptISptSSv 4yr'!P12+'PLANT OPER MAIN 4yr'!P12+'SCHOLAR FELLOW 4yr'!P12+'All Other 4yr'!P12)-P12</f>
        <v>0</v>
      </c>
      <c r="AS12" s="75">
        <f>('Instruction-4YR'!Q12+'RESEARCH 4yr'!Q12+'PUBLIC SERVICE 4yr'!Q12+'ASptISptSSv 4yr'!Q12+'PLANT OPER MAIN 4yr'!Q12+'SCHOLAR FELLOW 4yr'!Q12+'All Other 4yr'!Q12)-Q12</f>
        <v>0</v>
      </c>
      <c r="AT12" s="75">
        <f>('Instruction-4YR'!R12+'RESEARCH 4yr'!R12+'PUBLIC SERVICE 4yr'!R12+'ASptISptSSv 4yr'!R12+'PLANT OPER MAIN 4yr'!R12+'SCHOLAR FELLOW 4yr'!R12+'All Other 4yr'!R12)-R12</f>
        <v>0</v>
      </c>
      <c r="AU12" s="75">
        <f>('Instruction-4YR'!S12+'RESEARCH 4yr'!S12+'PUBLIC SERVICE 4yr'!S12+'ASptISptSSv 4yr'!S12+'PLANT OPER MAIN 4yr'!S12+'SCHOLAR FELLOW 4yr'!S12+'All Other 4yr'!S12)-S12</f>
        <v>0</v>
      </c>
      <c r="AV12" s="75">
        <f>('Instruction-4YR'!T12+'RESEARCH 4yr'!T12+'PUBLIC SERVICE 4yr'!T12+'ASptISptSSv 4yr'!T12+'PLANT OPER MAIN 4yr'!T12+'SCHOLAR FELLOW 4yr'!T12+'All Other 4yr'!T12)-T12</f>
        <v>0</v>
      </c>
      <c r="AW12" s="75">
        <f>('Instruction-4YR'!U12+'RESEARCH 4yr'!U12+'PUBLIC SERVICE 4yr'!U12+'ASptISptSSv 4yr'!U12+'PLANT OPER MAIN 4yr'!U12+'SCHOLAR FELLOW 4yr'!U12+'All Other 4yr'!U12)-U12</f>
        <v>0</v>
      </c>
      <c r="AX12" s="75">
        <f>('Instruction-4YR'!V12+'RESEARCH 4yr'!V12+'PUBLIC SERVICE 4yr'!V12+'ASptISptSSv 4yr'!V12+'PLANT OPER MAIN 4yr'!V12+'SCHOLAR FELLOW 4yr'!V12+'All Other 4yr'!V12)-V12</f>
        <v>0</v>
      </c>
      <c r="AY12" s="75">
        <f>('Instruction-4YR'!W12+'RESEARCH 4yr'!W12+'PUBLIC SERVICE 4yr'!W12+'ASptISptSSv 4yr'!W12+'PLANT OPER MAIN 4yr'!W12+'SCHOLAR FELLOW 4yr'!W12+'All Other 4yr'!W12)-W12</f>
        <v>0</v>
      </c>
      <c r="AZ12" s="75">
        <f>('Instruction-4YR'!X12+'RESEARCH 4yr'!X12+'PUBLIC SERVICE 4yr'!X12+'ASptISptSSv 4yr'!X12+'PLANT OPER MAIN 4yr'!X12+'SCHOLAR FELLOW 4yr'!X12+'All Other 4yr'!X12)-X12</f>
        <v>0</v>
      </c>
      <c r="BA12" s="75">
        <f>('Instruction-4YR'!Y12+'RESEARCH 4yr'!Y12+'PUBLIC SERVICE 4yr'!Y12+'ASptISptSSv 4yr'!Y12+'PLANT OPER MAIN 4yr'!Y12+'SCHOLAR FELLOW 4yr'!Y12+'All Other 4yr'!Y12)-Y12</f>
        <v>0</v>
      </c>
      <c r="BB12" s="75">
        <f>('Instruction-4YR'!Z12+'RESEARCH 4yr'!Z12+'PUBLIC SERVICE 4yr'!Z12+'ASptISptSSv 4yr'!Z12+'PLANT OPER MAIN 4yr'!Z12+'SCHOLAR FELLOW 4yr'!Z12+'All Other 4yr'!Z12)-Z12</f>
        <v>0</v>
      </c>
      <c r="BC12" s="75">
        <f>('Instruction-4YR'!AA12+'RESEARCH 4yr'!AA12+'PUBLIC SERVICE 4yr'!AA12+'ASptISptSSv 4yr'!AA12+'PLANT OPER MAIN 4yr'!AA12+'SCHOLAR FELLOW 4yr'!AA12+'All Other 4yr'!AA12)-AA12</f>
        <v>0</v>
      </c>
      <c r="BD12" s="75">
        <f>('Instruction-4YR'!AB12+'RESEARCH 4yr'!AB12+'PUBLIC SERVICE 4yr'!AB12+'ASptISptSSv 4yr'!AB12+'PLANT OPER MAIN 4yr'!AB12+'SCHOLAR FELLOW 4yr'!AB12+'All Other 4yr'!AB12)-AB12</f>
        <v>0</v>
      </c>
      <c r="BE12" s="75">
        <f>('Instruction-4YR'!AC12+'RESEARCH 4yr'!AC12+'PUBLIC SERVICE 4yr'!AC12+'ASptISptSSv 4yr'!AC12+'PLANT OPER MAIN 4yr'!AC12+'SCHOLAR FELLOW 4yr'!AC12+'All Other 4yr'!AC12)-AC12</f>
        <v>0</v>
      </c>
    </row>
    <row r="13" spans="1:57">
      <c r="A13" s="1" t="s">
        <v>6</v>
      </c>
      <c r="B13" s="1">
        <v>807859</v>
      </c>
      <c r="C13" s="1">
        <v>879052</v>
      </c>
      <c r="D13" s="1">
        <v>970108</v>
      </c>
      <c r="E13" s="1">
        <v>1390066.121</v>
      </c>
      <c r="F13" s="42">
        <v>1419144.747</v>
      </c>
      <c r="G13" s="1">
        <v>1557577.8100000003</v>
      </c>
      <c r="H13" s="1">
        <v>1710861.3940000001</v>
      </c>
      <c r="I13" s="1">
        <v>1893038.5220000001</v>
      </c>
      <c r="J13" s="1">
        <v>2064175.628</v>
      </c>
      <c r="K13" s="1">
        <v>2264600.713</v>
      </c>
      <c r="L13" s="1">
        <v>2763148.3810000001</v>
      </c>
      <c r="M13" s="1">
        <v>3002379.429</v>
      </c>
      <c r="N13" s="1">
        <v>3059796.415</v>
      </c>
      <c r="O13" s="1">
        <v>3315703.0219999999</v>
      </c>
      <c r="P13" s="1">
        <v>3383469.2209999999</v>
      </c>
      <c r="Q13" s="1">
        <v>3441495.574</v>
      </c>
      <c r="R13" s="1">
        <v>3692636.6860000002</v>
      </c>
      <c r="S13" s="1">
        <v>3972563.91</v>
      </c>
      <c r="T13" s="1">
        <v>4311926.0760000004</v>
      </c>
      <c r="U13" s="1">
        <v>4009101.44</v>
      </c>
      <c r="V13" s="1">
        <v>4519042.1009999998</v>
      </c>
      <c r="W13" s="1">
        <v>4970351.585</v>
      </c>
      <c r="X13" s="1">
        <v>5111050.3820000002</v>
      </c>
      <c r="Y13" s="1">
        <v>5441634.5140000004</v>
      </c>
      <c r="Z13" s="1">
        <v>5575900.5240000002</v>
      </c>
      <c r="AA13" s="1">
        <v>5833515.3020000001</v>
      </c>
      <c r="AB13" s="1">
        <v>6084599.0690000001</v>
      </c>
      <c r="AC13" s="1">
        <v>6485526.4110000003</v>
      </c>
      <c r="AD13" s="75">
        <f>('Instruction-4YR'!B13+'RESEARCH 4yr'!B13+'PUBLIC SERVICE 4yr'!B13+'ASptISptSSv 4yr'!B13+'PLANT OPER MAIN 4yr'!B13+'SCHOLAR FELLOW 4yr'!B13+'All Other 4yr'!B13)-B13</f>
        <v>0</v>
      </c>
      <c r="AE13" s="75">
        <f>('Instruction-4YR'!C13+'RESEARCH 4yr'!C13+'PUBLIC SERVICE 4yr'!C13+'ASptISptSSv 4yr'!C13+'PLANT OPER MAIN 4yr'!C13+'SCHOLAR FELLOW 4yr'!C13+'All Other 4yr'!C13)-C13</f>
        <v>0</v>
      </c>
      <c r="AF13" s="75">
        <f>('Instruction-4YR'!D13+'RESEARCH 4yr'!D13+'PUBLIC SERVICE 4yr'!D13+'ASptISptSSv 4yr'!D13+'PLANT OPER MAIN 4yr'!D13+'SCHOLAR FELLOW 4yr'!D13+'All Other 4yr'!D13)-D13</f>
        <v>0</v>
      </c>
      <c r="AG13" s="75">
        <f>('Instruction-4YR'!E13+'RESEARCH 4yr'!E13+'PUBLIC SERVICE 4yr'!E13+'ASptISptSSv 4yr'!E13+'PLANT OPER MAIN 4yr'!E13+'SCHOLAR FELLOW 4yr'!E13+'All Other 4yr'!E13)-E13</f>
        <v>0</v>
      </c>
      <c r="AH13" s="75">
        <f>('Instruction-4YR'!F13+'RESEARCH 4yr'!F13+'PUBLIC SERVICE 4yr'!F13+'ASptISptSSv 4yr'!F13+'PLANT OPER MAIN 4yr'!F13+'SCHOLAR FELLOW 4yr'!F13+'All Other 4yr'!F13)-F13</f>
        <v>0</v>
      </c>
      <c r="AI13" s="75">
        <f>('Instruction-4YR'!G13+'RESEARCH 4yr'!G13+'PUBLIC SERVICE 4yr'!G13+'ASptISptSSv 4yr'!G13+'PLANT OPER MAIN 4yr'!G13+'SCHOLAR FELLOW 4yr'!G13+'All Other 4yr'!G13)-G13</f>
        <v>0</v>
      </c>
      <c r="AJ13" s="75">
        <f>('Instruction-4YR'!H13+'RESEARCH 4yr'!H13+'PUBLIC SERVICE 4yr'!H13+'ASptISptSSv 4yr'!H13+'PLANT OPER MAIN 4yr'!H13+'SCHOLAR FELLOW 4yr'!H13+'All Other 4yr'!H13)-H13</f>
        <v>0</v>
      </c>
      <c r="AK13" s="75">
        <f>('Instruction-4YR'!I13+'RESEARCH 4yr'!I13+'PUBLIC SERVICE 4yr'!I13+'ASptISptSSv 4yr'!I13+'PLANT OPER MAIN 4yr'!I13+'SCHOLAR FELLOW 4yr'!I13+'All Other 4yr'!I13)-I13</f>
        <v>0</v>
      </c>
      <c r="AL13" s="75">
        <f>('Instruction-4YR'!J13+'RESEARCH 4yr'!J13+'PUBLIC SERVICE 4yr'!J13+'ASptISptSSv 4yr'!J13+'PLANT OPER MAIN 4yr'!J13+'SCHOLAR FELLOW 4yr'!J13+'All Other 4yr'!J13)-J13</f>
        <v>0</v>
      </c>
      <c r="AM13" s="75">
        <f>('Instruction-4YR'!K13+'RESEARCH 4yr'!K13+'PUBLIC SERVICE 4yr'!K13+'ASptISptSSv 4yr'!K13+'PLANT OPER MAIN 4yr'!K13+'SCHOLAR FELLOW 4yr'!K13+'All Other 4yr'!K13)-K13</f>
        <v>0</v>
      </c>
      <c r="AN13" s="75">
        <f>('Instruction-4YR'!L13+'RESEARCH 4yr'!L13+'PUBLIC SERVICE 4yr'!L13+'ASptISptSSv 4yr'!L13+'PLANT OPER MAIN 4yr'!L13+'SCHOLAR FELLOW 4yr'!L13+'All Other 4yr'!L13)-L13</f>
        <v>0</v>
      </c>
      <c r="AO13" s="75">
        <f>('Instruction-4YR'!M13+'RESEARCH 4yr'!M13+'PUBLIC SERVICE 4yr'!M13+'ASptISptSSv 4yr'!M13+'PLANT OPER MAIN 4yr'!M13+'SCHOLAR FELLOW 4yr'!M13+'All Other 4yr'!M13)-M13</f>
        <v>0</v>
      </c>
      <c r="AP13" s="75">
        <f>('Instruction-4YR'!N13+'RESEARCH 4yr'!N13+'PUBLIC SERVICE 4yr'!N13+'ASptISptSSv 4yr'!N13+'PLANT OPER MAIN 4yr'!N13+'SCHOLAR FELLOW 4yr'!N13+'All Other 4yr'!N13)-N13</f>
        <v>0</v>
      </c>
      <c r="AQ13" s="75">
        <f>('Instruction-4YR'!O13+'RESEARCH 4yr'!O13+'PUBLIC SERVICE 4yr'!O13+'ASptISptSSv 4yr'!O13+'PLANT OPER MAIN 4yr'!O13+'SCHOLAR FELLOW 4yr'!O13+'All Other 4yr'!O13)-O13</f>
        <v>0</v>
      </c>
      <c r="AR13" s="75">
        <f>('Instruction-4YR'!P13+'RESEARCH 4yr'!P13+'PUBLIC SERVICE 4yr'!P13+'ASptISptSSv 4yr'!P13+'PLANT OPER MAIN 4yr'!P13+'SCHOLAR FELLOW 4yr'!P13+'All Other 4yr'!P13)-P13</f>
        <v>0</v>
      </c>
      <c r="AS13" s="75">
        <f>('Instruction-4YR'!Q13+'RESEARCH 4yr'!Q13+'PUBLIC SERVICE 4yr'!Q13+'ASptISptSSv 4yr'!Q13+'PLANT OPER MAIN 4yr'!Q13+'SCHOLAR FELLOW 4yr'!Q13+'All Other 4yr'!Q13)-Q13</f>
        <v>0</v>
      </c>
      <c r="AT13" s="75">
        <f>('Instruction-4YR'!R13+'RESEARCH 4yr'!R13+'PUBLIC SERVICE 4yr'!R13+'ASptISptSSv 4yr'!R13+'PLANT OPER MAIN 4yr'!R13+'SCHOLAR FELLOW 4yr'!R13+'All Other 4yr'!R13)-R13</f>
        <v>0</v>
      </c>
      <c r="AU13" s="75">
        <f>('Instruction-4YR'!S13+'RESEARCH 4yr'!S13+'PUBLIC SERVICE 4yr'!S13+'ASptISptSSv 4yr'!S13+'PLANT OPER MAIN 4yr'!S13+'SCHOLAR FELLOW 4yr'!S13+'All Other 4yr'!S13)-S13</f>
        <v>0</v>
      </c>
      <c r="AV13" s="75">
        <f>('Instruction-4YR'!T13+'RESEARCH 4yr'!T13+'PUBLIC SERVICE 4yr'!T13+'ASptISptSSv 4yr'!T13+'PLANT OPER MAIN 4yr'!T13+'SCHOLAR FELLOW 4yr'!T13+'All Other 4yr'!T13)-T13</f>
        <v>0</v>
      </c>
      <c r="AW13" s="75">
        <f>('Instruction-4YR'!U13+'RESEARCH 4yr'!U13+'PUBLIC SERVICE 4yr'!U13+'ASptISptSSv 4yr'!U13+'PLANT OPER MAIN 4yr'!U13+'SCHOLAR FELLOW 4yr'!U13+'All Other 4yr'!U13)-U13</f>
        <v>0</v>
      </c>
      <c r="AX13" s="75">
        <f>('Instruction-4YR'!V13+'RESEARCH 4yr'!V13+'PUBLIC SERVICE 4yr'!V13+'ASptISptSSv 4yr'!V13+'PLANT OPER MAIN 4yr'!V13+'SCHOLAR FELLOW 4yr'!V13+'All Other 4yr'!V13)-V13</f>
        <v>0</v>
      </c>
      <c r="AY13" s="75">
        <f>('Instruction-4YR'!W13+'RESEARCH 4yr'!W13+'PUBLIC SERVICE 4yr'!W13+'ASptISptSSv 4yr'!W13+'PLANT OPER MAIN 4yr'!W13+'SCHOLAR FELLOW 4yr'!W13+'All Other 4yr'!W13)-W13</f>
        <v>0</v>
      </c>
      <c r="AZ13" s="75">
        <f>('Instruction-4YR'!X13+'RESEARCH 4yr'!X13+'PUBLIC SERVICE 4yr'!X13+'ASptISptSSv 4yr'!X13+'PLANT OPER MAIN 4yr'!X13+'SCHOLAR FELLOW 4yr'!X13+'All Other 4yr'!X13)-X13</f>
        <v>0</v>
      </c>
      <c r="BA13" s="75">
        <f>('Instruction-4YR'!Y13+'RESEARCH 4yr'!Y13+'PUBLIC SERVICE 4yr'!Y13+'ASptISptSSv 4yr'!Y13+'PLANT OPER MAIN 4yr'!Y13+'SCHOLAR FELLOW 4yr'!Y13+'All Other 4yr'!Y13)-Y13</f>
        <v>0</v>
      </c>
      <c r="BB13" s="75">
        <f>('Instruction-4YR'!Z13+'RESEARCH 4yr'!Z13+'PUBLIC SERVICE 4yr'!Z13+'ASptISptSSv 4yr'!Z13+'PLANT OPER MAIN 4yr'!Z13+'SCHOLAR FELLOW 4yr'!Z13+'All Other 4yr'!Z13)-Z13</f>
        <v>0</v>
      </c>
      <c r="BC13" s="75">
        <f>('Instruction-4YR'!AA13+'RESEARCH 4yr'!AA13+'PUBLIC SERVICE 4yr'!AA13+'ASptISptSSv 4yr'!AA13+'PLANT OPER MAIN 4yr'!AA13+'SCHOLAR FELLOW 4yr'!AA13+'All Other 4yr'!AA13)-AA13</f>
        <v>0</v>
      </c>
      <c r="BD13" s="75">
        <f>('Instruction-4YR'!AB13+'RESEARCH 4yr'!AB13+'PUBLIC SERVICE 4yr'!AB13+'ASptISptSSv 4yr'!AB13+'PLANT OPER MAIN 4yr'!AB13+'SCHOLAR FELLOW 4yr'!AB13+'All Other 4yr'!AB13)-AB13</f>
        <v>0</v>
      </c>
      <c r="BE13" s="75">
        <f>('Instruction-4YR'!AC13+'RESEARCH 4yr'!AC13+'PUBLIC SERVICE 4yr'!AC13+'ASptISptSSv 4yr'!AC13+'PLANT OPER MAIN 4yr'!AC13+'SCHOLAR FELLOW 4yr'!AC13+'All Other 4yr'!AC13)-AC13</f>
        <v>0</v>
      </c>
    </row>
    <row r="14" spans="1:57">
      <c r="A14" s="1" t="s">
        <v>7</v>
      </c>
      <c r="B14" s="1">
        <v>628815</v>
      </c>
      <c r="C14" s="1">
        <v>665794</v>
      </c>
      <c r="D14" s="1">
        <v>715016</v>
      </c>
      <c r="E14" s="1">
        <v>1072983.574</v>
      </c>
      <c r="F14" s="42">
        <v>1150457.7520000001</v>
      </c>
      <c r="G14" s="1">
        <v>1158150.81</v>
      </c>
      <c r="H14" s="1">
        <v>1192817.753</v>
      </c>
      <c r="I14" s="1">
        <v>1257125.8529999999</v>
      </c>
      <c r="J14" s="1">
        <v>1342184.3489999999</v>
      </c>
      <c r="K14" s="1">
        <v>1479294.3389999999</v>
      </c>
      <c r="L14" s="1">
        <v>1761461.2390000001</v>
      </c>
      <c r="M14" s="1">
        <v>1876517.142</v>
      </c>
      <c r="N14" s="1">
        <v>2042078.3770000001</v>
      </c>
      <c r="O14" s="1">
        <v>2172397.5260000001</v>
      </c>
      <c r="P14" s="1">
        <v>2281209.4700000002</v>
      </c>
      <c r="Q14" s="1">
        <v>2405702.557</v>
      </c>
      <c r="R14" s="1">
        <v>2593105.3280000002</v>
      </c>
      <c r="S14" s="1">
        <v>2814474.1519999998</v>
      </c>
      <c r="T14" s="1">
        <v>2992753.273</v>
      </c>
      <c r="U14" s="1">
        <v>3083955.87</v>
      </c>
      <c r="V14" s="1">
        <v>3282846.841</v>
      </c>
      <c r="W14" s="1">
        <v>3418773.3080000002</v>
      </c>
      <c r="X14" s="1">
        <v>3545538.9109999998</v>
      </c>
      <c r="Y14" s="1">
        <v>3528168.1609999998</v>
      </c>
      <c r="Z14" s="1">
        <v>3549577.0290000001</v>
      </c>
      <c r="AA14" s="1">
        <v>3769150.165</v>
      </c>
      <c r="AB14" s="1">
        <v>3949266.139</v>
      </c>
      <c r="AC14" s="1">
        <v>4221639.9910000004</v>
      </c>
      <c r="AD14" s="75">
        <f>('Instruction-4YR'!B14+'RESEARCH 4yr'!B14+'PUBLIC SERVICE 4yr'!B14+'ASptISptSSv 4yr'!B14+'PLANT OPER MAIN 4yr'!B14+'SCHOLAR FELLOW 4yr'!B14+'All Other 4yr'!B14)-B14</f>
        <v>0</v>
      </c>
      <c r="AE14" s="75">
        <f>('Instruction-4YR'!C14+'RESEARCH 4yr'!C14+'PUBLIC SERVICE 4yr'!C14+'ASptISptSSv 4yr'!C14+'PLANT OPER MAIN 4yr'!C14+'SCHOLAR FELLOW 4yr'!C14+'All Other 4yr'!C14)-C14</f>
        <v>0</v>
      </c>
      <c r="AF14" s="75">
        <f>('Instruction-4YR'!D14+'RESEARCH 4yr'!D14+'PUBLIC SERVICE 4yr'!D14+'ASptISptSSv 4yr'!D14+'PLANT OPER MAIN 4yr'!D14+'SCHOLAR FELLOW 4yr'!D14+'All Other 4yr'!D14)-D14</f>
        <v>0</v>
      </c>
      <c r="AG14" s="75">
        <f>('Instruction-4YR'!E14+'RESEARCH 4yr'!E14+'PUBLIC SERVICE 4yr'!E14+'ASptISptSSv 4yr'!E14+'PLANT OPER MAIN 4yr'!E14+'SCHOLAR FELLOW 4yr'!E14+'All Other 4yr'!E14)-E14</f>
        <v>0</v>
      </c>
      <c r="AH14" s="75">
        <f>('Instruction-4YR'!F14+'RESEARCH 4yr'!F14+'PUBLIC SERVICE 4yr'!F14+'ASptISptSSv 4yr'!F14+'PLANT OPER MAIN 4yr'!F14+'SCHOLAR FELLOW 4yr'!F14+'All Other 4yr'!F14)-F14</f>
        <v>0</v>
      </c>
      <c r="AI14" s="75">
        <f>('Instruction-4YR'!G14+'RESEARCH 4yr'!G14+'PUBLIC SERVICE 4yr'!G14+'ASptISptSSv 4yr'!G14+'PLANT OPER MAIN 4yr'!G14+'SCHOLAR FELLOW 4yr'!G14+'All Other 4yr'!G14)-G14</f>
        <v>0</v>
      </c>
      <c r="AJ14" s="75">
        <f>('Instruction-4YR'!H14+'RESEARCH 4yr'!H14+'PUBLIC SERVICE 4yr'!H14+'ASptISptSSv 4yr'!H14+'PLANT OPER MAIN 4yr'!H14+'SCHOLAR FELLOW 4yr'!H14+'All Other 4yr'!H14)-H14</f>
        <v>0</v>
      </c>
      <c r="AK14" s="75">
        <f>('Instruction-4YR'!I14+'RESEARCH 4yr'!I14+'PUBLIC SERVICE 4yr'!I14+'ASptISptSSv 4yr'!I14+'PLANT OPER MAIN 4yr'!I14+'SCHOLAR FELLOW 4yr'!I14+'All Other 4yr'!I14)-I14</f>
        <v>0</v>
      </c>
      <c r="AL14" s="75">
        <f>('Instruction-4YR'!J14+'RESEARCH 4yr'!J14+'PUBLIC SERVICE 4yr'!J14+'ASptISptSSv 4yr'!J14+'PLANT OPER MAIN 4yr'!J14+'SCHOLAR FELLOW 4yr'!J14+'All Other 4yr'!J14)-J14</f>
        <v>0</v>
      </c>
      <c r="AM14" s="75">
        <f>('Instruction-4YR'!K14+'RESEARCH 4yr'!K14+'PUBLIC SERVICE 4yr'!K14+'ASptISptSSv 4yr'!K14+'PLANT OPER MAIN 4yr'!K14+'SCHOLAR FELLOW 4yr'!K14+'All Other 4yr'!K14)-K14</f>
        <v>0</v>
      </c>
      <c r="AN14" s="75">
        <f>('Instruction-4YR'!L14+'RESEARCH 4yr'!L14+'PUBLIC SERVICE 4yr'!L14+'ASptISptSSv 4yr'!L14+'PLANT OPER MAIN 4yr'!L14+'SCHOLAR FELLOW 4yr'!L14+'All Other 4yr'!L14)-L14</f>
        <v>0</v>
      </c>
      <c r="AO14" s="75">
        <f>('Instruction-4YR'!M14+'RESEARCH 4yr'!M14+'PUBLIC SERVICE 4yr'!M14+'ASptISptSSv 4yr'!M14+'PLANT OPER MAIN 4yr'!M14+'SCHOLAR FELLOW 4yr'!M14+'All Other 4yr'!M14)-M14</f>
        <v>0</v>
      </c>
      <c r="AP14" s="75">
        <f>('Instruction-4YR'!N14+'RESEARCH 4yr'!N14+'PUBLIC SERVICE 4yr'!N14+'ASptISptSSv 4yr'!N14+'PLANT OPER MAIN 4yr'!N14+'SCHOLAR FELLOW 4yr'!N14+'All Other 4yr'!N14)-N14</f>
        <v>0</v>
      </c>
      <c r="AQ14" s="75">
        <f>('Instruction-4YR'!O14+'RESEARCH 4yr'!O14+'PUBLIC SERVICE 4yr'!O14+'ASptISptSSv 4yr'!O14+'PLANT OPER MAIN 4yr'!O14+'SCHOLAR FELLOW 4yr'!O14+'All Other 4yr'!O14)-O14</f>
        <v>0</v>
      </c>
      <c r="AR14" s="75">
        <f>('Instruction-4YR'!P14+'RESEARCH 4yr'!P14+'PUBLIC SERVICE 4yr'!P14+'ASptISptSSv 4yr'!P14+'PLANT OPER MAIN 4yr'!P14+'SCHOLAR FELLOW 4yr'!P14+'All Other 4yr'!P14)-P14</f>
        <v>0</v>
      </c>
      <c r="AS14" s="75">
        <f>('Instruction-4YR'!Q14+'RESEARCH 4yr'!Q14+'PUBLIC SERVICE 4yr'!Q14+'ASptISptSSv 4yr'!Q14+'PLANT OPER MAIN 4yr'!Q14+'SCHOLAR FELLOW 4yr'!Q14+'All Other 4yr'!Q14)-Q14</f>
        <v>0</v>
      </c>
      <c r="AT14" s="75">
        <f>('Instruction-4YR'!R14+'RESEARCH 4yr'!R14+'PUBLIC SERVICE 4yr'!R14+'ASptISptSSv 4yr'!R14+'PLANT OPER MAIN 4yr'!R14+'SCHOLAR FELLOW 4yr'!R14+'All Other 4yr'!R14)-R14</f>
        <v>0</v>
      </c>
      <c r="AU14" s="75">
        <f>('Instruction-4YR'!S14+'RESEARCH 4yr'!S14+'PUBLIC SERVICE 4yr'!S14+'ASptISptSSv 4yr'!S14+'PLANT OPER MAIN 4yr'!S14+'SCHOLAR FELLOW 4yr'!S14+'All Other 4yr'!S14)-S14</f>
        <v>0</v>
      </c>
      <c r="AV14" s="75">
        <f>('Instruction-4YR'!T14+'RESEARCH 4yr'!T14+'PUBLIC SERVICE 4yr'!T14+'ASptISptSSv 4yr'!T14+'PLANT OPER MAIN 4yr'!T14+'SCHOLAR FELLOW 4yr'!T14+'All Other 4yr'!T14)-T14</f>
        <v>0</v>
      </c>
      <c r="AW14" s="75">
        <f>('Instruction-4YR'!U14+'RESEARCH 4yr'!U14+'PUBLIC SERVICE 4yr'!U14+'ASptISptSSv 4yr'!U14+'PLANT OPER MAIN 4yr'!U14+'SCHOLAR FELLOW 4yr'!U14+'All Other 4yr'!U14)-U14</f>
        <v>0</v>
      </c>
      <c r="AX14" s="75">
        <f>('Instruction-4YR'!V14+'RESEARCH 4yr'!V14+'PUBLIC SERVICE 4yr'!V14+'ASptISptSSv 4yr'!V14+'PLANT OPER MAIN 4yr'!V14+'SCHOLAR FELLOW 4yr'!V14+'All Other 4yr'!V14)-V14</f>
        <v>0</v>
      </c>
      <c r="AY14" s="75">
        <f>('Instruction-4YR'!W14+'RESEARCH 4yr'!W14+'PUBLIC SERVICE 4yr'!W14+'ASptISptSSv 4yr'!W14+'PLANT OPER MAIN 4yr'!W14+'SCHOLAR FELLOW 4yr'!W14+'All Other 4yr'!W14)-W14</f>
        <v>0</v>
      </c>
      <c r="AZ14" s="75">
        <f>('Instruction-4YR'!X14+'RESEARCH 4yr'!X14+'PUBLIC SERVICE 4yr'!X14+'ASptISptSSv 4yr'!X14+'PLANT OPER MAIN 4yr'!X14+'SCHOLAR FELLOW 4yr'!X14+'All Other 4yr'!X14)-X14</f>
        <v>0</v>
      </c>
      <c r="BA14" s="75">
        <f>('Instruction-4YR'!Y14+'RESEARCH 4yr'!Y14+'PUBLIC SERVICE 4yr'!Y14+'ASptISptSSv 4yr'!Y14+'PLANT OPER MAIN 4yr'!Y14+'SCHOLAR FELLOW 4yr'!Y14+'All Other 4yr'!Y14)-Y14</f>
        <v>0</v>
      </c>
      <c r="BB14" s="75">
        <f>('Instruction-4YR'!Z14+'RESEARCH 4yr'!Z14+'PUBLIC SERVICE 4yr'!Z14+'ASptISptSSv 4yr'!Z14+'PLANT OPER MAIN 4yr'!Z14+'SCHOLAR FELLOW 4yr'!Z14+'All Other 4yr'!Z14)-Z14</f>
        <v>0</v>
      </c>
      <c r="BC14" s="75">
        <f>('Instruction-4YR'!AA14+'RESEARCH 4yr'!AA14+'PUBLIC SERVICE 4yr'!AA14+'ASptISptSSv 4yr'!AA14+'PLANT OPER MAIN 4yr'!AA14+'SCHOLAR FELLOW 4yr'!AA14+'All Other 4yr'!AA14)-AA14</f>
        <v>0</v>
      </c>
      <c r="BD14" s="75">
        <f>('Instruction-4YR'!AB14+'RESEARCH 4yr'!AB14+'PUBLIC SERVICE 4yr'!AB14+'ASptISptSSv 4yr'!AB14+'PLANT OPER MAIN 4yr'!AB14+'SCHOLAR FELLOW 4yr'!AB14+'All Other 4yr'!AB14)-AB14</f>
        <v>0</v>
      </c>
      <c r="BE14" s="75">
        <f>('Instruction-4YR'!AC14+'RESEARCH 4yr'!AC14+'PUBLIC SERVICE 4yr'!AC14+'ASptISptSSv 4yr'!AC14+'PLANT OPER MAIN 4yr'!AC14+'SCHOLAR FELLOW 4yr'!AC14+'All Other 4yr'!AC14)-AC14</f>
        <v>0</v>
      </c>
    </row>
    <row r="15" spans="1:57">
      <c r="A15" s="1" t="s">
        <v>8</v>
      </c>
      <c r="B15" s="1">
        <v>717334</v>
      </c>
      <c r="C15" s="1">
        <v>781557</v>
      </c>
      <c r="D15" s="1">
        <v>817246</v>
      </c>
      <c r="E15" s="1">
        <v>1158122.371</v>
      </c>
      <c r="F15" s="42">
        <v>1227587.1040000001</v>
      </c>
      <c r="G15" s="1">
        <v>1306806.69</v>
      </c>
      <c r="H15" s="1">
        <v>1350792.314</v>
      </c>
      <c r="I15" s="1">
        <v>1479879.66</v>
      </c>
      <c r="J15" s="1">
        <v>1526302.976</v>
      </c>
      <c r="K15" s="1">
        <v>1605496.5919999999</v>
      </c>
      <c r="L15" s="1">
        <v>1876075.8189999999</v>
      </c>
      <c r="M15" s="1">
        <v>1961494.2320000001</v>
      </c>
      <c r="N15" s="1">
        <v>2044827.2720000001</v>
      </c>
      <c r="O15" s="1">
        <v>2230786.8169999998</v>
      </c>
      <c r="P15" s="1">
        <v>2467873.781</v>
      </c>
      <c r="Q15" s="1">
        <v>2579727.5789999999</v>
      </c>
      <c r="R15" s="1">
        <v>2549160.1940000001</v>
      </c>
      <c r="S15" s="1">
        <v>2673196.2439999999</v>
      </c>
      <c r="T15" s="1">
        <v>3137734.5959999999</v>
      </c>
      <c r="U15" s="1">
        <v>2509278.3330000001</v>
      </c>
      <c r="V15" s="1">
        <v>3057992.0079999999</v>
      </c>
      <c r="W15" s="1">
        <v>3083894.5380000002</v>
      </c>
      <c r="X15" s="1">
        <v>3088234.162</v>
      </c>
      <c r="Y15" s="1">
        <v>3091437.2790000001</v>
      </c>
      <c r="Z15" s="1">
        <v>3146487.4559999998</v>
      </c>
      <c r="AA15" s="1">
        <v>3145790.6359999999</v>
      </c>
      <c r="AB15" s="1">
        <v>3220721.2540000002</v>
      </c>
      <c r="AC15" s="1">
        <v>3401632.6710000001</v>
      </c>
      <c r="AD15" s="75">
        <f>('Instruction-4YR'!B15+'RESEARCH 4yr'!B15+'PUBLIC SERVICE 4yr'!B15+'ASptISptSSv 4yr'!B15+'PLANT OPER MAIN 4yr'!B15+'SCHOLAR FELLOW 4yr'!B15+'All Other 4yr'!B15)-B15</f>
        <v>0</v>
      </c>
      <c r="AE15" s="75">
        <f>('Instruction-4YR'!C15+'RESEARCH 4yr'!C15+'PUBLIC SERVICE 4yr'!C15+'ASptISptSSv 4yr'!C15+'PLANT OPER MAIN 4yr'!C15+'SCHOLAR FELLOW 4yr'!C15+'All Other 4yr'!C15)-C15</f>
        <v>0</v>
      </c>
      <c r="AF15" s="75">
        <f>('Instruction-4YR'!D15+'RESEARCH 4yr'!D15+'PUBLIC SERVICE 4yr'!D15+'ASptISptSSv 4yr'!D15+'PLANT OPER MAIN 4yr'!D15+'SCHOLAR FELLOW 4yr'!D15+'All Other 4yr'!D15)-D15</f>
        <v>0</v>
      </c>
      <c r="AG15" s="75">
        <f>('Instruction-4YR'!E15+'RESEARCH 4yr'!E15+'PUBLIC SERVICE 4yr'!E15+'ASptISptSSv 4yr'!E15+'PLANT OPER MAIN 4yr'!E15+'SCHOLAR FELLOW 4yr'!E15+'All Other 4yr'!E15)-E15</f>
        <v>0</v>
      </c>
      <c r="AH15" s="75">
        <f>('Instruction-4YR'!F15+'RESEARCH 4yr'!F15+'PUBLIC SERVICE 4yr'!F15+'ASptISptSSv 4yr'!F15+'PLANT OPER MAIN 4yr'!F15+'SCHOLAR FELLOW 4yr'!F15+'All Other 4yr'!F15)-F15</f>
        <v>0</v>
      </c>
      <c r="AI15" s="75">
        <f>('Instruction-4YR'!G15+'RESEARCH 4yr'!G15+'PUBLIC SERVICE 4yr'!G15+'ASptISptSSv 4yr'!G15+'PLANT OPER MAIN 4yr'!G15+'SCHOLAR FELLOW 4yr'!G15+'All Other 4yr'!G15)-G15</f>
        <v>0</v>
      </c>
      <c r="AJ15" s="75">
        <f>('Instruction-4YR'!H15+'RESEARCH 4yr'!H15+'PUBLIC SERVICE 4yr'!H15+'ASptISptSSv 4yr'!H15+'PLANT OPER MAIN 4yr'!H15+'SCHOLAR FELLOW 4yr'!H15+'All Other 4yr'!H15)-H15</f>
        <v>0</v>
      </c>
      <c r="AK15" s="75">
        <f>('Instruction-4YR'!I15+'RESEARCH 4yr'!I15+'PUBLIC SERVICE 4yr'!I15+'ASptISptSSv 4yr'!I15+'PLANT OPER MAIN 4yr'!I15+'SCHOLAR FELLOW 4yr'!I15+'All Other 4yr'!I15)-I15</f>
        <v>0</v>
      </c>
      <c r="AL15" s="75">
        <f>('Instruction-4YR'!J15+'RESEARCH 4yr'!J15+'PUBLIC SERVICE 4yr'!J15+'ASptISptSSv 4yr'!J15+'PLANT OPER MAIN 4yr'!J15+'SCHOLAR FELLOW 4yr'!J15+'All Other 4yr'!J15)-J15</f>
        <v>0</v>
      </c>
      <c r="AM15" s="75">
        <f>('Instruction-4YR'!K15+'RESEARCH 4yr'!K15+'PUBLIC SERVICE 4yr'!K15+'ASptISptSSv 4yr'!K15+'PLANT OPER MAIN 4yr'!K15+'SCHOLAR FELLOW 4yr'!K15+'All Other 4yr'!K15)-K15</f>
        <v>0</v>
      </c>
      <c r="AN15" s="75">
        <f>('Instruction-4YR'!L15+'RESEARCH 4yr'!L15+'PUBLIC SERVICE 4yr'!L15+'ASptISptSSv 4yr'!L15+'PLANT OPER MAIN 4yr'!L15+'SCHOLAR FELLOW 4yr'!L15+'All Other 4yr'!L15)-L15</f>
        <v>0</v>
      </c>
      <c r="AO15" s="75">
        <f>('Instruction-4YR'!M15+'RESEARCH 4yr'!M15+'PUBLIC SERVICE 4yr'!M15+'ASptISptSSv 4yr'!M15+'PLANT OPER MAIN 4yr'!M15+'SCHOLAR FELLOW 4yr'!M15+'All Other 4yr'!M15)-M15</f>
        <v>0</v>
      </c>
      <c r="AP15" s="75">
        <f>('Instruction-4YR'!N15+'RESEARCH 4yr'!N15+'PUBLIC SERVICE 4yr'!N15+'ASptISptSSv 4yr'!N15+'PLANT OPER MAIN 4yr'!N15+'SCHOLAR FELLOW 4yr'!N15+'All Other 4yr'!N15)-N15</f>
        <v>0</v>
      </c>
      <c r="AQ15" s="75">
        <f>('Instruction-4YR'!O15+'RESEARCH 4yr'!O15+'PUBLIC SERVICE 4yr'!O15+'ASptISptSSv 4yr'!O15+'PLANT OPER MAIN 4yr'!O15+'SCHOLAR FELLOW 4yr'!O15+'All Other 4yr'!O15)-O15</f>
        <v>0</v>
      </c>
      <c r="AR15" s="75">
        <f>('Instruction-4YR'!P15+'RESEARCH 4yr'!P15+'PUBLIC SERVICE 4yr'!P15+'ASptISptSSv 4yr'!P15+'PLANT OPER MAIN 4yr'!P15+'SCHOLAR FELLOW 4yr'!P15+'All Other 4yr'!P15)-P15</f>
        <v>0</v>
      </c>
      <c r="AS15" s="75">
        <f>('Instruction-4YR'!Q15+'RESEARCH 4yr'!Q15+'PUBLIC SERVICE 4yr'!Q15+'ASptISptSSv 4yr'!Q15+'PLANT OPER MAIN 4yr'!Q15+'SCHOLAR FELLOW 4yr'!Q15+'All Other 4yr'!Q15)-Q15</f>
        <v>0</v>
      </c>
      <c r="AT15" s="75">
        <f>('Instruction-4YR'!R15+'RESEARCH 4yr'!R15+'PUBLIC SERVICE 4yr'!R15+'ASptISptSSv 4yr'!R15+'PLANT OPER MAIN 4yr'!R15+'SCHOLAR FELLOW 4yr'!R15+'All Other 4yr'!R15)-R15</f>
        <v>0</v>
      </c>
      <c r="AU15" s="75">
        <f>('Instruction-4YR'!S15+'RESEARCH 4yr'!S15+'PUBLIC SERVICE 4yr'!S15+'ASptISptSSv 4yr'!S15+'PLANT OPER MAIN 4yr'!S15+'SCHOLAR FELLOW 4yr'!S15+'All Other 4yr'!S15)-S15</f>
        <v>0</v>
      </c>
      <c r="AV15" s="75">
        <f>('Instruction-4YR'!T15+'RESEARCH 4yr'!T15+'PUBLIC SERVICE 4yr'!T15+'ASptISptSSv 4yr'!T15+'PLANT OPER MAIN 4yr'!T15+'SCHOLAR FELLOW 4yr'!T15+'All Other 4yr'!T15)-T15</f>
        <v>0</v>
      </c>
      <c r="AW15" s="75">
        <f>('Instruction-4YR'!U15+'RESEARCH 4yr'!U15+'PUBLIC SERVICE 4yr'!U15+'ASptISptSSv 4yr'!U15+'PLANT OPER MAIN 4yr'!U15+'SCHOLAR FELLOW 4yr'!U15+'All Other 4yr'!U15)-U15</f>
        <v>0</v>
      </c>
      <c r="AX15" s="75">
        <f>('Instruction-4YR'!V15+'RESEARCH 4yr'!V15+'PUBLIC SERVICE 4yr'!V15+'ASptISptSSv 4yr'!V15+'PLANT OPER MAIN 4yr'!V15+'SCHOLAR FELLOW 4yr'!V15+'All Other 4yr'!V15)-V15</f>
        <v>0</v>
      </c>
      <c r="AY15" s="75">
        <f>('Instruction-4YR'!W15+'RESEARCH 4yr'!W15+'PUBLIC SERVICE 4yr'!W15+'ASptISptSSv 4yr'!W15+'PLANT OPER MAIN 4yr'!W15+'SCHOLAR FELLOW 4yr'!W15+'All Other 4yr'!W15)-W15</f>
        <v>0</v>
      </c>
      <c r="AZ15" s="75">
        <f>('Instruction-4YR'!X15+'RESEARCH 4yr'!X15+'PUBLIC SERVICE 4yr'!X15+'ASptISptSSv 4yr'!X15+'PLANT OPER MAIN 4yr'!X15+'SCHOLAR FELLOW 4yr'!X15+'All Other 4yr'!X15)-X15</f>
        <v>0</v>
      </c>
      <c r="BA15" s="75">
        <f>('Instruction-4YR'!Y15+'RESEARCH 4yr'!Y15+'PUBLIC SERVICE 4yr'!Y15+'ASptISptSSv 4yr'!Y15+'PLANT OPER MAIN 4yr'!Y15+'SCHOLAR FELLOW 4yr'!Y15+'All Other 4yr'!Y15)-Y15</f>
        <v>0</v>
      </c>
      <c r="BB15" s="75">
        <f>('Instruction-4YR'!Z15+'RESEARCH 4yr'!Z15+'PUBLIC SERVICE 4yr'!Z15+'ASptISptSSv 4yr'!Z15+'PLANT OPER MAIN 4yr'!Z15+'SCHOLAR FELLOW 4yr'!Z15+'All Other 4yr'!Z15)-Z15</f>
        <v>0</v>
      </c>
      <c r="BC15" s="75">
        <f>('Instruction-4YR'!AA15+'RESEARCH 4yr'!AA15+'PUBLIC SERVICE 4yr'!AA15+'ASptISptSSv 4yr'!AA15+'PLANT OPER MAIN 4yr'!AA15+'SCHOLAR FELLOW 4yr'!AA15+'All Other 4yr'!AA15)-AA15</f>
        <v>0</v>
      </c>
      <c r="BD15" s="75">
        <f>('Instruction-4YR'!AB15+'RESEARCH 4yr'!AB15+'PUBLIC SERVICE 4yr'!AB15+'ASptISptSSv 4yr'!AB15+'PLANT OPER MAIN 4yr'!AB15+'SCHOLAR FELLOW 4yr'!AB15+'All Other 4yr'!AB15)-AB15</f>
        <v>0</v>
      </c>
      <c r="BE15" s="75">
        <f>('Instruction-4YR'!AC15+'RESEARCH 4yr'!AC15+'PUBLIC SERVICE 4yr'!AC15+'ASptISptSSv 4yr'!AC15+'PLANT OPER MAIN 4yr'!AC15+'SCHOLAR FELLOW 4yr'!AC15+'All Other 4yr'!AC15)-AC15</f>
        <v>0</v>
      </c>
    </row>
    <row r="16" spans="1:57">
      <c r="A16" s="1" t="s">
        <v>9</v>
      </c>
      <c r="B16" s="1">
        <v>595745</v>
      </c>
      <c r="C16" s="1">
        <v>673736</v>
      </c>
      <c r="D16" s="1">
        <v>683825</v>
      </c>
      <c r="E16" s="1">
        <v>1231712.375</v>
      </c>
      <c r="F16" s="42">
        <v>1131985.602</v>
      </c>
      <c r="G16" s="1">
        <v>1247433.4149999998</v>
      </c>
      <c r="H16" s="1">
        <v>1327932.0819999999</v>
      </c>
      <c r="I16" s="1">
        <v>1369508.14</v>
      </c>
      <c r="J16" s="1">
        <v>1501624.3</v>
      </c>
      <c r="K16" s="1">
        <v>1681478.6124699998</v>
      </c>
      <c r="L16" s="1">
        <v>2115743.92</v>
      </c>
      <c r="M16" s="1">
        <v>2225057.122</v>
      </c>
      <c r="N16" s="1">
        <v>2613655.8569999998</v>
      </c>
      <c r="O16" s="1">
        <v>2647060.5129999998</v>
      </c>
      <c r="P16" s="1">
        <v>2689825.037</v>
      </c>
      <c r="Q16" s="1">
        <v>3226455.3190000001</v>
      </c>
      <c r="R16" s="1">
        <v>3034005.3870000001</v>
      </c>
      <c r="S16" s="1">
        <v>3198597.0079999999</v>
      </c>
      <c r="T16" s="1">
        <v>3389878.014</v>
      </c>
      <c r="U16" s="1">
        <v>2795462.7340000002</v>
      </c>
      <c r="V16" s="1">
        <v>3684104.3119999999</v>
      </c>
      <c r="W16" s="1">
        <v>3864702.1830000002</v>
      </c>
      <c r="X16" s="1">
        <v>3988069.6639999999</v>
      </c>
      <c r="Y16" s="1">
        <v>4088845.6379999998</v>
      </c>
      <c r="Z16" s="1">
        <v>4256710.7130000005</v>
      </c>
      <c r="AA16" s="1">
        <v>4329103.9639999997</v>
      </c>
      <c r="AB16" s="1">
        <v>4478042.085</v>
      </c>
      <c r="AC16" s="1">
        <v>4705082.8619999997</v>
      </c>
      <c r="AD16" s="75">
        <f>('Instruction-4YR'!B16+'RESEARCH 4yr'!B16+'PUBLIC SERVICE 4yr'!B16+'ASptISptSSv 4yr'!B16+'PLANT OPER MAIN 4yr'!B16+'SCHOLAR FELLOW 4yr'!B16+'All Other 4yr'!B16)-B16</f>
        <v>0</v>
      </c>
      <c r="AE16" s="75">
        <f>('Instruction-4YR'!C16+'RESEARCH 4yr'!C16+'PUBLIC SERVICE 4yr'!C16+'ASptISptSSv 4yr'!C16+'PLANT OPER MAIN 4yr'!C16+'SCHOLAR FELLOW 4yr'!C16+'All Other 4yr'!C16)-C16</f>
        <v>0</v>
      </c>
      <c r="AF16" s="75">
        <f>('Instruction-4YR'!D16+'RESEARCH 4yr'!D16+'PUBLIC SERVICE 4yr'!D16+'ASptISptSSv 4yr'!D16+'PLANT OPER MAIN 4yr'!D16+'SCHOLAR FELLOW 4yr'!D16+'All Other 4yr'!D16)-D16</f>
        <v>0</v>
      </c>
      <c r="AG16" s="75">
        <f>('Instruction-4YR'!E16+'RESEARCH 4yr'!E16+'PUBLIC SERVICE 4yr'!E16+'ASptISptSSv 4yr'!E16+'PLANT OPER MAIN 4yr'!E16+'SCHOLAR FELLOW 4yr'!E16+'All Other 4yr'!E16)-E16</f>
        <v>0</v>
      </c>
      <c r="AH16" s="75">
        <f>('Instruction-4YR'!F16+'RESEARCH 4yr'!F16+'PUBLIC SERVICE 4yr'!F16+'ASptISptSSv 4yr'!F16+'PLANT OPER MAIN 4yr'!F16+'SCHOLAR FELLOW 4yr'!F16+'All Other 4yr'!F16)-F16</f>
        <v>0</v>
      </c>
      <c r="AI16" s="75">
        <f>('Instruction-4YR'!G16+'RESEARCH 4yr'!G16+'PUBLIC SERVICE 4yr'!G16+'ASptISptSSv 4yr'!G16+'PLANT OPER MAIN 4yr'!G16+'SCHOLAR FELLOW 4yr'!G16+'All Other 4yr'!G16)-G16</f>
        <v>0</v>
      </c>
      <c r="AJ16" s="75">
        <f>('Instruction-4YR'!H16+'RESEARCH 4yr'!H16+'PUBLIC SERVICE 4yr'!H16+'ASptISptSSv 4yr'!H16+'PLANT OPER MAIN 4yr'!H16+'SCHOLAR FELLOW 4yr'!H16+'All Other 4yr'!H16)-H16</f>
        <v>0</v>
      </c>
      <c r="AK16" s="75">
        <f>('Instruction-4YR'!I16+'RESEARCH 4yr'!I16+'PUBLIC SERVICE 4yr'!I16+'ASptISptSSv 4yr'!I16+'PLANT OPER MAIN 4yr'!I16+'SCHOLAR FELLOW 4yr'!I16+'All Other 4yr'!I16)-I16</f>
        <v>0</v>
      </c>
      <c r="AL16" s="75">
        <f>('Instruction-4YR'!J16+'RESEARCH 4yr'!J16+'PUBLIC SERVICE 4yr'!J16+'ASptISptSSv 4yr'!J16+'PLANT OPER MAIN 4yr'!J16+'SCHOLAR FELLOW 4yr'!J16+'All Other 4yr'!J16)-J16</f>
        <v>0</v>
      </c>
      <c r="AM16" s="75">
        <f>('Instruction-4YR'!K16+'RESEARCH 4yr'!K16+'PUBLIC SERVICE 4yr'!K16+'ASptISptSSv 4yr'!K16+'PLANT OPER MAIN 4yr'!K16+'SCHOLAR FELLOW 4yr'!K16+'All Other 4yr'!K16)-K16</f>
        <v>0</v>
      </c>
      <c r="AN16" s="75">
        <f>('Instruction-4YR'!L16+'RESEARCH 4yr'!L16+'PUBLIC SERVICE 4yr'!L16+'ASptISptSSv 4yr'!L16+'PLANT OPER MAIN 4yr'!L16+'SCHOLAR FELLOW 4yr'!L16+'All Other 4yr'!L16)-L16</f>
        <v>0</v>
      </c>
      <c r="AO16" s="75">
        <f>('Instruction-4YR'!M16+'RESEARCH 4yr'!M16+'PUBLIC SERVICE 4yr'!M16+'ASptISptSSv 4yr'!M16+'PLANT OPER MAIN 4yr'!M16+'SCHOLAR FELLOW 4yr'!M16+'All Other 4yr'!M16)-M16</f>
        <v>0</v>
      </c>
      <c r="AP16" s="75">
        <f>('Instruction-4YR'!N16+'RESEARCH 4yr'!N16+'PUBLIC SERVICE 4yr'!N16+'ASptISptSSv 4yr'!N16+'PLANT OPER MAIN 4yr'!N16+'SCHOLAR FELLOW 4yr'!N16+'All Other 4yr'!N16)-N16</f>
        <v>0</v>
      </c>
      <c r="AQ16" s="75">
        <f>('Instruction-4YR'!O16+'RESEARCH 4yr'!O16+'PUBLIC SERVICE 4yr'!O16+'ASptISptSSv 4yr'!O16+'PLANT OPER MAIN 4yr'!O16+'SCHOLAR FELLOW 4yr'!O16+'All Other 4yr'!O16)-O16</f>
        <v>0</v>
      </c>
      <c r="AR16" s="75">
        <f>('Instruction-4YR'!P16+'RESEARCH 4yr'!P16+'PUBLIC SERVICE 4yr'!P16+'ASptISptSSv 4yr'!P16+'PLANT OPER MAIN 4yr'!P16+'SCHOLAR FELLOW 4yr'!P16+'All Other 4yr'!P16)-P16</f>
        <v>0</v>
      </c>
      <c r="AS16" s="75">
        <f>('Instruction-4YR'!Q16+'RESEARCH 4yr'!Q16+'PUBLIC SERVICE 4yr'!Q16+'ASptISptSSv 4yr'!Q16+'PLANT OPER MAIN 4yr'!Q16+'SCHOLAR FELLOW 4yr'!Q16+'All Other 4yr'!Q16)-Q16</f>
        <v>0</v>
      </c>
      <c r="AT16" s="75">
        <f>('Instruction-4YR'!R16+'RESEARCH 4yr'!R16+'PUBLIC SERVICE 4yr'!R16+'ASptISptSSv 4yr'!R16+'PLANT OPER MAIN 4yr'!R16+'SCHOLAR FELLOW 4yr'!R16+'All Other 4yr'!R16)-R16</f>
        <v>0</v>
      </c>
      <c r="AU16" s="75">
        <f>('Instruction-4YR'!S16+'RESEARCH 4yr'!S16+'PUBLIC SERVICE 4yr'!S16+'ASptISptSSv 4yr'!S16+'PLANT OPER MAIN 4yr'!S16+'SCHOLAR FELLOW 4yr'!S16+'All Other 4yr'!S16)-S16</f>
        <v>0</v>
      </c>
      <c r="AV16" s="75">
        <f>('Instruction-4YR'!T16+'RESEARCH 4yr'!T16+'PUBLIC SERVICE 4yr'!T16+'ASptISptSSv 4yr'!T16+'PLANT OPER MAIN 4yr'!T16+'SCHOLAR FELLOW 4yr'!T16+'All Other 4yr'!T16)-T16</f>
        <v>0</v>
      </c>
      <c r="AW16" s="75">
        <f>('Instruction-4YR'!U16+'RESEARCH 4yr'!U16+'PUBLIC SERVICE 4yr'!U16+'ASptISptSSv 4yr'!U16+'PLANT OPER MAIN 4yr'!U16+'SCHOLAR FELLOW 4yr'!U16+'All Other 4yr'!U16)-U16</f>
        <v>0</v>
      </c>
      <c r="AX16" s="75">
        <f>('Instruction-4YR'!V16+'RESEARCH 4yr'!V16+'PUBLIC SERVICE 4yr'!V16+'ASptISptSSv 4yr'!V16+'PLANT OPER MAIN 4yr'!V16+'SCHOLAR FELLOW 4yr'!V16+'All Other 4yr'!V16)-V16</f>
        <v>0</v>
      </c>
      <c r="AY16" s="75">
        <f>('Instruction-4YR'!W16+'RESEARCH 4yr'!W16+'PUBLIC SERVICE 4yr'!W16+'ASptISptSSv 4yr'!W16+'PLANT OPER MAIN 4yr'!W16+'SCHOLAR FELLOW 4yr'!W16+'All Other 4yr'!W16)-W16</f>
        <v>0</v>
      </c>
      <c r="AZ16" s="75">
        <f>('Instruction-4YR'!X16+'RESEARCH 4yr'!X16+'PUBLIC SERVICE 4yr'!X16+'ASptISptSSv 4yr'!X16+'PLANT OPER MAIN 4yr'!X16+'SCHOLAR FELLOW 4yr'!X16+'All Other 4yr'!X16)-X16</f>
        <v>0</v>
      </c>
      <c r="BA16" s="75">
        <f>('Instruction-4YR'!Y16+'RESEARCH 4yr'!Y16+'PUBLIC SERVICE 4yr'!Y16+'ASptISptSSv 4yr'!Y16+'PLANT OPER MAIN 4yr'!Y16+'SCHOLAR FELLOW 4yr'!Y16+'All Other 4yr'!Y16)-Y16</f>
        <v>0</v>
      </c>
      <c r="BB16" s="75">
        <f>('Instruction-4YR'!Z16+'RESEARCH 4yr'!Z16+'PUBLIC SERVICE 4yr'!Z16+'ASptISptSSv 4yr'!Z16+'PLANT OPER MAIN 4yr'!Z16+'SCHOLAR FELLOW 4yr'!Z16+'All Other 4yr'!Z16)-Z16</f>
        <v>0</v>
      </c>
      <c r="BC16" s="75">
        <f>('Instruction-4YR'!AA16+'RESEARCH 4yr'!AA16+'PUBLIC SERVICE 4yr'!AA16+'ASptISptSSv 4yr'!AA16+'PLANT OPER MAIN 4yr'!AA16+'SCHOLAR FELLOW 4yr'!AA16+'All Other 4yr'!AA16)-AA16</f>
        <v>0</v>
      </c>
      <c r="BD16" s="75">
        <f>('Instruction-4YR'!AB16+'RESEARCH 4yr'!AB16+'PUBLIC SERVICE 4yr'!AB16+'ASptISptSSv 4yr'!AB16+'PLANT OPER MAIN 4yr'!AB16+'SCHOLAR FELLOW 4yr'!AB16+'All Other 4yr'!AB16)-AB16</f>
        <v>0</v>
      </c>
      <c r="BE16" s="75">
        <f>('Instruction-4YR'!AC16+'RESEARCH 4yr'!AC16+'PUBLIC SERVICE 4yr'!AC16+'ASptISptSSv 4yr'!AC16+'PLANT OPER MAIN 4yr'!AC16+'SCHOLAR FELLOW 4yr'!AC16+'All Other 4yr'!AC16)-AC16</f>
        <v>0</v>
      </c>
    </row>
    <row r="17" spans="1:57">
      <c r="A17" s="1" t="s">
        <v>10</v>
      </c>
      <c r="B17" s="1">
        <v>385761</v>
      </c>
      <c r="C17" s="1">
        <v>404603</v>
      </c>
      <c r="D17" s="1">
        <v>436296</v>
      </c>
      <c r="E17" s="1">
        <v>615461.22100000002</v>
      </c>
      <c r="F17" s="42">
        <v>628395.93299999996</v>
      </c>
      <c r="G17" s="1">
        <v>689741.09500000009</v>
      </c>
      <c r="H17" s="1">
        <v>739825.2</v>
      </c>
      <c r="I17" s="1">
        <v>833636.995</v>
      </c>
      <c r="J17" s="1">
        <v>881037.64300000004</v>
      </c>
      <c r="K17" s="1">
        <v>894298.92099999997</v>
      </c>
      <c r="L17" s="1">
        <v>1190159.7479999999</v>
      </c>
      <c r="M17" s="1">
        <v>1240070.7209999999</v>
      </c>
      <c r="N17" s="1">
        <v>1402368.1140000001</v>
      </c>
      <c r="O17" s="1">
        <v>1488250.371</v>
      </c>
      <c r="P17" s="1">
        <v>1553674.9129999999</v>
      </c>
      <c r="Q17" s="1">
        <v>1631963.942</v>
      </c>
      <c r="R17" s="1">
        <v>1687158.3770000001</v>
      </c>
      <c r="S17" s="1">
        <v>1812640.5989999999</v>
      </c>
      <c r="T17" s="1">
        <v>1906192.402</v>
      </c>
      <c r="U17" s="1">
        <v>1648926.898</v>
      </c>
      <c r="V17" s="1">
        <v>1960469.9680000001</v>
      </c>
      <c r="W17" s="1">
        <v>2006587.4990000001</v>
      </c>
      <c r="X17" s="1">
        <v>2104793.35</v>
      </c>
      <c r="Y17" s="1">
        <v>2063346.746</v>
      </c>
      <c r="Z17" s="1">
        <v>2154649.4330000002</v>
      </c>
      <c r="AA17" s="1">
        <v>2228936.7590000001</v>
      </c>
      <c r="AB17" s="1">
        <v>2380786.2059999998</v>
      </c>
      <c r="AC17" s="1">
        <v>2470710.4730000002</v>
      </c>
      <c r="AD17" s="75">
        <f>('Instruction-4YR'!B17+'RESEARCH 4yr'!B17+'PUBLIC SERVICE 4yr'!B17+'ASptISptSSv 4yr'!B17+'PLANT OPER MAIN 4yr'!B17+'SCHOLAR FELLOW 4yr'!B17+'All Other 4yr'!B17)-B17</f>
        <v>0</v>
      </c>
      <c r="AE17" s="75">
        <f>('Instruction-4YR'!C17+'RESEARCH 4yr'!C17+'PUBLIC SERVICE 4yr'!C17+'ASptISptSSv 4yr'!C17+'PLANT OPER MAIN 4yr'!C17+'SCHOLAR FELLOW 4yr'!C17+'All Other 4yr'!C17)-C17</f>
        <v>0</v>
      </c>
      <c r="AF17" s="75">
        <f>('Instruction-4YR'!D17+'RESEARCH 4yr'!D17+'PUBLIC SERVICE 4yr'!D17+'ASptISptSSv 4yr'!D17+'PLANT OPER MAIN 4yr'!D17+'SCHOLAR FELLOW 4yr'!D17+'All Other 4yr'!D17)-D17</f>
        <v>0</v>
      </c>
      <c r="AG17" s="75">
        <f>('Instruction-4YR'!E17+'RESEARCH 4yr'!E17+'PUBLIC SERVICE 4yr'!E17+'ASptISptSSv 4yr'!E17+'PLANT OPER MAIN 4yr'!E17+'SCHOLAR FELLOW 4yr'!E17+'All Other 4yr'!E17)-E17</f>
        <v>0</v>
      </c>
      <c r="AH17" s="75">
        <f>('Instruction-4YR'!F17+'RESEARCH 4yr'!F17+'PUBLIC SERVICE 4yr'!F17+'ASptISptSSv 4yr'!F17+'PLANT OPER MAIN 4yr'!F17+'SCHOLAR FELLOW 4yr'!F17+'All Other 4yr'!F17)-F17</f>
        <v>0</v>
      </c>
      <c r="AI17" s="75">
        <f>('Instruction-4YR'!G17+'RESEARCH 4yr'!G17+'PUBLIC SERVICE 4yr'!G17+'ASptISptSSv 4yr'!G17+'PLANT OPER MAIN 4yr'!G17+'SCHOLAR FELLOW 4yr'!G17+'All Other 4yr'!G17)-G17</f>
        <v>0</v>
      </c>
      <c r="AJ17" s="75">
        <f>('Instruction-4YR'!H17+'RESEARCH 4yr'!H17+'PUBLIC SERVICE 4yr'!H17+'ASptISptSSv 4yr'!H17+'PLANT OPER MAIN 4yr'!H17+'SCHOLAR FELLOW 4yr'!H17+'All Other 4yr'!H17)-H17</f>
        <v>0</v>
      </c>
      <c r="AK17" s="75">
        <f>('Instruction-4YR'!I17+'RESEARCH 4yr'!I17+'PUBLIC SERVICE 4yr'!I17+'ASptISptSSv 4yr'!I17+'PLANT OPER MAIN 4yr'!I17+'SCHOLAR FELLOW 4yr'!I17+'All Other 4yr'!I17)-I17</f>
        <v>0</v>
      </c>
      <c r="AL17" s="75">
        <f>('Instruction-4YR'!J17+'RESEARCH 4yr'!J17+'PUBLIC SERVICE 4yr'!J17+'ASptISptSSv 4yr'!J17+'PLANT OPER MAIN 4yr'!J17+'SCHOLAR FELLOW 4yr'!J17+'All Other 4yr'!J17)-J17</f>
        <v>0</v>
      </c>
      <c r="AM17" s="75">
        <f>('Instruction-4YR'!K17+'RESEARCH 4yr'!K17+'PUBLIC SERVICE 4yr'!K17+'ASptISptSSv 4yr'!K17+'PLANT OPER MAIN 4yr'!K17+'SCHOLAR FELLOW 4yr'!K17+'All Other 4yr'!K17)-K17</f>
        <v>0</v>
      </c>
      <c r="AN17" s="75">
        <f>('Instruction-4YR'!L17+'RESEARCH 4yr'!L17+'PUBLIC SERVICE 4yr'!L17+'ASptISptSSv 4yr'!L17+'PLANT OPER MAIN 4yr'!L17+'SCHOLAR FELLOW 4yr'!L17+'All Other 4yr'!L17)-L17</f>
        <v>0</v>
      </c>
      <c r="AO17" s="75">
        <f>('Instruction-4YR'!M17+'RESEARCH 4yr'!M17+'PUBLIC SERVICE 4yr'!M17+'ASptISptSSv 4yr'!M17+'PLANT OPER MAIN 4yr'!M17+'SCHOLAR FELLOW 4yr'!M17+'All Other 4yr'!M17)-M17</f>
        <v>0</v>
      </c>
      <c r="AP17" s="75">
        <f>('Instruction-4YR'!N17+'RESEARCH 4yr'!N17+'PUBLIC SERVICE 4yr'!N17+'ASptISptSSv 4yr'!N17+'PLANT OPER MAIN 4yr'!N17+'SCHOLAR FELLOW 4yr'!N17+'All Other 4yr'!N17)-N17</f>
        <v>0</v>
      </c>
      <c r="AQ17" s="75">
        <f>('Instruction-4YR'!O17+'RESEARCH 4yr'!O17+'PUBLIC SERVICE 4yr'!O17+'ASptISptSSv 4yr'!O17+'PLANT OPER MAIN 4yr'!O17+'SCHOLAR FELLOW 4yr'!O17+'All Other 4yr'!O17)-O17</f>
        <v>0</v>
      </c>
      <c r="AR17" s="75">
        <f>('Instruction-4YR'!P17+'RESEARCH 4yr'!P17+'PUBLIC SERVICE 4yr'!P17+'ASptISptSSv 4yr'!P17+'PLANT OPER MAIN 4yr'!P17+'SCHOLAR FELLOW 4yr'!P17+'All Other 4yr'!P17)-P17</f>
        <v>0</v>
      </c>
      <c r="AS17" s="75">
        <f>('Instruction-4YR'!Q17+'RESEARCH 4yr'!Q17+'PUBLIC SERVICE 4yr'!Q17+'ASptISptSSv 4yr'!Q17+'PLANT OPER MAIN 4yr'!Q17+'SCHOLAR FELLOW 4yr'!Q17+'All Other 4yr'!Q17)-Q17</f>
        <v>0</v>
      </c>
      <c r="AT17" s="75">
        <f>('Instruction-4YR'!R17+'RESEARCH 4yr'!R17+'PUBLIC SERVICE 4yr'!R17+'ASptISptSSv 4yr'!R17+'PLANT OPER MAIN 4yr'!R17+'SCHOLAR FELLOW 4yr'!R17+'All Other 4yr'!R17)-R17</f>
        <v>0</v>
      </c>
      <c r="AU17" s="75">
        <f>('Instruction-4YR'!S17+'RESEARCH 4yr'!S17+'PUBLIC SERVICE 4yr'!S17+'ASptISptSSv 4yr'!S17+'PLANT OPER MAIN 4yr'!S17+'SCHOLAR FELLOW 4yr'!S17+'All Other 4yr'!S17)-S17</f>
        <v>0</v>
      </c>
      <c r="AV17" s="75">
        <f>('Instruction-4YR'!T17+'RESEARCH 4yr'!T17+'PUBLIC SERVICE 4yr'!T17+'ASptISptSSv 4yr'!T17+'PLANT OPER MAIN 4yr'!T17+'SCHOLAR FELLOW 4yr'!T17+'All Other 4yr'!T17)-T17</f>
        <v>0</v>
      </c>
      <c r="AW17" s="75">
        <f>('Instruction-4YR'!U17+'RESEARCH 4yr'!U17+'PUBLIC SERVICE 4yr'!U17+'ASptISptSSv 4yr'!U17+'PLANT OPER MAIN 4yr'!U17+'SCHOLAR FELLOW 4yr'!U17+'All Other 4yr'!U17)-U17</f>
        <v>0</v>
      </c>
      <c r="AX17" s="75">
        <f>('Instruction-4YR'!V17+'RESEARCH 4yr'!V17+'PUBLIC SERVICE 4yr'!V17+'ASptISptSSv 4yr'!V17+'PLANT OPER MAIN 4yr'!V17+'SCHOLAR FELLOW 4yr'!V17+'All Other 4yr'!V17)-V17</f>
        <v>0</v>
      </c>
      <c r="AY17" s="75">
        <f>('Instruction-4YR'!W17+'RESEARCH 4yr'!W17+'PUBLIC SERVICE 4yr'!W17+'ASptISptSSv 4yr'!W17+'PLANT OPER MAIN 4yr'!W17+'SCHOLAR FELLOW 4yr'!W17+'All Other 4yr'!W17)-W17</f>
        <v>0</v>
      </c>
      <c r="AZ17" s="75">
        <f>('Instruction-4YR'!X17+'RESEARCH 4yr'!X17+'PUBLIC SERVICE 4yr'!X17+'ASptISptSSv 4yr'!X17+'PLANT OPER MAIN 4yr'!X17+'SCHOLAR FELLOW 4yr'!X17+'All Other 4yr'!X17)-X17</f>
        <v>0</v>
      </c>
      <c r="BA17" s="75">
        <f>('Instruction-4YR'!Y17+'RESEARCH 4yr'!Y17+'PUBLIC SERVICE 4yr'!Y17+'ASptISptSSv 4yr'!Y17+'PLANT OPER MAIN 4yr'!Y17+'SCHOLAR FELLOW 4yr'!Y17+'All Other 4yr'!Y17)-Y17</f>
        <v>0</v>
      </c>
      <c r="BB17" s="75">
        <f>('Instruction-4YR'!Z17+'RESEARCH 4yr'!Z17+'PUBLIC SERVICE 4yr'!Z17+'ASptISptSSv 4yr'!Z17+'PLANT OPER MAIN 4yr'!Z17+'SCHOLAR FELLOW 4yr'!Z17+'All Other 4yr'!Z17)-Z17</f>
        <v>0</v>
      </c>
      <c r="BC17" s="75">
        <f>('Instruction-4YR'!AA17+'RESEARCH 4yr'!AA17+'PUBLIC SERVICE 4yr'!AA17+'ASptISptSSv 4yr'!AA17+'PLANT OPER MAIN 4yr'!AA17+'SCHOLAR FELLOW 4yr'!AA17+'All Other 4yr'!AA17)-AA17</f>
        <v>0</v>
      </c>
      <c r="BD17" s="75">
        <f>('Instruction-4YR'!AB17+'RESEARCH 4yr'!AB17+'PUBLIC SERVICE 4yr'!AB17+'ASptISptSSv 4yr'!AB17+'PLANT OPER MAIN 4yr'!AB17+'SCHOLAR FELLOW 4yr'!AB17+'All Other 4yr'!AB17)-AB17</f>
        <v>0</v>
      </c>
      <c r="BE17" s="75">
        <f>('Instruction-4YR'!AC17+'RESEARCH 4yr'!AC17+'PUBLIC SERVICE 4yr'!AC17+'ASptISptSSv 4yr'!AC17+'PLANT OPER MAIN 4yr'!AC17+'SCHOLAR FELLOW 4yr'!AC17+'All Other 4yr'!AC17)-AC17</f>
        <v>0</v>
      </c>
    </row>
    <row r="18" spans="1:57">
      <c r="A18" s="1" t="s">
        <v>11</v>
      </c>
      <c r="B18" s="1">
        <v>1003012</v>
      </c>
      <c r="C18" s="1">
        <v>1115030</v>
      </c>
      <c r="D18" s="1">
        <v>1221057</v>
      </c>
      <c r="E18" s="1">
        <v>1778491.4129999999</v>
      </c>
      <c r="F18" s="42">
        <v>1882854.9569999999</v>
      </c>
      <c r="G18" s="1">
        <v>2120929.9769999995</v>
      </c>
      <c r="H18" s="1">
        <v>2141224.8190000001</v>
      </c>
      <c r="I18" s="1">
        <v>2202746.824</v>
      </c>
      <c r="J18" s="1">
        <v>2313927.9530000002</v>
      </c>
      <c r="K18" s="1">
        <v>2482737.2560000001</v>
      </c>
      <c r="L18" s="1">
        <v>2859906.2930000001</v>
      </c>
      <c r="M18" s="1">
        <v>3098880.6940000001</v>
      </c>
      <c r="N18" s="1">
        <v>3498589.0980000002</v>
      </c>
      <c r="O18" s="1">
        <v>3708591.9079999998</v>
      </c>
      <c r="P18" s="1">
        <v>3962555.1940000001</v>
      </c>
      <c r="Q18" s="1">
        <v>4273373.824</v>
      </c>
      <c r="R18" s="1">
        <v>4502645.1069999998</v>
      </c>
      <c r="S18" s="1">
        <v>4944720.4610000001</v>
      </c>
      <c r="T18" s="1">
        <v>5342734.966</v>
      </c>
      <c r="U18" s="1">
        <v>5535885.4890000001</v>
      </c>
      <c r="V18" s="1">
        <v>5440952.9139999999</v>
      </c>
      <c r="W18" s="1">
        <v>5806183.1710000001</v>
      </c>
      <c r="X18" s="1">
        <v>5718097.9369999999</v>
      </c>
      <c r="Y18" s="1">
        <v>6094650.1160000004</v>
      </c>
      <c r="Z18" s="1">
        <v>6189638.9859999996</v>
      </c>
      <c r="AA18" s="1">
        <v>6519305.3020000001</v>
      </c>
      <c r="AB18" s="1">
        <v>6576525.2489999998</v>
      </c>
      <c r="AC18" s="1">
        <v>6986802.6679999996</v>
      </c>
      <c r="AD18" s="75">
        <f>('Instruction-4YR'!B18+'RESEARCH 4yr'!B18+'PUBLIC SERVICE 4yr'!B18+'ASptISptSSv 4yr'!B18+'PLANT OPER MAIN 4yr'!B18+'SCHOLAR FELLOW 4yr'!B18+'All Other 4yr'!B18)-B18</f>
        <v>0</v>
      </c>
      <c r="AE18" s="75">
        <f>('Instruction-4YR'!C18+'RESEARCH 4yr'!C18+'PUBLIC SERVICE 4yr'!C18+'ASptISptSSv 4yr'!C18+'PLANT OPER MAIN 4yr'!C18+'SCHOLAR FELLOW 4yr'!C18+'All Other 4yr'!C18)-C18</f>
        <v>0</v>
      </c>
      <c r="AF18" s="75">
        <f>('Instruction-4YR'!D18+'RESEARCH 4yr'!D18+'PUBLIC SERVICE 4yr'!D18+'ASptISptSSv 4yr'!D18+'PLANT OPER MAIN 4yr'!D18+'SCHOLAR FELLOW 4yr'!D18+'All Other 4yr'!D18)-D18</f>
        <v>0</v>
      </c>
      <c r="AG18" s="75">
        <f>('Instruction-4YR'!E18+'RESEARCH 4yr'!E18+'PUBLIC SERVICE 4yr'!E18+'ASptISptSSv 4yr'!E18+'PLANT OPER MAIN 4yr'!E18+'SCHOLAR FELLOW 4yr'!E18+'All Other 4yr'!E18)-E18</f>
        <v>0</v>
      </c>
      <c r="AH18" s="75">
        <f>('Instruction-4YR'!F18+'RESEARCH 4yr'!F18+'PUBLIC SERVICE 4yr'!F18+'ASptISptSSv 4yr'!F18+'PLANT OPER MAIN 4yr'!F18+'SCHOLAR FELLOW 4yr'!F18+'All Other 4yr'!F18)-F18</f>
        <v>0</v>
      </c>
      <c r="AI18" s="75">
        <f>('Instruction-4YR'!G18+'RESEARCH 4yr'!G18+'PUBLIC SERVICE 4yr'!G18+'ASptISptSSv 4yr'!G18+'PLANT OPER MAIN 4yr'!G18+'SCHOLAR FELLOW 4yr'!G18+'All Other 4yr'!G18)-G18</f>
        <v>0</v>
      </c>
      <c r="AJ18" s="75">
        <f>('Instruction-4YR'!H18+'RESEARCH 4yr'!H18+'PUBLIC SERVICE 4yr'!H18+'ASptISptSSv 4yr'!H18+'PLANT OPER MAIN 4yr'!H18+'SCHOLAR FELLOW 4yr'!H18+'All Other 4yr'!H18)-H18</f>
        <v>0</v>
      </c>
      <c r="AK18" s="75">
        <f>('Instruction-4YR'!I18+'RESEARCH 4yr'!I18+'PUBLIC SERVICE 4yr'!I18+'ASptISptSSv 4yr'!I18+'PLANT OPER MAIN 4yr'!I18+'SCHOLAR FELLOW 4yr'!I18+'All Other 4yr'!I18)-I18</f>
        <v>0</v>
      </c>
      <c r="AL18" s="75">
        <f>('Instruction-4YR'!J18+'RESEARCH 4yr'!J18+'PUBLIC SERVICE 4yr'!J18+'ASptISptSSv 4yr'!J18+'PLANT OPER MAIN 4yr'!J18+'SCHOLAR FELLOW 4yr'!J18+'All Other 4yr'!J18)-J18</f>
        <v>0</v>
      </c>
      <c r="AM18" s="75">
        <f>('Instruction-4YR'!K18+'RESEARCH 4yr'!K18+'PUBLIC SERVICE 4yr'!K18+'ASptISptSSv 4yr'!K18+'PLANT OPER MAIN 4yr'!K18+'SCHOLAR FELLOW 4yr'!K18+'All Other 4yr'!K18)-K18</f>
        <v>0</v>
      </c>
      <c r="AN18" s="75">
        <f>('Instruction-4YR'!L18+'RESEARCH 4yr'!L18+'PUBLIC SERVICE 4yr'!L18+'ASptISptSSv 4yr'!L18+'PLANT OPER MAIN 4yr'!L18+'SCHOLAR FELLOW 4yr'!L18+'All Other 4yr'!L18)-L18</f>
        <v>0</v>
      </c>
      <c r="AO18" s="75">
        <f>('Instruction-4YR'!M18+'RESEARCH 4yr'!M18+'PUBLIC SERVICE 4yr'!M18+'ASptISptSSv 4yr'!M18+'PLANT OPER MAIN 4yr'!M18+'SCHOLAR FELLOW 4yr'!M18+'All Other 4yr'!M18)-M18</f>
        <v>0</v>
      </c>
      <c r="AP18" s="75">
        <f>('Instruction-4YR'!N18+'RESEARCH 4yr'!N18+'PUBLIC SERVICE 4yr'!N18+'ASptISptSSv 4yr'!N18+'PLANT OPER MAIN 4yr'!N18+'SCHOLAR FELLOW 4yr'!N18+'All Other 4yr'!N18)-N18</f>
        <v>0</v>
      </c>
      <c r="AQ18" s="75">
        <f>('Instruction-4YR'!O18+'RESEARCH 4yr'!O18+'PUBLIC SERVICE 4yr'!O18+'ASptISptSSv 4yr'!O18+'PLANT OPER MAIN 4yr'!O18+'SCHOLAR FELLOW 4yr'!O18+'All Other 4yr'!O18)-O18</f>
        <v>0</v>
      </c>
      <c r="AR18" s="75">
        <f>('Instruction-4YR'!P18+'RESEARCH 4yr'!P18+'PUBLIC SERVICE 4yr'!P18+'ASptISptSSv 4yr'!P18+'PLANT OPER MAIN 4yr'!P18+'SCHOLAR FELLOW 4yr'!P18+'All Other 4yr'!P18)-P18</f>
        <v>0</v>
      </c>
      <c r="AS18" s="75">
        <f>('Instruction-4YR'!Q18+'RESEARCH 4yr'!Q18+'PUBLIC SERVICE 4yr'!Q18+'ASptISptSSv 4yr'!Q18+'PLANT OPER MAIN 4yr'!Q18+'SCHOLAR FELLOW 4yr'!Q18+'All Other 4yr'!Q18)-Q18</f>
        <v>0</v>
      </c>
      <c r="AT18" s="75">
        <f>('Instruction-4YR'!R18+'RESEARCH 4yr'!R18+'PUBLIC SERVICE 4yr'!R18+'ASptISptSSv 4yr'!R18+'PLANT OPER MAIN 4yr'!R18+'SCHOLAR FELLOW 4yr'!R18+'All Other 4yr'!R18)-R18</f>
        <v>0</v>
      </c>
      <c r="AU18" s="75">
        <f>('Instruction-4YR'!S18+'RESEARCH 4yr'!S18+'PUBLIC SERVICE 4yr'!S18+'ASptISptSSv 4yr'!S18+'PLANT OPER MAIN 4yr'!S18+'SCHOLAR FELLOW 4yr'!S18+'All Other 4yr'!S18)-S18</f>
        <v>0</v>
      </c>
      <c r="AV18" s="75">
        <f>('Instruction-4YR'!T18+'RESEARCH 4yr'!T18+'PUBLIC SERVICE 4yr'!T18+'ASptISptSSv 4yr'!T18+'PLANT OPER MAIN 4yr'!T18+'SCHOLAR FELLOW 4yr'!T18+'All Other 4yr'!T18)-T18</f>
        <v>0</v>
      </c>
      <c r="AW18" s="75">
        <f>('Instruction-4YR'!U18+'RESEARCH 4yr'!U18+'PUBLIC SERVICE 4yr'!U18+'ASptISptSSv 4yr'!U18+'PLANT OPER MAIN 4yr'!U18+'SCHOLAR FELLOW 4yr'!U18+'All Other 4yr'!U18)-U18</f>
        <v>0</v>
      </c>
      <c r="AX18" s="75">
        <f>('Instruction-4YR'!V18+'RESEARCH 4yr'!V18+'PUBLIC SERVICE 4yr'!V18+'ASptISptSSv 4yr'!V18+'PLANT OPER MAIN 4yr'!V18+'SCHOLAR FELLOW 4yr'!V18+'All Other 4yr'!V18)-V18</f>
        <v>0</v>
      </c>
      <c r="AY18" s="75">
        <f>('Instruction-4YR'!W18+'RESEARCH 4yr'!W18+'PUBLIC SERVICE 4yr'!W18+'ASptISptSSv 4yr'!W18+'PLANT OPER MAIN 4yr'!W18+'SCHOLAR FELLOW 4yr'!W18+'All Other 4yr'!W18)-W18</f>
        <v>0</v>
      </c>
      <c r="AZ18" s="75">
        <f>('Instruction-4YR'!X18+'RESEARCH 4yr'!X18+'PUBLIC SERVICE 4yr'!X18+'ASptISptSSv 4yr'!X18+'PLANT OPER MAIN 4yr'!X18+'SCHOLAR FELLOW 4yr'!X18+'All Other 4yr'!X18)-X18</f>
        <v>0</v>
      </c>
      <c r="BA18" s="75">
        <f>('Instruction-4YR'!Y18+'RESEARCH 4yr'!Y18+'PUBLIC SERVICE 4yr'!Y18+'ASptISptSSv 4yr'!Y18+'PLANT OPER MAIN 4yr'!Y18+'SCHOLAR FELLOW 4yr'!Y18+'All Other 4yr'!Y18)-Y18</f>
        <v>0</v>
      </c>
      <c r="BB18" s="75">
        <f>('Instruction-4YR'!Z18+'RESEARCH 4yr'!Z18+'PUBLIC SERVICE 4yr'!Z18+'ASptISptSSv 4yr'!Z18+'PLANT OPER MAIN 4yr'!Z18+'SCHOLAR FELLOW 4yr'!Z18+'All Other 4yr'!Z18)-Z18</f>
        <v>0</v>
      </c>
      <c r="BC18" s="75">
        <f>('Instruction-4YR'!AA18+'RESEARCH 4yr'!AA18+'PUBLIC SERVICE 4yr'!AA18+'ASptISptSSv 4yr'!AA18+'PLANT OPER MAIN 4yr'!AA18+'SCHOLAR FELLOW 4yr'!AA18+'All Other 4yr'!AA18)-AA18</f>
        <v>0</v>
      </c>
      <c r="BD18" s="75">
        <f>('Instruction-4YR'!AB18+'RESEARCH 4yr'!AB18+'PUBLIC SERVICE 4yr'!AB18+'ASptISptSSv 4yr'!AB18+'PLANT OPER MAIN 4yr'!AB18+'SCHOLAR FELLOW 4yr'!AB18+'All Other 4yr'!AB18)-AB18</f>
        <v>0</v>
      </c>
      <c r="BE18" s="75">
        <f>('Instruction-4YR'!AC18+'RESEARCH 4yr'!AC18+'PUBLIC SERVICE 4yr'!AC18+'ASptISptSSv 4yr'!AC18+'PLANT OPER MAIN 4yr'!AC18+'SCHOLAR FELLOW 4yr'!AC18+'All Other 4yr'!AC18)-AC18</f>
        <v>0</v>
      </c>
    </row>
    <row r="19" spans="1:57">
      <c r="A19" s="1" t="s">
        <v>12</v>
      </c>
      <c r="B19" s="1">
        <v>433015</v>
      </c>
      <c r="C19" s="1">
        <v>454365</v>
      </c>
      <c r="D19" s="1">
        <v>515858</v>
      </c>
      <c r="E19" s="1">
        <v>726552.72199999995</v>
      </c>
      <c r="F19" s="42">
        <v>794078.32400000002</v>
      </c>
      <c r="G19" s="1">
        <v>870072.3949999999</v>
      </c>
      <c r="H19" s="1">
        <v>819995.06400000001</v>
      </c>
      <c r="I19" s="1">
        <v>865622.34299999999</v>
      </c>
      <c r="J19" s="1">
        <v>898576.01800000004</v>
      </c>
      <c r="K19" s="1">
        <v>967894.9416100001</v>
      </c>
      <c r="L19" s="1">
        <v>1255768.0149999999</v>
      </c>
      <c r="M19" s="1">
        <v>1352605.8670000001</v>
      </c>
      <c r="N19" s="1">
        <v>1467924.328</v>
      </c>
      <c r="O19" s="1">
        <v>1580433.298</v>
      </c>
      <c r="P19" s="1">
        <v>1660652.699</v>
      </c>
      <c r="Q19" s="1">
        <v>1759968.4180000001</v>
      </c>
      <c r="R19" s="1">
        <v>1921367.4210000001</v>
      </c>
      <c r="S19" s="1">
        <v>2089626.3740000001</v>
      </c>
      <c r="T19" s="1">
        <v>2233680.1910000001</v>
      </c>
      <c r="U19" s="1">
        <v>1837194.09</v>
      </c>
      <c r="V19" s="1">
        <v>2348928.5449999999</v>
      </c>
      <c r="W19" s="1">
        <v>2458427.1340000001</v>
      </c>
      <c r="X19" s="1">
        <v>2527367.716</v>
      </c>
      <c r="Y19" s="1">
        <v>2563684.4939999999</v>
      </c>
      <c r="Z19" s="1">
        <v>2647259.96</v>
      </c>
      <c r="AA19" s="1">
        <v>2724150.1719999998</v>
      </c>
      <c r="AB19" s="1">
        <v>2832996.159</v>
      </c>
      <c r="AC19" s="1">
        <v>2889150.1540000001</v>
      </c>
      <c r="AD19" s="75">
        <f>('Instruction-4YR'!B19+'RESEARCH 4yr'!B19+'PUBLIC SERVICE 4yr'!B19+'ASptISptSSv 4yr'!B19+'PLANT OPER MAIN 4yr'!B19+'SCHOLAR FELLOW 4yr'!B19+'All Other 4yr'!B19)-B19</f>
        <v>0</v>
      </c>
      <c r="AE19" s="75">
        <f>('Instruction-4YR'!C19+'RESEARCH 4yr'!C19+'PUBLIC SERVICE 4yr'!C19+'ASptISptSSv 4yr'!C19+'PLANT OPER MAIN 4yr'!C19+'SCHOLAR FELLOW 4yr'!C19+'All Other 4yr'!C19)-C19</f>
        <v>0</v>
      </c>
      <c r="AF19" s="75">
        <f>('Instruction-4YR'!D19+'RESEARCH 4yr'!D19+'PUBLIC SERVICE 4yr'!D19+'ASptISptSSv 4yr'!D19+'PLANT OPER MAIN 4yr'!D19+'SCHOLAR FELLOW 4yr'!D19+'All Other 4yr'!D19)-D19</f>
        <v>0</v>
      </c>
      <c r="AG19" s="75">
        <f>('Instruction-4YR'!E19+'RESEARCH 4yr'!E19+'PUBLIC SERVICE 4yr'!E19+'ASptISptSSv 4yr'!E19+'PLANT OPER MAIN 4yr'!E19+'SCHOLAR FELLOW 4yr'!E19+'All Other 4yr'!E19)-E19</f>
        <v>0</v>
      </c>
      <c r="AH19" s="75">
        <f>('Instruction-4YR'!F19+'RESEARCH 4yr'!F19+'PUBLIC SERVICE 4yr'!F19+'ASptISptSSv 4yr'!F19+'PLANT OPER MAIN 4yr'!F19+'SCHOLAR FELLOW 4yr'!F19+'All Other 4yr'!F19)-F19</f>
        <v>0</v>
      </c>
      <c r="AI19" s="75">
        <f>('Instruction-4YR'!G19+'RESEARCH 4yr'!G19+'PUBLIC SERVICE 4yr'!G19+'ASptISptSSv 4yr'!G19+'PLANT OPER MAIN 4yr'!G19+'SCHOLAR FELLOW 4yr'!G19+'All Other 4yr'!G19)-G19</f>
        <v>0</v>
      </c>
      <c r="AJ19" s="75">
        <f>('Instruction-4YR'!H19+'RESEARCH 4yr'!H19+'PUBLIC SERVICE 4yr'!H19+'ASptISptSSv 4yr'!H19+'PLANT OPER MAIN 4yr'!H19+'SCHOLAR FELLOW 4yr'!H19+'All Other 4yr'!H19)-H19</f>
        <v>0</v>
      </c>
      <c r="AK19" s="75">
        <f>('Instruction-4YR'!I19+'RESEARCH 4yr'!I19+'PUBLIC SERVICE 4yr'!I19+'ASptISptSSv 4yr'!I19+'PLANT OPER MAIN 4yr'!I19+'SCHOLAR FELLOW 4yr'!I19+'All Other 4yr'!I19)-I19</f>
        <v>0</v>
      </c>
      <c r="AL19" s="75">
        <f>('Instruction-4YR'!J19+'RESEARCH 4yr'!J19+'PUBLIC SERVICE 4yr'!J19+'ASptISptSSv 4yr'!J19+'PLANT OPER MAIN 4yr'!J19+'SCHOLAR FELLOW 4yr'!J19+'All Other 4yr'!J19)-J19</f>
        <v>0</v>
      </c>
      <c r="AM19" s="75">
        <f>('Instruction-4YR'!K19+'RESEARCH 4yr'!K19+'PUBLIC SERVICE 4yr'!K19+'ASptISptSSv 4yr'!K19+'PLANT OPER MAIN 4yr'!K19+'SCHOLAR FELLOW 4yr'!K19+'All Other 4yr'!K19)-K19</f>
        <v>0</v>
      </c>
      <c r="AN19" s="75">
        <f>('Instruction-4YR'!L19+'RESEARCH 4yr'!L19+'PUBLIC SERVICE 4yr'!L19+'ASptISptSSv 4yr'!L19+'PLANT OPER MAIN 4yr'!L19+'SCHOLAR FELLOW 4yr'!L19+'All Other 4yr'!L19)-L19</f>
        <v>0</v>
      </c>
      <c r="AO19" s="75">
        <f>('Instruction-4YR'!M19+'RESEARCH 4yr'!M19+'PUBLIC SERVICE 4yr'!M19+'ASptISptSSv 4yr'!M19+'PLANT OPER MAIN 4yr'!M19+'SCHOLAR FELLOW 4yr'!M19+'All Other 4yr'!M19)-M19</f>
        <v>0</v>
      </c>
      <c r="AP19" s="75">
        <f>('Instruction-4YR'!N19+'RESEARCH 4yr'!N19+'PUBLIC SERVICE 4yr'!N19+'ASptISptSSv 4yr'!N19+'PLANT OPER MAIN 4yr'!N19+'SCHOLAR FELLOW 4yr'!N19+'All Other 4yr'!N19)-N19</f>
        <v>0</v>
      </c>
      <c r="AQ19" s="75">
        <f>('Instruction-4YR'!O19+'RESEARCH 4yr'!O19+'PUBLIC SERVICE 4yr'!O19+'ASptISptSSv 4yr'!O19+'PLANT OPER MAIN 4yr'!O19+'SCHOLAR FELLOW 4yr'!O19+'All Other 4yr'!O19)-O19</f>
        <v>0</v>
      </c>
      <c r="AR19" s="75">
        <f>('Instruction-4YR'!P19+'RESEARCH 4yr'!P19+'PUBLIC SERVICE 4yr'!P19+'ASptISptSSv 4yr'!P19+'PLANT OPER MAIN 4yr'!P19+'SCHOLAR FELLOW 4yr'!P19+'All Other 4yr'!P19)-P19</f>
        <v>0</v>
      </c>
      <c r="AS19" s="75">
        <f>('Instruction-4YR'!Q19+'RESEARCH 4yr'!Q19+'PUBLIC SERVICE 4yr'!Q19+'ASptISptSSv 4yr'!Q19+'PLANT OPER MAIN 4yr'!Q19+'SCHOLAR FELLOW 4yr'!Q19+'All Other 4yr'!Q19)-Q19</f>
        <v>0</v>
      </c>
      <c r="AT19" s="75">
        <f>('Instruction-4YR'!R19+'RESEARCH 4yr'!R19+'PUBLIC SERVICE 4yr'!R19+'ASptISptSSv 4yr'!R19+'PLANT OPER MAIN 4yr'!R19+'SCHOLAR FELLOW 4yr'!R19+'All Other 4yr'!R19)-R19</f>
        <v>0</v>
      </c>
      <c r="AU19" s="75">
        <f>('Instruction-4YR'!S19+'RESEARCH 4yr'!S19+'PUBLIC SERVICE 4yr'!S19+'ASptISptSSv 4yr'!S19+'PLANT OPER MAIN 4yr'!S19+'SCHOLAR FELLOW 4yr'!S19+'All Other 4yr'!S19)-S19</f>
        <v>0</v>
      </c>
      <c r="AV19" s="75">
        <f>('Instruction-4YR'!T19+'RESEARCH 4yr'!T19+'PUBLIC SERVICE 4yr'!T19+'ASptISptSSv 4yr'!T19+'PLANT OPER MAIN 4yr'!T19+'SCHOLAR FELLOW 4yr'!T19+'All Other 4yr'!T19)-T19</f>
        <v>0</v>
      </c>
      <c r="AW19" s="75">
        <f>('Instruction-4YR'!U19+'RESEARCH 4yr'!U19+'PUBLIC SERVICE 4yr'!U19+'ASptISptSSv 4yr'!U19+'PLANT OPER MAIN 4yr'!U19+'SCHOLAR FELLOW 4yr'!U19+'All Other 4yr'!U19)-U19</f>
        <v>0</v>
      </c>
      <c r="AX19" s="75">
        <f>('Instruction-4YR'!V19+'RESEARCH 4yr'!V19+'PUBLIC SERVICE 4yr'!V19+'ASptISptSSv 4yr'!V19+'PLANT OPER MAIN 4yr'!V19+'SCHOLAR FELLOW 4yr'!V19+'All Other 4yr'!V19)-V19</f>
        <v>0</v>
      </c>
      <c r="AY19" s="75">
        <f>('Instruction-4YR'!W19+'RESEARCH 4yr'!W19+'PUBLIC SERVICE 4yr'!W19+'ASptISptSSv 4yr'!W19+'PLANT OPER MAIN 4yr'!W19+'SCHOLAR FELLOW 4yr'!W19+'All Other 4yr'!W19)-W19</f>
        <v>0</v>
      </c>
      <c r="AZ19" s="75">
        <f>('Instruction-4YR'!X19+'RESEARCH 4yr'!X19+'PUBLIC SERVICE 4yr'!X19+'ASptISptSSv 4yr'!X19+'PLANT OPER MAIN 4yr'!X19+'SCHOLAR FELLOW 4yr'!X19+'All Other 4yr'!X19)-X19</f>
        <v>0</v>
      </c>
      <c r="BA19" s="75">
        <f>('Instruction-4YR'!Y19+'RESEARCH 4yr'!Y19+'PUBLIC SERVICE 4yr'!Y19+'ASptISptSSv 4yr'!Y19+'PLANT OPER MAIN 4yr'!Y19+'SCHOLAR FELLOW 4yr'!Y19+'All Other 4yr'!Y19)-Y19</f>
        <v>0</v>
      </c>
      <c r="BB19" s="75">
        <f>('Instruction-4YR'!Z19+'RESEARCH 4yr'!Z19+'PUBLIC SERVICE 4yr'!Z19+'ASptISptSSv 4yr'!Z19+'PLANT OPER MAIN 4yr'!Z19+'SCHOLAR FELLOW 4yr'!Z19+'All Other 4yr'!Z19)-Z19</f>
        <v>0</v>
      </c>
      <c r="BC19" s="75">
        <f>('Instruction-4YR'!AA19+'RESEARCH 4yr'!AA19+'PUBLIC SERVICE 4yr'!AA19+'ASptISptSSv 4yr'!AA19+'PLANT OPER MAIN 4yr'!AA19+'SCHOLAR FELLOW 4yr'!AA19+'All Other 4yr'!AA19)-AA19</f>
        <v>0</v>
      </c>
      <c r="BD19" s="75">
        <f>('Instruction-4YR'!AB19+'RESEARCH 4yr'!AB19+'PUBLIC SERVICE 4yr'!AB19+'ASptISptSSv 4yr'!AB19+'PLANT OPER MAIN 4yr'!AB19+'SCHOLAR FELLOW 4yr'!AB19+'All Other 4yr'!AB19)-AB19</f>
        <v>0</v>
      </c>
      <c r="BE19" s="75">
        <f>('Instruction-4YR'!AC19+'RESEARCH 4yr'!AC19+'PUBLIC SERVICE 4yr'!AC19+'ASptISptSSv 4yr'!AC19+'PLANT OPER MAIN 4yr'!AC19+'SCHOLAR FELLOW 4yr'!AC19+'All Other 4yr'!AC19)-AC19</f>
        <v>0</v>
      </c>
    </row>
    <row r="20" spans="1:57">
      <c r="A20" s="1" t="s">
        <v>13</v>
      </c>
      <c r="B20" s="1">
        <v>484110</v>
      </c>
      <c r="C20" s="1">
        <v>561897</v>
      </c>
      <c r="D20" s="1">
        <v>624399</v>
      </c>
      <c r="E20" s="1">
        <v>890891.07799999998</v>
      </c>
      <c r="F20" s="42">
        <v>920187.95600000001</v>
      </c>
      <c r="G20" s="1">
        <v>982759.09699999983</v>
      </c>
      <c r="H20" s="1">
        <v>1042580.4570000001</v>
      </c>
      <c r="I20" s="1">
        <v>1106193.8489999999</v>
      </c>
      <c r="J20" s="1">
        <v>1140334.294</v>
      </c>
      <c r="K20" s="1">
        <v>1226495.797</v>
      </c>
      <c r="L20" s="1">
        <v>1573713.625</v>
      </c>
      <c r="M20" s="1">
        <v>1622099.72</v>
      </c>
      <c r="N20" s="1">
        <v>1738759.5759999999</v>
      </c>
      <c r="O20" s="1">
        <v>1918692.8430000001</v>
      </c>
      <c r="P20" s="1">
        <v>1996628.186</v>
      </c>
      <c r="Q20" s="1">
        <v>2164162.165</v>
      </c>
      <c r="R20" s="1">
        <v>2326513.7680000002</v>
      </c>
      <c r="S20" s="1">
        <v>2496248.9550000001</v>
      </c>
      <c r="T20" s="1">
        <v>2728488.5789999999</v>
      </c>
      <c r="U20" s="1">
        <v>2238939.6439999999</v>
      </c>
      <c r="V20" s="1">
        <v>2827576.713</v>
      </c>
      <c r="W20" s="1">
        <v>2968147.8459999999</v>
      </c>
      <c r="X20" s="1">
        <v>3049651.4360000002</v>
      </c>
      <c r="Y20" s="1">
        <v>3244993.682</v>
      </c>
      <c r="Z20" s="1">
        <v>3381560.0920000002</v>
      </c>
      <c r="AA20" s="1">
        <v>3574005.7969999998</v>
      </c>
      <c r="AB20" s="1">
        <v>3686335.7050000001</v>
      </c>
      <c r="AC20" s="1">
        <v>3888150.727</v>
      </c>
      <c r="AD20" s="75">
        <f>('Instruction-4YR'!B20+'RESEARCH 4yr'!B20+'PUBLIC SERVICE 4yr'!B20+'ASptISptSSv 4yr'!B20+'PLANT OPER MAIN 4yr'!B20+'SCHOLAR FELLOW 4yr'!B20+'All Other 4yr'!B20)-B20</f>
        <v>0</v>
      </c>
      <c r="AE20" s="75">
        <f>('Instruction-4YR'!C20+'RESEARCH 4yr'!C20+'PUBLIC SERVICE 4yr'!C20+'ASptISptSSv 4yr'!C20+'PLANT OPER MAIN 4yr'!C20+'SCHOLAR FELLOW 4yr'!C20+'All Other 4yr'!C20)-C20</f>
        <v>0</v>
      </c>
      <c r="AF20" s="75">
        <f>('Instruction-4YR'!D20+'RESEARCH 4yr'!D20+'PUBLIC SERVICE 4yr'!D20+'ASptISptSSv 4yr'!D20+'PLANT OPER MAIN 4yr'!D20+'SCHOLAR FELLOW 4yr'!D20+'All Other 4yr'!D20)-D20</f>
        <v>0</v>
      </c>
      <c r="AG20" s="75">
        <f>('Instruction-4YR'!E20+'RESEARCH 4yr'!E20+'PUBLIC SERVICE 4yr'!E20+'ASptISptSSv 4yr'!E20+'PLANT OPER MAIN 4yr'!E20+'SCHOLAR FELLOW 4yr'!E20+'All Other 4yr'!E20)-E20</f>
        <v>0</v>
      </c>
      <c r="AH20" s="75">
        <f>('Instruction-4YR'!F20+'RESEARCH 4yr'!F20+'PUBLIC SERVICE 4yr'!F20+'ASptISptSSv 4yr'!F20+'PLANT OPER MAIN 4yr'!F20+'SCHOLAR FELLOW 4yr'!F20+'All Other 4yr'!F20)-F20</f>
        <v>0</v>
      </c>
      <c r="AI20" s="75">
        <f>('Instruction-4YR'!G20+'RESEARCH 4yr'!G20+'PUBLIC SERVICE 4yr'!G20+'ASptISptSSv 4yr'!G20+'PLANT OPER MAIN 4yr'!G20+'SCHOLAR FELLOW 4yr'!G20+'All Other 4yr'!G20)-G20</f>
        <v>0</v>
      </c>
      <c r="AJ20" s="75">
        <f>('Instruction-4YR'!H20+'RESEARCH 4yr'!H20+'PUBLIC SERVICE 4yr'!H20+'ASptISptSSv 4yr'!H20+'PLANT OPER MAIN 4yr'!H20+'SCHOLAR FELLOW 4yr'!H20+'All Other 4yr'!H20)-H20</f>
        <v>0</v>
      </c>
      <c r="AK20" s="75">
        <f>('Instruction-4YR'!I20+'RESEARCH 4yr'!I20+'PUBLIC SERVICE 4yr'!I20+'ASptISptSSv 4yr'!I20+'PLANT OPER MAIN 4yr'!I20+'SCHOLAR FELLOW 4yr'!I20+'All Other 4yr'!I20)-I20</f>
        <v>0</v>
      </c>
      <c r="AL20" s="75">
        <f>('Instruction-4YR'!J20+'RESEARCH 4yr'!J20+'PUBLIC SERVICE 4yr'!J20+'ASptISptSSv 4yr'!J20+'PLANT OPER MAIN 4yr'!J20+'SCHOLAR FELLOW 4yr'!J20+'All Other 4yr'!J20)-J20</f>
        <v>0</v>
      </c>
      <c r="AM20" s="75">
        <f>('Instruction-4YR'!K20+'RESEARCH 4yr'!K20+'PUBLIC SERVICE 4yr'!K20+'ASptISptSSv 4yr'!K20+'PLANT OPER MAIN 4yr'!K20+'SCHOLAR FELLOW 4yr'!K20+'All Other 4yr'!K20)-K20</f>
        <v>0</v>
      </c>
      <c r="AN20" s="75">
        <f>('Instruction-4YR'!L20+'RESEARCH 4yr'!L20+'PUBLIC SERVICE 4yr'!L20+'ASptISptSSv 4yr'!L20+'PLANT OPER MAIN 4yr'!L20+'SCHOLAR FELLOW 4yr'!L20+'All Other 4yr'!L20)-L20</f>
        <v>0</v>
      </c>
      <c r="AO20" s="75">
        <f>('Instruction-4YR'!M20+'RESEARCH 4yr'!M20+'PUBLIC SERVICE 4yr'!M20+'ASptISptSSv 4yr'!M20+'PLANT OPER MAIN 4yr'!M20+'SCHOLAR FELLOW 4yr'!M20+'All Other 4yr'!M20)-M20</f>
        <v>0</v>
      </c>
      <c r="AP20" s="75">
        <f>('Instruction-4YR'!N20+'RESEARCH 4yr'!N20+'PUBLIC SERVICE 4yr'!N20+'ASptISptSSv 4yr'!N20+'PLANT OPER MAIN 4yr'!N20+'SCHOLAR FELLOW 4yr'!N20+'All Other 4yr'!N20)-N20</f>
        <v>0</v>
      </c>
      <c r="AQ20" s="75">
        <f>('Instruction-4YR'!O20+'RESEARCH 4yr'!O20+'PUBLIC SERVICE 4yr'!O20+'ASptISptSSv 4yr'!O20+'PLANT OPER MAIN 4yr'!O20+'SCHOLAR FELLOW 4yr'!O20+'All Other 4yr'!O20)-O20</f>
        <v>0</v>
      </c>
      <c r="AR20" s="75">
        <f>('Instruction-4YR'!P20+'RESEARCH 4yr'!P20+'PUBLIC SERVICE 4yr'!P20+'ASptISptSSv 4yr'!P20+'PLANT OPER MAIN 4yr'!P20+'SCHOLAR FELLOW 4yr'!P20+'All Other 4yr'!P20)-P20</f>
        <v>0</v>
      </c>
      <c r="AS20" s="75">
        <f>('Instruction-4YR'!Q20+'RESEARCH 4yr'!Q20+'PUBLIC SERVICE 4yr'!Q20+'ASptISptSSv 4yr'!Q20+'PLANT OPER MAIN 4yr'!Q20+'SCHOLAR FELLOW 4yr'!Q20+'All Other 4yr'!Q20)-Q20</f>
        <v>0</v>
      </c>
      <c r="AT20" s="75">
        <f>('Instruction-4YR'!R20+'RESEARCH 4yr'!R20+'PUBLIC SERVICE 4yr'!R20+'ASptISptSSv 4yr'!R20+'PLANT OPER MAIN 4yr'!R20+'SCHOLAR FELLOW 4yr'!R20+'All Other 4yr'!R20)-R20</f>
        <v>0</v>
      </c>
      <c r="AU20" s="75">
        <f>('Instruction-4YR'!S20+'RESEARCH 4yr'!S20+'PUBLIC SERVICE 4yr'!S20+'ASptISptSSv 4yr'!S20+'PLANT OPER MAIN 4yr'!S20+'SCHOLAR FELLOW 4yr'!S20+'All Other 4yr'!S20)-S20</f>
        <v>0</v>
      </c>
      <c r="AV20" s="75">
        <f>('Instruction-4YR'!T20+'RESEARCH 4yr'!T20+'PUBLIC SERVICE 4yr'!T20+'ASptISptSSv 4yr'!T20+'PLANT OPER MAIN 4yr'!T20+'SCHOLAR FELLOW 4yr'!T20+'All Other 4yr'!T20)-T20</f>
        <v>0</v>
      </c>
      <c r="AW20" s="75">
        <f>('Instruction-4YR'!U20+'RESEARCH 4yr'!U20+'PUBLIC SERVICE 4yr'!U20+'ASptISptSSv 4yr'!U20+'PLANT OPER MAIN 4yr'!U20+'SCHOLAR FELLOW 4yr'!U20+'All Other 4yr'!U20)-U20</f>
        <v>0</v>
      </c>
      <c r="AX20" s="75">
        <f>('Instruction-4YR'!V20+'RESEARCH 4yr'!V20+'PUBLIC SERVICE 4yr'!V20+'ASptISptSSv 4yr'!V20+'PLANT OPER MAIN 4yr'!V20+'SCHOLAR FELLOW 4yr'!V20+'All Other 4yr'!V20)-V20</f>
        <v>0</v>
      </c>
      <c r="AY20" s="75">
        <f>('Instruction-4YR'!W20+'RESEARCH 4yr'!W20+'PUBLIC SERVICE 4yr'!W20+'ASptISptSSv 4yr'!W20+'PLANT OPER MAIN 4yr'!W20+'SCHOLAR FELLOW 4yr'!W20+'All Other 4yr'!W20)-W20</f>
        <v>0</v>
      </c>
      <c r="AZ20" s="75">
        <f>('Instruction-4YR'!X20+'RESEARCH 4yr'!X20+'PUBLIC SERVICE 4yr'!X20+'ASptISptSSv 4yr'!X20+'PLANT OPER MAIN 4yr'!X20+'SCHOLAR FELLOW 4yr'!X20+'All Other 4yr'!X20)-X20</f>
        <v>0</v>
      </c>
      <c r="BA20" s="75">
        <f>('Instruction-4YR'!Y20+'RESEARCH 4yr'!Y20+'PUBLIC SERVICE 4yr'!Y20+'ASptISptSSv 4yr'!Y20+'PLANT OPER MAIN 4yr'!Y20+'SCHOLAR FELLOW 4yr'!Y20+'All Other 4yr'!Y20)-Y20</f>
        <v>0</v>
      </c>
      <c r="BB20" s="75">
        <f>('Instruction-4YR'!Z20+'RESEARCH 4yr'!Z20+'PUBLIC SERVICE 4yr'!Z20+'ASptISptSSv 4yr'!Z20+'PLANT OPER MAIN 4yr'!Z20+'SCHOLAR FELLOW 4yr'!Z20+'All Other 4yr'!Z20)-Z20</f>
        <v>0</v>
      </c>
      <c r="BC20" s="75">
        <f>('Instruction-4YR'!AA20+'RESEARCH 4yr'!AA20+'PUBLIC SERVICE 4yr'!AA20+'ASptISptSSv 4yr'!AA20+'PLANT OPER MAIN 4yr'!AA20+'SCHOLAR FELLOW 4yr'!AA20+'All Other 4yr'!AA20)-AA20</f>
        <v>0</v>
      </c>
      <c r="BD20" s="75">
        <f>('Instruction-4YR'!AB20+'RESEARCH 4yr'!AB20+'PUBLIC SERVICE 4yr'!AB20+'ASptISptSSv 4yr'!AB20+'PLANT OPER MAIN 4yr'!AB20+'SCHOLAR FELLOW 4yr'!AB20+'All Other 4yr'!AB20)-AB20</f>
        <v>0</v>
      </c>
      <c r="BE20" s="75">
        <f>('Instruction-4YR'!AC20+'RESEARCH 4yr'!AC20+'PUBLIC SERVICE 4yr'!AC20+'ASptISptSSv 4yr'!AC20+'PLANT OPER MAIN 4yr'!AC20+'SCHOLAR FELLOW 4yr'!AC20+'All Other 4yr'!AC20)-AC20</f>
        <v>0</v>
      </c>
    </row>
    <row r="21" spans="1:57">
      <c r="A21" s="1" t="s">
        <v>14</v>
      </c>
      <c r="B21" s="1">
        <v>558830</v>
      </c>
      <c r="C21" s="1">
        <v>640982</v>
      </c>
      <c r="D21" s="1">
        <v>743324</v>
      </c>
      <c r="E21" s="1">
        <v>1068740.041</v>
      </c>
      <c r="F21" s="42">
        <v>1060233.3319999999</v>
      </c>
      <c r="G21" s="1">
        <v>1178551.2820000001</v>
      </c>
      <c r="H21" s="1">
        <v>1280435.5530000001</v>
      </c>
      <c r="I21" s="1">
        <v>1325479.7309999999</v>
      </c>
      <c r="J21" s="1">
        <v>1399783.97</v>
      </c>
      <c r="K21" s="1">
        <v>1448146.6161200001</v>
      </c>
      <c r="L21" s="1">
        <v>1671221.4240000001</v>
      </c>
      <c r="M21" s="1">
        <v>1810085.9069999999</v>
      </c>
      <c r="N21" s="1">
        <v>2047434.2520000001</v>
      </c>
      <c r="O21" s="1">
        <v>2142281.2149999999</v>
      </c>
      <c r="P21" s="1">
        <v>2267547.6510000001</v>
      </c>
      <c r="Q21" s="1">
        <v>2472529.341</v>
      </c>
      <c r="R21" s="1">
        <v>2585231.6680000001</v>
      </c>
      <c r="S21" s="1">
        <v>2741478.085</v>
      </c>
      <c r="T21" s="1">
        <v>2962711.6490000002</v>
      </c>
      <c r="U21" s="1">
        <v>3052560.1189999999</v>
      </c>
      <c r="V21" s="1">
        <v>3137308.6069999998</v>
      </c>
      <c r="W21" s="1">
        <v>3331778.9479999999</v>
      </c>
      <c r="X21" s="1">
        <v>3508516.9109999998</v>
      </c>
      <c r="Y21" s="1">
        <v>3521604.45</v>
      </c>
      <c r="Z21" s="1">
        <v>3678648.2140000002</v>
      </c>
      <c r="AA21" s="1">
        <v>3653427.9369999999</v>
      </c>
      <c r="AB21" s="1">
        <v>3746634.62</v>
      </c>
      <c r="AC21" s="1">
        <v>3914691.4169999999</v>
      </c>
      <c r="AD21" s="75">
        <f>('Instruction-4YR'!B21+'RESEARCH 4yr'!B21+'PUBLIC SERVICE 4yr'!B21+'ASptISptSSv 4yr'!B21+'PLANT OPER MAIN 4yr'!B21+'SCHOLAR FELLOW 4yr'!B21+'All Other 4yr'!B21)-B21</f>
        <v>0</v>
      </c>
      <c r="AE21" s="75">
        <f>('Instruction-4YR'!C21+'RESEARCH 4yr'!C21+'PUBLIC SERVICE 4yr'!C21+'ASptISptSSv 4yr'!C21+'PLANT OPER MAIN 4yr'!C21+'SCHOLAR FELLOW 4yr'!C21+'All Other 4yr'!C21)-C21</f>
        <v>0</v>
      </c>
      <c r="AF21" s="75">
        <f>('Instruction-4YR'!D21+'RESEARCH 4yr'!D21+'PUBLIC SERVICE 4yr'!D21+'ASptISptSSv 4yr'!D21+'PLANT OPER MAIN 4yr'!D21+'SCHOLAR FELLOW 4yr'!D21+'All Other 4yr'!D21)-D21</f>
        <v>0</v>
      </c>
      <c r="AG21" s="75">
        <f>('Instruction-4YR'!E21+'RESEARCH 4yr'!E21+'PUBLIC SERVICE 4yr'!E21+'ASptISptSSv 4yr'!E21+'PLANT OPER MAIN 4yr'!E21+'SCHOLAR FELLOW 4yr'!E21+'All Other 4yr'!E21)-E21</f>
        <v>0</v>
      </c>
      <c r="AH21" s="75">
        <f>('Instruction-4YR'!F21+'RESEARCH 4yr'!F21+'PUBLIC SERVICE 4yr'!F21+'ASptISptSSv 4yr'!F21+'PLANT OPER MAIN 4yr'!F21+'SCHOLAR FELLOW 4yr'!F21+'All Other 4yr'!F21)-F21</f>
        <v>0</v>
      </c>
      <c r="AI21" s="75">
        <f>('Instruction-4YR'!G21+'RESEARCH 4yr'!G21+'PUBLIC SERVICE 4yr'!G21+'ASptISptSSv 4yr'!G21+'PLANT OPER MAIN 4yr'!G21+'SCHOLAR FELLOW 4yr'!G21+'All Other 4yr'!G21)-G21</f>
        <v>0</v>
      </c>
      <c r="AJ21" s="75">
        <f>('Instruction-4YR'!H21+'RESEARCH 4yr'!H21+'PUBLIC SERVICE 4yr'!H21+'ASptISptSSv 4yr'!H21+'PLANT OPER MAIN 4yr'!H21+'SCHOLAR FELLOW 4yr'!H21+'All Other 4yr'!H21)-H21</f>
        <v>0</v>
      </c>
      <c r="AK21" s="75">
        <f>('Instruction-4YR'!I21+'RESEARCH 4yr'!I21+'PUBLIC SERVICE 4yr'!I21+'ASptISptSSv 4yr'!I21+'PLANT OPER MAIN 4yr'!I21+'SCHOLAR FELLOW 4yr'!I21+'All Other 4yr'!I21)-I21</f>
        <v>0</v>
      </c>
      <c r="AL21" s="75">
        <f>('Instruction-4YR'!J21+'RESEARCH 4yr'!J21+'PUBLIC SERVICE 4yr'!J21+'ASptISptSSv 4yr'!J21+'PLANT OPER MAIN 4yr'!J21+'SCHOLAR FELLOW 4yr'!J21+'All Other 4yr'!J21)-J21</f>
        <v>0</v>
      </c>
      <c r="AM21" s="75">
        <f>('Instruction-4YR'!K21+'RESEARCH 4yr'!K21+'PUBLIC SERVICE 4yr'!K21+'ASptISptSSv 4yr'!K21+'PLANT OPER MAIN 4yr'!K21+'SCHOLAR FELLOW 4yr'!K21+'All Other 4yr'!K21)-K21</f>
        <v>0</v>
      </c>
      <c r="AN21" s="75">
        <f>('Instruction-4YR'!L21+'RESEARCH 4yr'!L21+'PUBLIC SERVICE 4yr'!L21+'ASptISptSSv 4yr'!L21+'PLANT OPER MAIN 4yr'!L21+'SCHOLAR FELLOW 4yr'!L21+'All Other 4yr'!L21)-L21</f>
        <v>0</v>
      </c>
      <c r="AO21" s="75">
        <f>('Instruction-4YR'!M21+'RESEARCH 4yr'!M21+'PUBLIC SERVICE 4yr'!M21+'ASptISptSSv 4yr'!M21+'PLANT OPER MAIN 4yr'!M21+'SCHOLAR FELLOW 4yr'!M21+'All Other 4yr'!M21)-M21</f>
        <v>0</v>
      </c>
      <c r="AP21" s="75">
        <f>('Instruction-4YR'!N21+'RESEARCH 4yr'!N21+'PUBLIC SERVICE 4yr'!N21+'ASptISptSSv 4yr'!N21+'PLANT OPER MAIN 4yr'!N21+'SCHOLAR FELLOW 4yr'!N21+'All Other 4yr'!N21)-N21</f>
        <v>0</v>
      </c>
      <c r="AQ21" s="75">
        <f>('Instruction-4YR'!O21+'RESEARCH 4yr'!O21+'PUBLIC SERVICE 4yr'!O21+'ASptISptSSv 4yr'!O21+'PLANT OPER MAIN 4yr'!O21+'SCHOLAR FELLOW 4yr'!O21+'All Other 4yr'!O21)-O21</f>
        <v>0</v>
      </c>
      <c r="AR21" s="75">
        <f>('Instruction-4YR'!P21+'RESEARCH 4yr'!P21+'PUBLIC SERVICE 4yr'!P21+'ASptISptSSv 4yr'!P21+'PLANT OPER MAIN 4yr'!P21+'SCHOLAR FELLOW 4yr'!P21+'All Other 4yr'!P21)-P21</f>
        <v>0</v>
      </c>
      <c r="AS21" s="75">
        <f>('Instruction-4YR'!Q21+'RESEARCH 4yr'!Q21+'PUBLIC SERVICE 4yr'!Q21+'ASptISptSSv 4yr'!Q21+'PLANT OPER MAIN 4yr'!Q21+'SCHOLAR FELLOW 4yr'!Q21+'All Other 4yr'!Q21)-Q21</f>
        <v>0</v>
      </c>
      <c r="AT21" s="75">
        <f>('Instruction-4YR'!R21+'RESEARCH 4yr'!R21+'PUBLIC SERVICE 4yr'!R21+'ASptISptSSv 4yr'!R21+'PLANT OPER MAIN 4yr'!R21+'SCHOLAR FELLOW 4yr'!R21+'All Other 4yr'!R21)-R21</f>
        <v>0</v>
      </c>
      <c r="AU21" s="75">
        <f>('Instruction-4YR'!S21+'RESEARCH 4yr'!S21+'PUBLIC SERVICE 4yr'!S21+'ASptISptSSv 4yr'!S21+'PLANT OPER MAIN 4yr'!S21+'SCHOLAR FELLOW 4yr'!S21+'All Other 4yr'!S21)-S21</f>
        <v>0</v>
      </c>
      <c r="AV21" s="75">
        <f>('Instruction-4YR'!T21+'RESEARCH 4yr'!T21+'PUBLIC SERVICE 4yr'!T21+'ASptISptSSv 4yr'!T21+'PLANT OPER MAIN 4yr'!T21+'SCHOLAR FELLOW 4yr'!T21+'All Other 4yr'!T21)-T21</f>
        <v>0</v>
      </c>
      <c r="AW21" s="75">
        <f>('Instruction-4YR'!U21+'RESEARCH 4yr'!U21+'PUBLIC SERVICE 4yr'!U21+'ASptISptSSv 4yr'!U21+'PLANT OPER MAIN 4yr'!U21+'SCHOLAR FELLOW 4yr'!U21+'All Other 4yr'!U21)-U21</f>
        <v>0</v>
      </c>
      <c r="AX21" s="75">
        <f>('Instruction-4YR'!V21+'RESEARCH 4yr'!V21+'PUBLIC SERVICE 4yr'!V21+'ASptISptSSv 4yr'!V21+'PLANT OPER MAIN 4yr'!V21+'SCHOLAR FELLOW 4yr'!V21+'All Other 4yr'!V21)-V21</f>
        <v>0</v>
      </c>
      <c r="AY21" s="75">
        <f>('Instruction-4YR'!W21+'RESEARCH 4yr'!W21+'PUBLIC SERVICE 4yr'!W21+'ASptISptSSv 4yr'!W21+'PLANT OPER MAIN 4yr'!W21+'SCHOLAR FELLOW 4yr'!W21+'All Other 4yr'!W21)-W21</f>
        <v>0</v>
      </c>
      <c r="AZ21" s="75">
        <f>('Instruction-4YR'!X21+'RESEARCH 4yr'!X21+'PUBLIC SERVICE 4yr'!X21+'ASptISptSSv 4yr'!X21+'PLANT OPER MAIN 4yr'!X21+'SCHOLAR FELLOW 4yr'!X21+'All Other 4yr'!X21)-X21</f>
        <v>0</v>
      </c>
      <c r="BA21" s="75">
        <f>('Instruction-4YR'!Y21+'RESEARCH 4yr'!Y21+'PUBLIC SERVICE 4yr'!Y21+'ASptISptSSv 4yr'!Y21+'PLANT OPER MAIN 4yr'!Y21+'SCHOLAR FELLOW 4yr'!Y21+'All Other 4yr'!Y21)-Y21</f>
        <v>0</v>
      </c>
      <c r="BB21" s="75">
        <f>('Instruction-4YR'!Z21+'RESEARCH 4yr'!Z21+'PUBLIC SERVICE 4yr'!Z21+'ASptISptSSv 4yr'!Z21+'PLANT OPER MAIN 4yr'!Z21+'SCHOLAR FELLOW 4yr'!Z21+'All Other 4yr'!Z21)-Z21</f>
        <v>0</v>
      </c>
      <c r="BC21" s="75">
        <f>('Instruction-4YR'!AA21+'RESEARCH 4yr'!AA21+'PUBLIC SERVICE 4yr'!AA21+'ASptISptSSv 4yr'!AA21+'PLANT OPER MAIN 4yr'!AA21+'SCHOLAR FELLOW 4yr'!AA21+'All Other 4yr'!AA21)-AA21</f>
        <v>0</v>
      </c>
      <c r="BD21" s="75">
        <f>('Instruction-4YR'!AB21+'RESEARCH 4yr'!AB21+'PUBLIC SERVICE 4yr'!AB21+'ASptISptSSv 4yr'!AB21+'PLANT OPER MAIN 4yr'!AB21+'SCHOLAR FELLOW 4yr'!AB21+'All Other 4yr'!AB21)-AB21</f>
        <v>0</v>
      </c>
      <c r="BE21" s="75">
        <f>('Instruction-4YR'!AC21+'RESEARCH 4yr'!AC21+'PUBLIC SERVICE 4yr'!AC21+'ASptISptSSv 4yr'!AC21+'PLANT OPER MAIN 4yr'!AC21+'SCHOLAR FELLOW 4yr'!AC21+'All Other 4yr'!AC21)-AC21</f>
        <v>0</v>
      </c>
    </row>
    <row r="22" spans="1:57">
      <c r="A22" s="1" t="s">
        <v>15</v>
      </c>
      <c r="B22" s="1">
        <v>2547449</v>
      </c>
      <c r="C22" s="1">
        <v>2688477</v>
      </c>
      <c r="D22" s="1">
        <v>2936282</v>
      </c>
      <c r="E22" s="1">
        <v>4204855.67</v>
      </c>
      <c r="F22" s="42">
        <v>4523647.5889999997</v>
      </c>
      <c r="G22" s="1">
        <v>4944869.1469999989</v>
      </c>
      <c r="H22" s="1">
        <v>5212441.84</v>
      </c>
      <c r="I22" s="1">
        <v>5394870.6220000004</v>
      </c>
      <c r="J22" s="1">
        <v>6022033.7189999996</v>
      </c>
      <c r="K22" s="1">
        <v>6360767.0250000004</v>
      </c>
      <c r="L22" s="1">
        <v>7452823.6579999998</v>
      </c>
      <c r="M22" s="1">
        <v>8355822.2019999996</v>
      </c>
      <c r="N22" s="1">
        <v>9989120.8310000002</v>
      </c>
      <c r="O22" s="1">
        <v>10319686.097999999</v>
      </c>
      <c r="P22" s="1">
        <v>11122615.182</v>
      </c>
      <c r="Q22" s="1">
        <v>12065286.507999999</v>
      </c>
      <c r="R22" s="1">
        <v>11820517.748</v>
      </c>
      <c r="S22" s="1">
        <v>12627990.726</v>
      </c>
      <c r="T22" s="1">
        <v>13831947.595000001</v>
      </c>
      <c r="U22" s="1">
        <v>10465698.163000001</v>
      </c>
      <c r="V22" s="1">
        <v>15201780.804</v>
      </c>
      <c r="W22" s="1">
        <v>16187257.799000001</v>
      </c>
      <c r="X22" s="1">
        <v>16053918.252</v>
      </c>
      <c r="Y22" s="1">
        <v>12682297.187999999</v>
      </c>
      <c r="Z22" s="1">
        <v>13324918.356000001</v>
      </c>
      <c r="AA22" s="1">
        <v>14154507.751</v>
      </c>
      <c r="AB22" s="1">
        <v>20191791.131000001</v>
      </c>
      <c r="AC22" s="1">
        <v>21253652.738000002</v>
      </c>
      <c r="AD22" s="75">
        <f>('Instruction-4YR'!B22+'RESEARCH 4yr'!B22+'PUBLIC SERVICE 4yr'!B22+'ASptISptSSv 4yr'!B22+'PLANT OPER MAIN 4yr'!B22+'SCHOLAR FELLOW 4yr'!B22+'All Other 4yr'!B22)-B22</f>
        <v>0</v>
      </c>
      <c r="AE22" s="75">
        <f>('Instruction-4YR'!C22+'RESEARCH 4yr'!C22+'PUBLIC SERVICE 4yr'!C22+'ASptISptSSv 4yr'!C22+'PLANT OPER MAIN 4yr'!C22+'SCHOLAR FELLOW 4yr'!C22+'All Other 4yr'!C22)-C22</f>
        <v>0</v>
      </c>
      <c r="AF22" s="75">
        <f>('Instruction-4YR'!D22+'RESEARCH 4yr'!D22+'PUBLIC SERVICE 4yr'!D22+'ASptISptSSv 4yr'!D22+'PLANT OPER MAIN 4yr'!D22+'SCHOLAR FELLOW 4yr'!D22+'All Other 4yr'!D22)-D22</f>
        <v>0</v>
      </c>
      <c r="AG22" s="75">
        <f>('Instruction-4YR'!E22+'RESEARCH 4yr'!E22+'PUBLIC SERVICE 4yr'!E22+'ASptISptSSv 4yr'!E22+'PLANT OPER MAIN 4yr'!E22+'SCHOLAR FELLOW 4yr'!E22+'All Other 4yr'!E22)-E22</f>
        <v>0</v>
      </c>
      <c r="AH22" s="75">
        <f>('Instruction-4YR'!F22+'RESEARCH 4yr'!F22+'PUBLIC SERVICE 4yr'!F22+'ASptISptSSv 4yr'!F22+'PLANT OPER MAIN 4yr'!F22+'SCHOLAR FELLOW 4yr'!F22+'All Other 4yr'!F22)-F22</f>
        <v>0</v>
      </c>
      <c r="AI22" s="75">
        <f>('Instruction-4YR'!G22+'RESEARCH 4yr'!G22+'PUBLIC SERVICE 4yr'!G22+'ASptISptSSv 4yr'!G22+'PLANT OPER MAIN 4yr'!G22+'SCHOLAR FELLOW 4yr'!G22+'All Other 4yr'!G22)-G22</f>
        <v>0</v>
      </c>
      <c r="AJ22" s="75">
        <f>('Instruction-4YR'!H22+'RESEARCH 4yr'!H22+'PUBLIC SERVICE 4yr'!H22+'ASptISptSSv 4yr'!H22+'PLANT OPER MAIN 4yr'!H22+'SCHOLAR FELLOW 4yr'!H22+'All Other 4yr'!H22)-H22</f>
        <v>0</v>
      </c>
      <c r="AK22" s="75">
        <f>('Instruction-4YR'!I22+'RESEARCH 4yr'!I22+'PUBLIC SERVICE 4yr'!I22+'ASptISptSSv 4yr'!I22+'PLANT OPER MAIN 4yr'!I22+'SCHOLAR FELLOW 4yr'!I22+'All Other 4yr'!I22)-I22</f>
        <v>0</v>
      </c>
      <c r="AL22" s="75">
        <f>('Instruction-4YR'!J22+'RESEARCH 4yr'!J22+'PUBLIC SERVICE 4yr'!J22+'ASptISptSSv 4yr'!J22+'PLANT OPER MAIN 4yr'!J22+'SCHOLAR FELLOW 4yr'!J22+'All Other 4yr'!J22)-J22</f>
        <v>0</v>
      </c>
      <c r="AM22" s="75">
        <f>('Instruction-4YR'!K22+'RESEARCH 4yr'!K22+'PUBLIC SERVICE 4yr'!K22+'ASptISptSSv 4yr'!K22+'PLANT OPER MAIN 4yr'!K22+'SCHOLAR FELLOW 4yr'!K22+'All Other 4yr'!K22)-K22</f>
        <v>0</v>
      </c>
      <c r="AN22" s="75">
        <f>('Instruction-4YR'!L22+'RESEARCH 4yr'!L22+'PUBLIC SERVICE 4yr'!L22+'ASptISptSSv 4yr'!L22+'PLANT OPER MAIN 4yr'!L22+'SCHOLAR FELLOW 4yr'!L22+'All Other 4yr'!L22)-L22</f>
        <v>0</v>
      </c>
      <c r="AO22" s="75">
        <f>('Instruction-4YR'!M22+'RESEARCH 4yr'!M22+'PUBLIC SERVICE 4yr'!M22+'ASptISptSSv 4yr'!M22+'PLANT OPER MAIN 4yr'!M22+'SCHOLAR FELLOW 4yr'!M22+'All Other 4yr'!M22)-M22</f>
        <v>0</v>
      </c>
      <c r="AP22" s="75">
        <f>('Instruction-4YR'!N22+'RESEARCH 4yr'!N22+'PUBLIC SERVICE 4yr'!N22+'ASptISptSSv 4yr'!N22+'PLANT OPER MAIN 4yr'!N22+'SCHOLAR FELLOW 4yr'!N22+'All Other 4yr'!N22)-N22</f>
        <v>0</v>
      </c>
      <c r="AQ22" s="75">
        <f>('Instruction-4YR'!O22+'RESEARCH 4yr'!O22+'PUBLIC SERVICE 4yr'!O22+'ASptISptSSv 4yr'!O22+'PLANT OPER MAIN 4yr'!O22+'SCHOLAR FELLOW 4yr'!O22+'All Other 4yr'!O22)-O22</f>
        <v>0</v>
      </c>
      <c r="AR22" s="75">
        <f>('Instruction-4YR'!P22+'RESEARCH 4yr'!P22+'PUBLIC SERVICE 4yr'!P22+'ASptISptSSv 4yr'!P22+'PLANT OPER MAIN 4yr'!P22+'SCHOLAR FELLOW 4yr'!P22+'All Other 4yr'!P22)-P22</f>
        <v>0</v>
      </c>
      <c r="AS22" s="75">
        <f>('Instruction-4YR'!Q22+'RESEARCH 4yr'!Q22+'PUBLIC SERVICE 4yr'!Q22+'ASptISptSSv 4yr'!Q22+'PLANT OPER MAIN 4yr'!Q22+'SCHOLAR FELLOW 4yr'!Q22+'All Other 4yr'!Q22)-Q22</f>
        <v>0</v>
      </c>
      <c r="AT22" s="75">
        <f>('Instruction-4YR'!R22+'RESEARCH 4yr'!R22+'PUBLIC SERVICE 4yr'!R22+'ASptISptSSv 4yr'!R22+'PLANT OPER MAIN 4yr'!R22+'SCHOLAR FELLOW 4yr'!R22+'All Other 4yr'!R22)-R22</f>
        <v>0</v>
      </c>
      <c r="AU22" s="75">
        <f>('Instruction-4YR'!S22+'RESEARCH 4yr'!S22+'PUBLIC SERVICE 4yr'!S22+'ASptISptSSv 4yr'!S22+'PLANT OPER MAIN 4yr'!S22+'SCHOLAR FELLOW 4yr'!S22+'All Other 4yr'!S22)-S22</f>
        <v>0</v>
      </c>
      <c r="AV22" s="75">
        <f>('Instruction-4YR'!T22+'RESEARCH 4yr'!T22+'PUBLIC SERVICE 4yr'!T22+'ASptISptSSv 4yr'!T22+'PLANT OPER MAIN 4yr'!T22+'SCHOLAR FELLOW 4yr'!T22+'All Other 4yr'!T22)-T22</f>
        <v>0</v>
      </c>
      <c r="AW22" s="75">
        <f>('Instruction-4YR'!U22+'RESEARCH 4yr'!U22+'PUBLIC SERVICE 4yr'!U22+'ASptISptSSv 4yr'!U22+'PLANT OPER MAIN 4yr'!U22+'SCHOLAR FELLOW 4yr'!U22+'All Other 4yr'!U22)-U22</f>
        <v>0</v>
      </c>
      <c r="AX22" s="75">
        <f>('Instruction-4YR'!V22+'RESEARCH 4yr'!V22+'PUBLIC SERVICE 4yr'!V22+'ASptISptSSv 4yr'!V22+'PLANT OPER MAIN 4yr'!V22+'SCHOLAR FELLOW 4yr'!V22+'All Other 4yr'!V22)-V22</f>
        <v>0</v>
      </c>
      <c r="AY22" s="75">
        <f>('Instruction-4YR'!W22+'RESEARCH 4yr'!W22+'PUBLIC SERVICE 4yr'!W22+'ASptISptSSv 4yr'!W22+'PLANT OPER MAIN 4yr'!W22+'SCHOLAR FELLOW 4yr'!W22+'All Other 4yr'!W22)-W22</f>
        <v>0</v>
      </c>
      <c r="AZ22" s="75">
        <f>('Instruction-4YR'!X22+'RESEARCH 4yr'!X22+'PUBLIC SERVICE 4yr'!X22+'ASptISptSSv 4yr'!X22+'PLANT OPER MAIN 4yr'!X22+'SCHOLAR FELLOW 4yr'!X22+'All Other 4yr'!X22)-X22</f>
        <v>0</v>
      </c>
      <c r="BA22" s="75">
        <f>('Instruction-4YR'!Y22+'RESEARCH 4yr'!Y22+'PUBLIC SERVICE 4yr'!Y22+'ASptISptSSv 4yr'!Y22+'PLANT OPER MAIN 4yr'!Y22+'SCHOLAR FELLOW 4yr'!Y22+'All Other 4yr'!Y22)-Y22</f>
        <v>0</v>
      </c>
      <c r="BB22" s="75">
        <f>('Instruction-4YR'!Z22+'RESEARCH 4yr'!Z22+'PUBLIC SERVICE 4yr'!Z22+'ASptISptSSv 4yr'!Z22+'PLANT OPER MAIN 4yr'!Z22+'SCHOLAR FELLOW 4yr'!Z22+'All Other 4yr'!Z22)-Z22</f>
        <v>0</v>
      </c>
      <c r="BC22" s="75">
        <f>('Instruction-4YR'!AA22+'RESEARCH 4yr'!AA22+'PUBLIC SERVICE 4yr'!AA22+'ASptISptSSv 4yr'!AA22+'PLANT OPER MAIN 4yr'!AA22+'SCHOLAR FELLOW 4yr'!AA22+'All Other 4yr'!AA22)-AA22</f>
        <v>0</v>
      </c>
      <c r="BD22" s="75">
        <f>('Instruction-4YR'!AB22+'RESEARCH 4yr'!AB22+'PUBLIC SERVICE 4yr'!AB22+'ASptISptSSv 4yr'!AB22+'PLANT OPER MAIN 4yr'!AB22+'SCHOLAR FELLOW 4yr'!AB22+'All Other 4yr'!AB22)-AB22</f>
        <v>0</v>
      </c>
      <c r="BE22" s="75">
        <f>('Instruction-4YR'!AC22+'RESEARCH 4yr'!AC22+'PUBLIC SERVICE 4yr'!AC22+'ASptISptSSv 4yr'!AC22+'PLANT OPER MAIN 4yr'!AC22+'SCHOLAR FELLOW 4yr'!AC22+'All Other 4yr'!AC22)-AC22</f>
        <v>0</v>
      </c>
    </row>
    <row r="23" spans="1:57">
      <c r="A23" s="1" t="s">
        <v>16</v>
      </c>
      <c r="B23" s="1">
        <v>836699</v>
      </c>
      <c r="C23" s="1">
        <v>968032</v>
      </c>
      <c r="D23" s="1">
        <v>1062500</v>
      </c>
      <c r="E23" s="1">
        <v>1632493.2009999999</v>
      </c>
      <c r="F23" s="42">
        <v>1644968.798</v>
      </c>
      <c r="G23" s="1">
        <v>1737164.1160000002</v>
      </c>
      <c r="H23" s="1">
        <v>1829738.5530000001</v>
      </c>
      <c r="I23" s="1">
        <v>1960739.2849999999</v>
      </c>
      <c r="J23" s="1">
        <v>1987380.2590000001</v>
      </c>
      <c r="K23" s="1">
        <v>2171465.6880000001</v>
      </c>
      <c r="L23" s="1">
        <v>2596929.8309999998</v>
      </c>
      <c r="M23" s="1">
        <v>2786642.946</v>
      </c>
      <c r="N23" s="1">
        <v>3173724.3</v>
      </c>
      <c r="O23" s="1">
        <v>3210967.48</v>
      </c>
      <c r="P23" s="1">
        <v>3355308.6669999999</v>
      </c>
      <c r="Q23" s="1">
        <v>3660073.1349999998</v>
      </c>
      <c r="R23" s="1">
        <v>3912325.0060000001</v>
      </c>
      <c r="S23" s="1">
        <v>4239462.1260000002</v>
      </c>
      <c r="T23" s="1">
        <v>4656856.22</v>
      </c>
      <c r="U23" s="1">
        <v>4851634.68</v>
      </c>
      <c r="V23" s="1">
        <v>4747404.3550000004</v>
      </c>
      <c r="W23" s="1">
        <v>4964750.17</v>
      </c>
      <c r="X23" s="1">
        <v>5190823.9740000004</v>
      </c>
      <c r="Y23" s="1">
        <v>5444671.9890000001</v>
      </c>
      <c r="Z23" s="1">
        <v>5660193.4050000003</v>
      </c>
      <c r="AA23" s="1">
        <v>5903318.6059999997</v>
      </c>
      <c r="AB23" s="1">
        <v>6224322.165</v>
      </c>
      <c r="AC23" s="1">
        <v>6604684.909</v>
      </c>
      <c r="AD23" s="75">
        <f>('Instruction-4YR'!B23+'RESEARCH 4yr'!B23+'PUBLIC SERVICE 4yr'!B23+'ASptISptSSv 4yr'!B23+'PLANT OPER MAIN 4yr'!B23+'SCHOLAR FELLOW 4yr'!B23+'All Other 4yr'!B23)-B23</f>
        <v>0</v>
      </c>
      <c r="AE23" s="75">
        <f>('Instruction-4YR'!C23+'RESEARCH 4yr'!C23+'PUBLIC SERVICE 4yr'!C23+'ASptISptSSv 4yr'!C23+'PLANT OPER MAIN 4yr'!C23+'SCHOLAR FELLOW 4yr'!C23+'All Other 4yr'!C23)-C23</f>
        <v>0</v>
      </c>
      <c r="AF23" s="75">
        <f>('Instruction-4YR'!D23+'RESEARCH 4yr'!D23+'PUBLIC SERVICE 4yr'!D23+'ASptISptSSv 4yr'!D23+'PLANT OPER MAIN 4yr'!D23+'SCHOLAR FELLOW 4yr'!D23+'All Other 4yr'!D23)-D23</f>
        <v>0</v>
      </c>
      <c r="AG23" s="75">
        <f>('Instruction-4YR'!E23+'RESEARCH 4yr'!E23+'PUBLIC SERVICE 4yr'!E23+'ASptISptSSv 4yr'!E23+'PLANT OPER MAIN 4yr'!E23+'SCHOLAR FELLOW 4yr'!E23+'All Other 4yr'!E23)-E23</f>
        <v>0</v>
      </c>
      <c r="AH23" s="75">
        <f>('Instruction-4YR'!F23+'RESEARCH 4yr'!F23+'PUBLIC SERVICE 4yr'!F23+'ASptISptSSv 4yr'!F23+'PLANT OPER MAIN 4yr'!F23+'SCHOLAR FELLOW 4yr'!F23+'All Other 4yr'!F23)-F23</f>
        <v>0</v>
      </c>
      <c r="AI23" s="75">
        <f>('Instruction-4YR'!G23+'RESEARCH 4yr'!G23+'PUBLIC SERVICE 4yr'!G23+'ASptISptSSv 4yr'!G23+'PLANT OPER MAIN 4yr'!G23+'SCHOLAR FELLOW 4yr'!G23+'All Other 4yr'!G23)-G23</f>
        <v>0</v>
      </c>
      <c r="AJ23" s="75">
        <f>('Instruction-4YR'!H23+'RESEARCH 4yr'!H23+'PUBLIC SERVICE 4yr'!H23+'ASptISptSSv 4yr'!H23+'PLANT OPER MAIN 4yr'!H23+'SCHOLAR FELLOW 4yr'!H23+'All Other 4yr'!H23)-H23</f>
        <v>0</v>
      </c>
      <c r="AK23" s="75">
        <f>('Instruction-4YR'!I23+'RESEARCH 4yr'!I23+'PUBLIC SERVICE 4yr'!I23+'ASptISptSSv 4yr'!I23+'PLANT OPER MAIN 4yr'!I23+'SCHOLAR FELLOW 4yr'!I23+'All Other 4yr'!I23)-I23</f>
        <v>0</v>
      </c>
      <c r="AL23" s="75">
        <f>('Instruction-4YR'!J23+'RESEARCH 4yr'!J23+'PUBLIC SERVICE 4yr'!J23+'ASptISptSSv 4yr'!J23+'PLANT OPER MAIN 4yr'!J23+'SCHOLAR FELLOW 4yr'!J23+'All Other 4yr'!J23)-J23</f>
        <v>0</v>
      </c>
      <c r="AM23" s="75">
        <f>('Instruction-4YR'!K23+'RESEARCH 4yr'!K23+'PUBLIC SERVICE 4yr'!K23+'ASptISptSSv 4yr'!K23+'PLANT OPER MAIN 4yr'!K23+'SCHOLAR FELLOW 4yr'!K23+'All Other 4yr'!K23)-K23</f>
        <v>0</v>
      </c>
      <c r="AN23" s="75">
        <f>('Instruction-4YR'!L23+'RESEARCH 4yr'!L23+'PUBLIC SERVICE 4yr'!L23+'ASptISptSSv 4yr'!L23+'PLANT OPER MAIN 4yr'!L23+'SCHOLAR FELLOW 4yr'!L23+'All Other 4yr'!L23)-L23</f>
        <v>0</v>
      </c>
      <c r="AO23" s="75">
        <f>('Instruction-4YR'!M23+'RESEARCH 4yr'!M23+'PUBLIC SERVICE 4yr'!M23+'ASptISptSSv 4yr'!M23+'PLANT OPER MAIN 4yr'!M23+'SCHOLAR FELLOW 4yr'!M23+'All Other 4yr'!M23)-M23</f>
        <v>0</v>
      </c>
      <c r="AP23" s="75">
        <f>('Instruction-4YR'!N23+'RESEARCH 4yr'!N23+'PUBLIC SERVICE 4yr'!N23+'ASptISptSSv 4yr'!N23+'PLANT OPER MAIN 4yr'!N23+'SCHOLAR FELLOW 4yr'!N23+'All Other 4yr'!N23)-N23</f>
        <v>0</v>
      </c>
      <c r="AQ23" s="75">
        <f>('Instruction-4YR'!O23+'RESEARCH 4yr'!O23+'PUBLIC SERVICE 4yr'!O23+'ASptISptSSv 4yr'!O23+'PLANT OPER MAIN 4yr'!O23+'SCHOLAR FELLOW 4yr'!O23+'All Other 4yr'!O23)-O23</f>
        <v>0</v>
      </c>
      <c r="AR23" s="75">
        <f>('Instruction-4YR'!P23+'RESEARCH 4yr'!P23+'PUBLIC SERVICE 4yr'!P23+'ASptISptSSv 4yr'!P23+'PLANT OPER MAIN 4yr'!P23+'SCHOLAR FELLOW 4yr'!P23+'All Other 4yr'!P23)-P23</f>
        <v>0</v>
      </c>
      <c r="AS23" s="75">
        <f>('Instruction-4YR'!Q23+'RESEARCH 4yr'!Q23+'PUBLIC SERVICE 4yr'!Q23+'ASptISptSSv 4yr'!Q23+'PLANT OPER MAIN 4yr'!Q23+'SCHOLAR FELLOW 4yr'!Q23+'All Other 4yr'!Q23)-Q23</f>
        <v>0</v>
      </c>
      <c r="AT23" s="75">
        <f>('Instruction-4YR'!R23+'RESEARCH 4yr'!R23+'PUBLIC SERVICE 4yr'!R23+'ASptISptSSv 4yr'!R23+'PLANT OPER MAIN 4yr'!R23+'SCHOLAR FELLOW 4yr'!R23+'All Other 4yr'!R23)-R23</f>
        <v>0</v>
      </c>
      <c r="AU23" s="75">
        <f>('Instruction-4YR'!S23+'RESEARCH 4yr'!S23+'PUBLIC SERVICE 4yr'!S23+'ASptISptSSv 4yr'!S23+'PLANT OPER MAIN 4yr'!S23+'SCHOLAR FELLOW 4yr'!S23+'All Other 4yr'!S23)-S23</f>
        <v>0</v>
      </c>
      <c r="AV23" s="75">
        <f>('Instruction-4YR'!T23+'RESEARCH 4yr'!T23+'PUBLIC SERVICE 4yr'!T23+'ASptISptSSv 4yr'!T23+'PLANT OPER MAIN 4yr'!T23+'SCHOLAR FELLOW 4yr'!T23+'All Other 4yr'!T23)-T23</f>
        <v>0</v>
      </c>
      <c r="AW23" s="75">
        <f>('Instruction-4YR'!U23+'RESEARCH 4yr'!U23+'PUBLIC SERVICE 4yr'!U23+'ASptISptSSv 4yr'!U23+'PLANT OPER MAIN 4yr'!U23+'SCHOLAR FELLOW 4yr'!U23+'All Other 4yr'!U23)-U23</f>
        <v>0</v>
      </c>
      <c r="AX23" s="75">
        <f>('Instruction-4YR'!V23+'RESEARCH 4yr'!V23+'PUBLIC SERVICE 4yr'!V23+'ASptISptSSv 4yr'!V23+'PLANT OPER MAIN 4yr'!V23+'SCHOLAR FELLOW 4yr'!V23+'All Other 4yr'!V23)-V23</f>
        <v>0</v>
      </c>
      <c r="AY23" s="75">
        <f>('Instruction-4YR'!W23+'RESEARCH 4yr'!W23+'PUBLIC SERVICE 4yr'!W23+'ASptISptSSv 4yr'!W23+'PLANT OPER MAIN 4yr'!W23+'SCHOLAR FELLOW 4yr'!W23+'All Other 4yr'!W23)-W23</f>
        <v>0</v>
      </c>
      <c r="AZ23" s="75">
        <f>('Instruction-4YR'!X23+'RESEARCH 4yr'!X23+'PUBLIC SERVICE 4yr'!X23+'ASptISptSSv 4yr'!X23+'PLANT OPER MAIN 4yr'!X23+'SCHOLAR FELLOW 4yr'!X23+'All Other 4yr'!X23)-X23</f>
        <v>0</v>
      </c>
      <c r="BA23" s="75">
        <f>('Instruction-4YR'!Y23+'RESEARCH 4yr'!Y23+'PUBLIC SERVICE 4yr'!Y23+'ASptISptSSv 4yr'!Y23+'PLANT OPER MAIN 4yr'!Y23+'SCHOLAR FELLOW 4yr'!Y23+'All Other 4yr'!Y23)-Y23</f>
        <v>0</v>
      </c>
      <c r="BB23" s="75">
        <f>('Instruction-4YR'!Z23+'RESEARCH 4yr'!Z23+'PUBLIC SERVICE 4yr'!Z23+'ASptISptSSv 4yr'!Z23+'PLANT OPER MAIN 4yr'!Z23+'SCHOLAR FELLOW 4yr'!Z23+'All Other 4yr'!Z23)-Z23</f>
        <v>0</v>
      </c>
      <c r="BC23" s="75">
        <f>('Instruction-4YR'!AA23+'RESEARCH 4yr'!AA23+'PUBLIC SERVICE 4yr'!AA23+'ASptISptSSv 4yr'!AA23+'PLANT OPER MAIN 4yr'!AA23+'SCHOLAR FELLOW 4yr'!AA23+'All Other 4yr'!AA23)-AA23</f>
        <v>0</v>
      </c>
      <c r="BD23" s="75">
        <f>('Instruction-4YR'!AB23+'RESEARCH 4yr'!AB23+'PUBLIC SERVICE 4yr'!AB23+'ASptISptSSv 4yr'!AB23+'PLANT OPER MAIN 4yr'!AB23+'SCHOLAR FELLOW 4yr'!AB23+'All Other 4yr'!AB23)-AB23</f>
        <v>0</v>
      </c>
      <c r="BE23" s="75">
        <f>('Instruction-4YR'!AC23+'RESEARCH 4yr'!AC23+'PUBLIC SERVICE 4yr'!AC23+'ASptISptSSv 4yr'!AC23+'PLANT OPER MAIN 4yr'!AC23+'SCHOLAR FELLOW 4yr'!AC23+'All Other 4yr'!AC23)-AC23</f>
        <v>0</v>
      </c>
    </row>
    <row r="24" spans="1:57">
      <c r="A24" s="24" t="s">
        <v>17</v>
      </c>
      <c r="B24" s="24">
        <v>282574</v>
      </c>
      <c r="C24" s="24">
        <v>286676</v>
      </c>
      <c r="D24" s="24">
        <v>306805</v>
      </c>
      <c r="E24" s="24">
        <v>464342.45400000003</v>
      </c>
      <c r="F24" s="45">
        <v>520017.59</v>
      </c>
      <c r="G24" s="24">
        <v>543887.47</v>
      </c>
      <c r="H24" s="24">
        <v>585218.299</v>
      </c>
      <c r="I24" s="24">
        <v>597389.37199999997</v>
      </c>
      <c r="J24" s="24">
        <v>633822.29700000002</v>
      </c>
      <c r="K24" s="24">
        <v>667232.34472000005</v>
      </c>
      <c r="L24" s="24">
        <v>761099.22199999995</v>
      </c>
      <c r="M24" s="24">
        <v>813345.80099999998</v>
      </c>
      <c r="N24" s="24">
        <v>919606.29399999999</v>
      </c>
      <c r="O24" s="24">
        <v>970150.38100000005</v>
      </c>
      <c r="P24" s="24">
        <v>993910.23199999996</v>
      </c>
      <c r="Q24" s="24">
        <v>1015114.411</v>
      </c>
      <c r="R24" s="24">
        <v>1119518.9990000001</v>
      </c>
      <c r="S24" s="24">
        <v>1162693.3740000001</v>
      </c>
      <c r="T24" s="24">
        <v>1250350.4990000001</v>
      </c>
      <c r="U24" s="24">
        <v>1301503.007</v>
      </c>
      <c r="V24" s="24">
        <v>1374908.371</v>
      </c>
      <c r="W24" s="24">
        <v>1464722.7609999999</v>
      </c>
      <c r="X24" s="24">
        <v>1531630.0730000001</v>
      </c>
      <c r="Y24" s="24">
        <v>1495459.0349999999</v>
      </c>
      <c r="Z24" s="24">
        <v>1506466.264</v>
      </c>
      <c r="AA24" s="24">
        <v>1566588.8929999999</v>
      </c>
      <c r="AB24" s="24">
        <v>1656262.541</v>
      </c>
      <c r="AC24" s="24">
        <v>1696935.763</v>
      </c>
      <c r="AD24" s="75">
        <f>('Instruction-4YR'!B24+'RESEARCH 4yr'!B24+'PUBLIC SERVICE 4yr'!B24+'ASptISptSSv 4yr'!B24+'PLANT OPER MAIN 4yr'!B24+'SCHOLAR FELLOW 4yr'!B24+'All Other 4yr'!B24)-B24</f>
        <v>0</v>
      </c>
      <c r="AE24" s="75">
        <f>('Instruction-4YR'!C24+'RESEARCH 4yr'!C24+'PUBLIC SERVICE 4yr'!C24+'ASptISptSSv 4yr'!C24+'PLANT OPER MAIN 4yr'!C24+'SCHOLAR FELLOW 4yr'!C24+'All Other 4yr'!C24)-C24</f>
        <v>0</v>
      </c>
      <c r="AF24" s="75">
        <f>('Instruction-4YR'!D24+'RESEARCH 4yr'!D24+'PUBLIC SERVICE 4yr'!D24+'ASptISptSSv 4yr'!D24+'PLANT OPER MAIN 4yr'!D24+'SCHOLAR FELLOW 4yr'!D24+'All Other 4yr'!D24)-D24</f>
        <v>0</v>
      </c>
      <c r="AG24" s="75">
        <f>('Instruction-4YR'!E24+'RESEARCH 4yr'!E24+'PUBLIC SERVICE 4yr'!E24+'ASptISptSSv 4yr'!E24+'PLANT OPER MAIN 4yr'!E24+'SCHOLAR FELLOW 4yr'!E24+'All Other 4yr'!E24)-E24</f>
        <v>0</v>
      </c>
      <c r="AH24" s="75">
        <f>('Instruction-4YR'!F24+'RESEARCH 4yr'!F24+'PUBLIC SERVICE 4yr'!F24+'ASptISptSSv 4yr'!F24+'PLANT OPER MAIN 4yr'!F24+'SCHOLAR FELLOW 4yr'!F24+'All Other 4yr'!F24)-F24</f>
        <v>0</v>
      </c>
      <c r="AI24" s="75">
        <f>('Instruction-4YR'!G24+'RESEARCH 4yr'!G24+'PUBLIC SERVICE 4yr'!G24+'ASptISptSSv 4yr'!G24+'PLANT OPER MAIN 4yr'!G24+'SCHOLAR FELLOW 4yr'!G24+'All Other 4yr'!G24)-G24</f>
        <v>0</v>
      </c>
      <c r="AJ24" s="75">
        <f>('Instruction-4YR'!H24+'RESEARCH 4yr'!H24+'PUBLIC SERVICE 4yr'!H24+'ASptISptSSv 4yr'!H24+'PLANT OPER MAIN 4yr'!H24+'SCHOLAR FELLOW 4yr'!H24+'All Other 4yr'!H24)-H24</f>
        <v>0</v>
      </c>
      <c r="AK24" s="75">
        <f>('Instruction-4YR'!I24+'RESEARCH 4yr'!I24+'PUBLIC SERVICE 4yr'!I24+'ASptISptSSv 4yr'!I24+'PLANT OPER MAIN 4yr'!I24+'SCHOLAR FELLOW 4yr'!I24+'All Other 4yr'!I24)-I24</f>
        <v>0</v>
      </c>
      <c r="AL24" s="75">
        <f>('Instruction-4YR'!J24+'RESEARCH 4yr'!J24+'PUBLIC SERVICE 4yr'!J24+'ASptISptSSv 4yr'!J24+'PLANT OPER MAIN 4yr'!J24+'SCHOLAR FELLOW 4yr'!J24+'All Other 4yr'!J24)-J24</f>
        <v>0</v>
      </c>
      <c r="AM24" s="75">
        <f>('Instruction-4YR'!K24+'RESEARCH 4yr'!K24+'PUBLIC SERVICE 4yr'!K24+'ASptISptSSv 4yr'!K24+'PLANT OPER MAIN 4yr'!K24+'SCHOLAR FELLOW 4yr'!K24+'All Other 4yr'!K24)-K24</f>
        <v>0</v>
      </c>
      <c r="AN24" s="75">
        <f>('Instruction-4YR'!L24+'RESEARCH 4yr'!L24+'PUBLIC SERVICE 4yr'!L24+'ASptISptSSv 4yr'!L24+'PLANT OPER MAIN 4yr'!L24+'SCHOLAR FELLOW 4yr'!L24+'All Other 4yr'!L24)-L24</f>
        <v>0</v>
      </c>
      <c r="AO24" s="75">
        <f>('Instruction-4YR'!M24+'RESEARCH 4yr'!M24+'PUBLIC SERVICE 4yr'!M24+'ASptISptSSv 4yr'!M24+'PLANT OPER MAIN 4yr'!M24+'SCHOLAR FELLOW 4yr'!M24+'All Other 4yr'!M24)-M24</f>
        <v>0</v>
      </c>
      <c r="AP24" s="75">
        <f>('Instruction-4YR'!N24+'RESEARCH 4yr'!N24+'PUBLIC SERVICE 4yr'!N24+'ASptISptSSv 4yr'!N24+'PLANT OPER MAIN 4yr'!N24+'SCHOLAR FELLOW 4yr'!N24+'All Other 4yr'!N24)-N24</f>
        <v>0</v>
      </c>
      <c r="AQ24" s="75">
        <f>('Instruction-4YR'!O24+'RESEARCH 4yr'!O24+'PUBLIC SERVICE 4yr'!O24+'ASptISptSSv 4yr'!O24+'PLANT OPER MAIN 4yr'!O24+'SCHOLAR FELLOW 4yr'!O24+'All Other 4yr'!O24)-O24</f>
        <v>0</v>
      </c>
      <c r="AR24" s="75">
        <f>('Instruction-4YR'!P24+'RESEARCH 4yr'!P24+'PUBLIC SERVICE 4yr'!P24+'ASptISptSSv 4yr'!P24+'PLANT OPER MAIN 4yr'!P24+'SCHOLAR FELLOW 4yr'!P24+'All Other 4yr'!P24)-P24</f>
        <v>0</v>
      </c>
      <c r="AS24" s="75">
        <f>('Instruction-4YR'!Q24+'RESEARCH 4yr'!Q24+'PUBLIC SERVICE 4yr'!Q24+'ASptISptSSv 4yr'!Q24+'PLANT OPER MAIN 4yr'!Q24+'SCHOLAR FELLOW 4yr'!Q24+'All Other 4yr'!Q24)-Q24</f>
        <v>0</v>
      </c>
      <c r="AT24" s="75">
        <f>('Instruction-4YR'!R24+'RESEARCH 4yr'!R24+'PUBLIC SERVICE 4yr'!R24+'ASptISptSSv 4yr'!R24+'PLANT OPER MAIN 4yr'!R24+'SCHOLAR FELLOW 4yr'!R24+'All Other 4yr'!R24)-R24</f>
        <v>0</v>
      </c>
      <c r="AU24" s="75">
        <f>('Instruction-4YR'!S24+'RESEARCH 4yr'!S24+'PUBLIC SERVICE 4yr'!S24+'ASptISptSSv 4yr'!S24+'PLANT OPER MAIN 4yr'!S24+'SCHOLAR FELLOW 4yr'!S24+'All Other 4yr'!S24)-S24</f>
        <v>0</v>
      </c>
      <c r="AV24" s="75">
        <f>('Instruction-4YR'!T24+'RESEARCH 4yr'!T24+'PUBLIC SERVICE 4yr'!T24+'ASptISptSSv 4yr'!T24+'PLANT OPER MAIN 4yr'!T24+'SCHOLAR FELLOW 4yr'!T24+'All Other 4yr'!T24)-T24</f>
        <v>0</v>
      </c>
      <c r="AW24" s="75">
        <f>('Instruction-4YR'!U24+'RESEARCH 4yr'!U24+'PUBLIC SERVICE 4yr'!U24+'ASptISptSSv 4yr'!U24+'PLANT OPER MAIN 4yr'!U24+'SCHOLAR FELLOW 4yr'!U24+'All Other 4yr'!U24)-U24</f>
        <v>0</v>
      </c>
      <c r="AX24" s="75">
        <f>('Instruction-4YR'!V24+'RESEARCH 4yr'!V24+'PUBLIC SERVICE 4yr'!V24+'ASptISptSSv 4yr'!V24+'PLANT OPER MAIN 4yr'!V24+'SCHOLAR FELLOW 4yr'!V24+'All Other 4yr'!V24)-V24</f>
        <v>0</v>
      </c>
      <c r="AY24" s="75">
        <f>('Instruction-4YR'!W24+'RESEARCH 4yr'!W24+'PUBLIC SERVICE 4yr'!W24+'ASptISptSSv 4yr'!W24+'PLANT OPER MAIN 4yr'!W24+'SCHOLAR FELLOW 4yr'!W24+'All Other 4yr'!W24)-W24</f>
        <v>0</v>
      </c>
      <c r="AZ24" s="75">
        <f>('Instruction-4YR'!X24+'RESEARCH 4yr'!X24+'PUBLIC SERVICE 4yr'!X24+'ASptISptSSv 4yr'!X24+'PLANT OPER MAIN 4yr'!X24+'SCHOLAR FELLOW 4yr'!X24+'All Other 4yr'!X24)-X24</f>
        <v>0</v>
      </c>
      <c r="BA24" s="75">
        <f>('Instruction-4YR'!Y24+'RESEARCH 4yr'!Y24+'PUBLIC SERVICE 4yr'!Y24+'ASptISptSSv 4yr'!Y24+'PLANT OPER MAIN 4yr'!Y24+'SCHOLAR FELLOW 4yr'!Y24+'All Other 4yr'!Y24)-Y24</f>
        <v>0</v>
      </c>
      <c r="BB24" s="75">
        <f>('Instruction-4YR'!Z24+'RESEARCH 4yr'!Z24+'PUBLIC SERVICE 4yr'!Z24+'ASptISptSSv 4yr'!Z24+'PLANT OPER MAIN 4yr'!Z24+'SCHOLAR FELLOW 4yr'!Z24+'All Other 4yr'!Z24)-Z24</f>
        <v>0</v>
      </c>
      <c r="BC24" s="75">
        <f>('Instruction-4YR'!AA24+'RESEARCH 4yr'!AA24+'PUBLIC SERVICE 4yr'!AA24+'ASptISptSSv 4yr'!AA24+'PLANT OPER MAIN 4yr'!AA24+'SCHOLAR FELLOW 4yr'!AA24+'All Other 4yr'!AA24)-AA24</f>
        <v>0</v>
      </c>
      <c r="BD24" s="75">
        <f>('Instruction-4YR'!AB24+'RESEARCH 4yr'!AB24+'PUBLIC SERVICE 4yr'!AB24+'ASptISptSSv 4yr'!AB24+'PLANT OPER MAIN 4yr'!AB24+'SCHOLAR FELLOW 4yr'!AB24+'All Other 4yr'!AB24)-AB24</f>
        <v>0</v>
      </c>
      <c r="BE24" s="75">
        <f>('Instruction-4YR'!AC24+'RESEARCH 4yr'!AC24+'PUBLIC SERVICE 4yr'!AC24+'ASptISptSSv 4yr'!AC24+'PLANT OPER MAIN 4yr'!AC24+'SCHOLAR FELLOW 4yr'!AC24+'All Other 4yr'!AC24)-AC24</f>
        <v>0</v>
      </c>
    </row>
    <row r="25" spans="1:57">
      <c r="A25" s="7" t="s">
        <v>120</v>
      </c>
      <c r="B25" s="48">
        <f>SUM(B27:B39)</f>
        <v>0</v>
      </c>
      <c r="C25" s="48">
        <f t="shared" ref="C25:Z25" si="11">SUM(C27:C39)</f>
        <v>0</v>
      </c>
      <c r="D25" s="48">
        <f t="shared" si="11"/>
        <v>0</v>
      </c>
      <c r="E25" s="48">
        <f t="shared" si="11"/>
        <v>0</v>
      </c>
      <c r="F25" s="48">
        <f t="shared" si="11"/>
        <v>14717272.106000002</v>
      </c>
      <c r="G25" s="48">
        <f t="shared" si="11"/>
        <v>0</v>
      </c>
      <c r="H25" s="48">
        <f t="shared" si="11"/>
        <v>0</v>
      </c>
      <c r="I25" s="48">
        <f t="shared" si="11"/>
        <v>16894434.700000003</v>
      </c>
      <c r="J25" s="48">
        <f t="shared" si="11"/>
        <v>0</v>
      </c>
      <c r="K25" s="48">
        <f t="shared" si="11"/>
        <v>19256476.607140005</v>
      </c>
      <c r="L25" s="48">
        <f t="shared" si="11"/>
        <v>23388456.199000005</v>
      </c>
      <c r="M25" s="48">
        <f t="shared" si="11"/>
        <v>25456269.580000002</v>
      </c>
      <c r="N25" s="48">
        <f t="shared" si="11"/>
        <v>27589098.608000007</v>
      </c>
      <c r="O25" s="48">
        <f t="shared" si="11"/>
        <v>29107116.313000001</v>
      </c>
      <c r="P25" s="48">
        <f t="shared" si="11"/>
        <v>30262961.221999999</v>
      </c>
      <c r="Q25" s="48">
        <f t="shared" si="11"/>
        <v>32528864.206999999</v>
      </c>
      <c r="R25" s="48">
        <f t="shared" si="11"/>
        <v>34288258.023999996</v>
      </c>
      <c r="S25" s="48">
        <f t="shared" si="11"/>
        <v>37197671.822999999</v>
      </c>
      <c r="T25" s="48">
        <f t="shared" si="11"/>
        <v>39448933.096000001</v>
      </c>
      <c r="U25" s="48">
        <f t="shared" si="11"/>
        <v>38370651.974999994</v>
      </c>
      <c r="V25" s="48">
        <f t="shared" si="11"/>
        <v>40871291.208000004</v>
      </c>
      <c r="W25" s="48">
        <f t="shared" si="11"/>
        <v>44140144.253999986</v>
      </c>
      <c r="X25" s="48">
        <f t="shared" si="11"/>
        <v>46618615.942000002</v>
      </c>
      <c r="Y25" s="48">
        <f t="shared" si="11"/>
        <v>48335723.839999996</v>
      </c>
      <c r="Z25" s="48">
        <f t="shared" si="11"/>
        <v>50874124.66799999</v>
      </c>
      <c r="AA25" s="48">
        <f>SUM(AA27:AA39)</f>
        <v>53311750.158</v>
      </c>
      <c r="AB25" s="48">
        <f>SUM(AB27:AB39)</f>
        <v>57844591.017000005</v>
      </c>
      <c r="AC25" s="48">
        <f>SUM(AC27:AC39)</f>
        <v>61364921.420999996</v>
      </c>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row>
    <row r="26" spans="1:57">
      <c r="A26" s="7" t="s">
        <v>119</v>
      </c>
      <c r="Y26" s="1">
        <v>0</v>
      </c>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row>
    <row r="27" spans="1:57">
      <c r="A27" s="1" t="s">
        <v>85</v>
      </c>
      <c r="F27" s="42">
        <v>266775.435</v>
      </c>
      <c r="I27" s="1">
        <v>303178.78399999999</v>
      </c>
      <c r="K27" s="1">
        <v>327986.967</v>
      </c>
      <c r="L27" s="1">
        <v>327213.01400000002</v>
      </c>
      <c r="M27" s="1">
        <v>364248.72600000002</v>
      </c>
      <c r="N27" s="1">
        <v>399747.79100000003</v>
      </c>
      <c r="O27" s="1">
        <v>476684.39600000001</v>
      </c>
      <c r="P27" s="1">
        <v>500492.413</v>
      </c>
      <c r="Q27" s="1">
        <v>547938.79700000002</v>
      </c>
      <c r="R27" s="1">
        <v>573270.44099999999</v>
      </c>
      <c r="S27" s="1">
        <v>605071.826</v>
      </c>
      <c r="T27" s="1">
        <v>640950.88899999997</v>
      </c>
      <c r="U27" s="1">
        <v>644093.36499999999</v>
      </c>
      <c r="V27" s="1">
        <v>674701.89500000002</v>
      </c>
      <c r="W27" s="1">
        <v>701274.40399999998</v>
      </c>
      <c r="X27" s="1">
        <v>723218.68599999999</v>
      </c>
      <c r="Y27" s="1">
        <v>731414.56499999994</v>
      </c>
      <c r="Z27" s="1">
        <v>746289.48899999994</v>
      </c>
      <c r="AA27" s="1">
        <v>744106.34</v>
      </c>
      <c r="AB27" s="1">
        <v>765251.98699999996</v>
      </c>
      <c r="AC27" s="1">
        <v>753104.63300000003</v>
      </c>
      <c r="AD27" s="75">
        <f>('Instruction-4YR'!B27+'RESEARCH 4yr'!B27+'PUBLIC SERVICE 4yr'!B27+'ASptISptSSv 4yr'!B27+'PLANT OPER MAIN 4yr'!B27+'SCHOLAR FELLOW 4yr'!B27+'All Other 4yr'!B27)-B27</f>
        <v>0</v>
      </c>
      <c r="AE27" s="75">
        <f>('Instruction-4YR'!C27+'RESEARCH 4yr'!C27+'PUBLIC SERVICE 4yr'!C27+'ASptISptSSv 4yr'!C27+'PLANT OPER MAIN 4yr'!C27+'SCHOLAR FELLOW 4yr'!C27+'All Other 4yr'!C27)-C27</f>
        <v>0</v>
      </c>
      <c r="AF27" s="75">
        <f>('Instruction-4YR'!D27+'RESEARCH 4yr'!D27+'PUBLIC SERVICE 4yr'!D27+'ASptISptSSv 4yr'!D27+'PLANT OPER MAIN 4yr'!D27+'SCHOLAR FELLOW 4yr'!D27+'All Other 4yr'!D27)-D27</f>
        <v>0</v>
      </c>
      <c r="AG27" s="75">
        <f>('Instruction-4YR'!E27+'RESEARCH 4yr'!E27+'PUBLIC SERVICE 4yr'!E27+'ASptISptSSv 4yr'!E27+'PLANT OPER MAIN 4yr'!E27+'SCHOLAR FELLOW 4yr'!E27+'All Other 4yr'!E27)-E27</f>
        <v>0</v>
      </c>
      <c r="AH27" s="75">
        <f>('Instruction-4YR'!F27+'RESEARCH 4yr'!F27+'PUBLIC SERVICE 4yr'!F27+'ASptISptSSv 4yr'!F27+'PLANT OPER MAIN 4yr'!F27+'SCHOLAR FELLOW 4yr'!F27+'All Other 4yr'!F27)-F27</f>
        <v>0</v>
      </c>
      <c r="AI27" s="75">
        <f>('Instruction-4YR'!G27+'RESEARCH 4yr'!G27+'PUBLIC SERVICE 4yr'!G27+'ASptISptSSv 4yr'!G27+'PLANT OPER MAIN 4yr'!G27+'SCHOLAR FELLOW 4yr'!G27+'All Other 4yr'!G27)-G27</f>
        <v>0</v>
      </c>
      <c r="AJ27" s="75">
        <f>('Instruction-4YR'!H27+'RESEARCH 4yr'!H27+'PUBLIC SERVICE 4yr'!H27+'ASptISptSSv 4yr'!H27+'PLANT OPER MAIN 4yr'!H27+'SCHOLAR FELLOW 4yr'!H27+'All Other 4yr'!H27)-H27</f>
        <v>0</v>
      </c>
      <c r="AK27" s="75">
        <f>('Instruction-4YR'!I27+'RESEARCH 4yr'!I27+'PUBLIC SERVICE 4yr'!I27+'ASptISptSSv 4yr'!I27+'PLANT OPER MAIN 4yr'!I27+'SCHOLAR FELLOW 4yr'!I27+'All Other 4yr'!I27)-I27</f>
        <v>0</v>
      </c>
      <c r="AL27" s="75">
        <f>('Instruction-4YR'!J27+'RESEARCH 4yr'!J27+'PUBLIC SERVICE 4yr'!J27+'ASptISptSSv 4yr'!J27+'PLANT OPER MAIN 4yr'!J27+'SCHOLAR FELLOW 4yr'!J27+'All Other 4yr'!J27)-J27</f>
        <v>0</v>
      </c>
      <c r="AM27" s="75">
        <f>('Instruction-4YR'!K27+'RESEARCH 4yr'!K27+'PUBLIC SERVICE 4yr'!K27+'ASptISptSSv 4yr'!K27+'PLANT OPER MAIN 4yr'!K27+'SCHOLAR FELLOW 4yr'!K27+'All Other 4yr'!K27)-K27</f>
        <v>0</v>
      </c>
      <c r="AN27" s="75">
        <f>('Instruction-4YR'!L27+'RESEARCH 4yr'!L27+'PUBLIC SERVICE 4yr'!L27+'ASptISptSSv 4yr'!L27+'PLANT OPER MAIN 4yr'!L27+'SCHOLAR FELLOW 4yr'!L27+'All Other 4yr'!L27)-L27</f>
        <v>0</v>
      </c>
      <c r="AO27" s="75">
        <f>('Instruction-4YR'!M27+'RESEARCH 4yr'!M27+'PUBLIC SERVICE 4yr'!M27+'ASptISptSSv 4yr'!M27+'PLANT OPER MAIN 4yr'!M27+'SCHOLAR FELLOW 4yr'!M27+'All Other 4yr'!M27)-M27</f>
        <v>0</v>
      </c>
      <c r="AP27" s="75">
        <f>('Instruction-4YR'!N27+'RESEARCH 4yr'!N27+'PUBLIC SERVICE 4yr'!N27+'ASptISptSSv 4yr'!N27+'PLANT OPER MAIN 4yr'!N27+'SCHOLAR FELLOW 4yr'!N27+'All Other 4yr'!N27)-N27</f>
        <v>0</v>
      </c>
      <c r="AQ27" s="75">
        <f>('Instruction-4YR'!O27+'RESEARCH 4yr'!O27+'PUBLIC SERVICE 4yr'!O27+'ASptISptSSv 4yr'!O27+'PLANT OPER MAIN 4yr'!O27+'SCHOLAR FELLOW 4yr'!O27+'All Other 4yr'!O27)-O27</f>
        <v>0</v>
      </c>
      <c r="AR27" s="75">
        <f>('Instruction-4YR'!P27+'RESEARCH 4yr'!P27+'PUBLIC SERVICE 4yr'!P27+'ASptISptSSv 4yr'!P27+'PLANT OPER MAIN 4yr'!P27+'SCHOLAR FELLOW 4yr'!P27+'All Other 4yr'!P27)-P27</f>
        <v>0</v>
      </c>
      <c r="AS27" s="75">
        <f>('Instruction-4YR'!Q27+'RESEARCH 4yr'!Q27+'PUBLIC SERVICE 4yr'!Q27+'ASptISptSSv 4yr'!Q27+'PLANT OPER MAIN 4yr'!Q27+'SCHOLAR FELLOW 4yr'!Q27+'All Other 4yr'!Q27)-Q27</f>
        <v>0</v>
      </c>
      <c r="AT27" s="75">
        <f>('Instruction-4YR'!R27+'RESEARCH 4yr'!R27+'PUBLIC SERVICE 4yr'!R27+'ASptISptSSv 4yr'!R27+'PLANT OPER MAIN 4yr'!R27+'SCHOLAR FELLOW 4yr'!R27+'All Other 4yr'!R27)-R27</f>
        <v>0</v>
      </c>
      <c r="AU27" s="75">
        <f>('Instruction-4YR'!S27+'RESEARCH 4yr'!S27+'PUBLIC SERVICE 4yr'!S27+'ASptISptSSv 4yr'!S27+'PLANT OPER MAIN 4yr'!S27+'SCHOLAR FELLOW 4yr'!S27+'All Other 4yr'!S27)-S27</f>
        <v>0</v>
      </c>
      <c r="AV27" s="75">
        <f>('Instruction-4YR'!T27+'RESEARCH 4yr'!T27+'PUBLIC SERVICE 4yr'!T27+'ASptISptSSv 4yr'!T27+'PLANT OPER MAIN 4yr'!T27+'SCHOLAR FELLOW 4yr'!T27+'All Other 4yr'!T27)-T27</f>
        <v>0</v>
      </c>
      <c r="AW27" s="75">
        <f>('Instruction-4YR'!U27+'RESEARCH 4yr'!U27+'PUBLIC SERVICE 4yr'!U27+'ASptISptSSv 4yr'!U27+'PLANT OPER MAIN 4yr'!U27+'SCHOLAR FELLOW 4yr'!U27+'All Other 4yr'!U27)-U27</f>
        <v>0</v>
      </c>
      <c r="AX27" s="75">
        <f>('Instruction-4YR'!V27+'RESEARCH 4yr'!V27+'PUBLIC SERVICE 4yr'!V27+'ASptISptSSv 4yr'!V27+'PLANT OPER MAIN 4yr'!V27+'SCHOLAR FELLOW 4yr'!V27+'All Other 4yr'!V27)-V27</f>
        <v>0</v>
      </c>
      <c r="AY27" s="75">
        <f>('Instruction-4YR'!W27+'RESEARCH 4yr'!W27+'PUBLIC SERVICE 4yr'!W27+'ASptISptSSv 4yr'!W27+'PLANT OPER MAIN 4yr'!W27+'SCHOLAR FELLOW 4yr'!W27+'All Other 4yr'!W27)-W27</f>
        <v>0</v>
      </c>
      <c r="AZ27" s="75">
        <f>('Instruction-4YR'!X27+'RESEARCH 4yr'!X27+'PUBLIC SERVICE 4yr'!X27+'ASptISptSSv 4yr'!X27+'PLANT OPER MAIN 4yr'!X27+'SCHOLAR FELLOW 4yr'!X27+'All Other 4yr'!X27)-X27</f>
        <v>0</v>
      </c>
      <c r="BA27" s="75">
        <f>('Instruction-4YR'!Y27+'RESEARCH 4yr'!Y27+'PUBLIC SERVICE 4yr'!Y27+'ASptISptSSv 4yr'!Y27+'PLANT OPER MAIN 4yr'!Y27+'SCHOLAR FELLOW 4yr'!Y27+'All Other 4yr'!Y27)-Y27</f>
        <v>0</v>
      </c>
      <c r="BB27" s="75">
        <f>('Instruction-4YR'!Z27+'RESEARCH 4yr'!Z27+'PUBLIC SERVICE 4yr'!Z27+'ASptISptSSv 4yr'!Z27+'PLANT OPER MAIN 4yr'!Z27+'SCHOLAR FELLOW 4yr'!Z27+'All Other 4yr'!Z27)-Z27</f>
        <v>0</v>
      </c>
      <c r="BC27" s="75">
        <f>('Instruction-4YR'!AA27+'RESEARCH 4yr'!AA27+'PUBLIC SERVICE 4yr'!AA27+'ASptISptSSv 4yr'!AA27+'PLANT OPER MAIN 4yr'!AA27+'SCHOLAR FELLOW 4yr'!AA27+'All Other 4yr'!AA27)-AA27</f>
        <v>0</v>
      </c>
      <c r="BD27" s="75">
        <f>('Instruction-4YR'!AB27+'RESEARCH 4yr'!AB27+'PUBLIC SERVICE 4yr'!AB27+'ASptISptSSv 4yr'!AB27+'PLANT OPER MAIN 4yr'!AB27+'SCHOLAR FELLOW 4yr'!AB27+'All Other 4yr'!AB27)-AB27</f>
        <v>0</v>
      </c>
      <c r="BE27" s="75">
        <f>('Instruction-4YR'!AC27+'RESEARCH 4yr'!AC27+'PUBLIC SERVICE 4yr'!AC27+'ASptISptSSv 4yr'!AC27+'PLANT OPER MAIN 4yr'!AC27+'SCHOLAR FELLOW 4yr'!AC27+'All Other 4yr'!AC27)-AC27</f>
        <v>0</v>
      </c>
    </row>
    <row r="28" spans="1:57">
      <c r="A28" s="1" t="s">
        <v>86</v>
      </c>
      <c r="F28" s="42">
        <v>1108802.2590000001</v>
      </c>
      <c r="I28" s="1">
        <v>1313292.8959999999</v>
      </c>
      <c r="K28" s="1">
        <v>1430500.65</v>
      </c>
      <c r="L28" s="1">
        <v>1713549.078</v>
      </c>
      <c r="M28" s="1">
        <v>1819211.8970000001</v>
      </c>
      <c r="N28" s="1">
        <v>1948858.1459999999</v>
      </c>
      <c r="O28" s="1">
        <v>2055839.9609999999</v>
      </c>
      <c r="P28" s="1">
        <v>2269211.4700000002</v>
      </c>
      <c r="Q28" s="1">
        <v>2460884.628</v>
      </c>
      <c r="R28" s="1">
        <v>2678298.855</v>
      </c>
      <c r="S28" s="1">
        <v>2898704.5290000001</v>
      </c>
      <c r="T28" s="1">
        <v>3183594.3169999998</v>
      </c>
      <c r="U28" s="1">
        <v>3248979.9029999999</v>
      </c>
      <c r="V28" s="1">
        <v>3292129.1839999999</v>
      </c>
      <c r="W28" s="1">
        <v>3521661.8450000002</v>
      </c>
      <c r="X28" s="1">
        <v>3697010.4010000001</v>
      </c>
      <c r="Y28" s="1">
        <v>3842086.1329999999</v>
      </c>
      <c r="Z28" s="1">
        <v>4092474.2250000001</v>
      </c>
      <c r="AA28" s="1">
        <v>4413044.2649999997</v>
      </c>
      <c r="AB28" s="1">
        <v>4814528.608</v>
      </c>
      <c r="AC28" s="1">
        <v>5067009.7779999999</v>
      </c>
      <c r="AD28" s="75">
        <f>('Instruction-4YR'!B28+'RESEARCH 4yr'!B28+'PUBLIC SERVICE 4yr'!B28+'ASptISptSSv 4yr'!B28+'PLANT OPER MAIN 4yr'!B28+'SCHOLAR FELLOW 4yr'!B28+'All Other 4yr'!B28)-B28</f>
        <v>0</v>
      </c>
      <c r="AE28" s="75">
        <f>('Instruction-4YR'!C28+'RESEARCH 4yr'!C28+'PUBLIC SERVICE 4yr'!C28+'ASptISptSSv 4yr'!C28+'PLANT OPER MAIN 4yr'!C28+'SCHOLAR FELLOW 4yr'!C28+'All Other 4yr'!C28)-C28</f>
        <v>0</v>
      </c>
      <c r="AF28" s="75">
        <f>('Instruction-4YR'!D28+'RESEARCH 4yr'!D28+'PUBLIC SERVICE 4yr'!D28+'ASptISptSSv 4yr'!D28+'PLANT OPER MAIN 4yr'!D28+'SCHOLAR FELLOW 4yr'!D28+'All Other 4yr'!D28)-D28</f>
        <v>0</v>
      </c>
      <c r="AG28" s="75">
        <f>('Instruction-4YR'!E28+'RESEARCH 4yr'!E28+'PUBLIC SERVICE 4yr'!E28+'ASptISptSSv 4yr'!E28+'PLANT OPER MAIN 4yr'!E28+'SCHOLAR FELLOW 4yr'!E28+'All Other 4yr'!E28)-E28</f>
        <v>0</v>
      </c>
      <c r="AH28" s="75">
        <f>('Instruction-4YR'!F28+'RESEARCH 4yr'!F28+'PUBLIC SERVICE 4yr'!F28+'ASptISptSSv 4yr'!F28+'PLANT OPER MAIN 4yr'!F28+'SCHOLAR FELLOW 4yr'!F28+'All Other 4yr'!F28)-F28</f>
        <v>0</v>
      </c>
      <c r="AI28" s="75">
        <f>('Instruction-4YR'!G28+'RESEARCH 4yr'!G28+'PUBLIC SERVICE 4yr'!G28+'ASptISptSSv 4yr'!G28+'PLANT OPER MAIN 4yr'!G28+'SCHOLAR FELLOW 4yr'!G28+'All Other 4yr'!G28)-G28</f>
        <v>0</v>
      </c>
      <c r="AJ28" s="75">
        <f>('Instruction-4YR'!H28+'RESEARCH 4yr'!H28+'PUBLIC SERVICE 4yr'!H28+'ASptISptSSv 4yr'!H28+'PLANT OPER MAIN 4yr'!H28+'SCHOLAR FELLOW 4yr'!H28+'All Other 4yr'!H28)-H28</f>
        <v>0</v>
      </c>
      <c r="AK28" s="75">
        <f>('Instruction-4YR'!I28+'RESEARCH 4yr'!I28+'PUBLIC SERVICE 4yr'!I28+'ASptISptSSv 4yr'!I28+'PLANT OPER MAIN 4yr'!I28+'SCHOLAR FELLOW 4yr'!I28+'All Other 4yr'!I28)-I28</f>
        <v>0</v>
      </c>
      <c r="AL28" s="75">
        <f>('Instruction-4YR'!J28+'RESEARCH 4yr'!J28+'PUBLIC SERVICE 4yr'!J28+'ASptISptSSv 4yr'!J28+'PLANT OPER MAIN 4yr'!J28+'SCHOLAR FELLOW 4yr'!J28+'All Other 4yr'!J28)-J28</f>
        <v>0</v>
      </c>
      <c r="AM28" s="75">
        <f>('Instruction-4YR'!K28+'RESEARCH 4yr'!K28+'PUBLIC SERVICE 4yr'!K28+'ASptISptSSv 4yr'!K28+'PLANT OPER MAIN 4yr'!K28+'SCHOLAR FELLOW 4yr'!K28+'All Other 4yr'!K28)-K28</f>
        <v>0</v>
      </c>
      <c r="AN28" s="75">
        <f>('Instruction-4YR'!L28+'RESEARCH 4yr'!L28+'PUBLIC SERVICE 4yr'!L28+'ASptISptSSv 4yr'!L28+'PLANT OPER MAIN 4yr'!L28+'SCHOLAR FELLOW 4yr'!L28+'All Other 4yr'!L28)-L28</f>
        <v>0</v>
      </c>
      <c r="AO28" s="75">
        <f>('Instruction-4YR'!M28+'RESEARCH 4yr'!M28+'PUBLIC SERVICE 4yr'!M28+'ASptISptSSv 4yr'!M28+'PLANT OPER MAIN 4yr'!M28+'SCHOLAR FELLOW 4yr'!M28+'All Other 4yr'!M28)-M28</f>
        <v>0</v>
      </c>
      <c r="AP28" s="75">
        <f>('Instruction-4YR'!N28+'RESEARCH 4yr'!N28+'PUBLIC SERVICE 4yr'!N28+'ASptISptSSv 4yr'!N28+'PLANT OPER MAIN 4yr'!N28+'SCHOLAR FELLOW 4yr'!N28+'All Other 4yr'!N28)-N28</f>
        <v>0</v>
      </c>
      <c r="AQ28" s="75">
        <f>('Instruction-4YR'!O28+'RESEARCH 4yr'!O28+'PUBLIC SERVICE 4yr'!O28+'ASptISptSSv 4yr'!O28+'PLANT OPER MAIN 4yr'!O28+'SCHOLAR FELLOW 4yr'!O28+'All Other 4yr'!O28)-O28</f>
        <v>0</v>
      </c>
      <c r="AR28" s="75">
        <f>('Instruction-4YR'!P28+'RESEARCH 4yr'!P28+'PUBLIC SERVICE 4yr'!P28+'ASptISptSSv 4yr'!P28+'PLANT OPER MAIN 4yr'!P28+'SCHOLAR FELLOW 4yr'!P28+'All Other 4yr'!P28)-P28</f>
        <v>0</v>
      </c>
      <c r="AS28" s="75">
        <f>('Instruction-4YR'!Q28+'RESEARCH 4yr'!Q28+'PUBLIC SERVICE 4yr'!Q28+'ASptISptSSv 4yr'!Q28+'PLANT OPER MAIN 4yr'!Q28+'SCHOLAR FELLOW 4yr'!Q28+'All Other 4yr'!Q28)-Q28</f>
        <v>0</v>
      </c>
      <c r="AT28" s="75">
        <f>('Instruction-4YR'!R28+'RESEARCH 4yr'!R28+'PUBLIC SERVICE 4yr'!R28+'ASptISptSSv 4yr'!R28+'PLANT OPER MAIN 4yr'!R28+'SCHOLAR FELLOW 4yr'!R28+'All Other 4yr'!R28)-R28</f>
        <v>0</v>
      </c>
      <c r="AU28" s="75">
        <f>('Instruction-4YR'!S28+'RESEARCH 4yr'!S28+'PUBLIC SERVICE 4yr'!S28+'ASptISptSSv 4yr'!S28+'PLANT OPER MAIN 4yr'!S28+'SCHOLAR FELLOW 4yr'!S28+'All Other 4yr'!S28)-S28</f>
        <v>0</v>
      </c>
      <c r="AV28" s="75">
        <f>('Instruction-4YR'!T28+'RESEARCH 4yr'!T28+'PUBLIC SERVICE 4yr'!T28+'ASptISptSSv 4yr'!T28+'PLANT OPER MAIN 4yr'!T28+'SCHOLAR FELLOW 4yr'!T28+'All Other 4yr'!T28)-T28</f>
        <v>0</v>
      </c>
      <c r="AW28" s="75">
        <f>('Instruction-4YR'!U28+'RESEARCH 4yr'!U28+'PUBLIC SERVICE 4yr'!U28+'ASptISptSSv 4yr'!U28+'PLANT OPER MAIN 4yr'!U28+'SCHOLAR FELLOW 4yr'!U28+'All Other 4yr'!U28)-U28</f>
        <v>0</v>
      </c>
      <c r="AX28" s="75">
        <f>('Instruction-4YR'!V28+'RESEARCH 4yr'!V28+'PUBLIC SERVICE 4yr'!V28+'ASptISptSSv 4yr'!V28+'PLANT OPER MAIN 4yr'!V28+'SCHOLAR FELLOW 4yr'!V28+'All Other 4yr'!V28)-V28</f>
        <v>0</v>
      </c>
      <c r="AY28" s="75">
        <f>('Instruction-4YR'!W28+'RESEARCH 4yr'!W28+'PUBLIC SERVICE 4yr'!W28+'ASptISptSSv 4yr'!W28+'PLANT OPER MAIN 4yr'!W28+'SCHOLAR FELLOW 4yr'!W28+'All Other 4yr'!W28)-W28</f>
        <v>0</v>
      </c>
      <c r="AZ28" s="75">
        <f>('Instruction-4YR'!X28+'RESEARCH 4yr'!X28+'PUBLIC SERVICE 4yr'!X28+'ASptISptSSv 4yr'!X28+'PLANT OPER MAIN 4yr'!X28+'SCHOLAR FELLOW 4yr'!X28+'All Other 4yr'!X28)-X28</f>
        <v>0</v>
      </c>
      <c r="BA28" s="75">
        <f>('Instruction-4YR'!Y28+'RESEARCH 4yr'!Y28+'PUBLIC SERVICE 4yr'!Y28+'ASptISptSSv 4yr'!Y28+'PLANT OPER MAIN 4yr'!Y28+'SCHOLAR FELLOW 4yr'!Y28+'All Other 4yr'!Y28)-Y28</f>
        <v>0</v>
      </c>
      <c r="BB28" s="75">
        <f>('Instruction-4YR'!Z28+'RESEARCH 4yr'!Z28+'PUBLIC SERVICE 4yr'!Z28+'ASptISptSSv 4yr'!Z28+'PLANT OPER MAIN 4yr'!Z28+'SCHOLAR FELLOW 4yr'!Z28+'All Other 4yr'!Z28)-Z28</f>
        <v>0</v>
      </c>
      <c r="BC28" s="75">
        <f>('Instruction-4YR'!AA28+'RESEARCH 4yr'!AA28+'PUBLIC SERVICE 4yr'!AA28+'ASptISptSSv 4yr'!AA28+'PLANT OPER MAIN 4yr'!AA28+'SCHOLAR FELLOW 4yr'!AA28+'All Other 4yr'!AA28)-AA28</f>
        <v>0</v>
      </c>
      <c r="BD28" s="75">
        <f>('Instruction-4YR'!AB28+'RESEARCH 4yr'!AB28+'PUBLIC SERVICE 4yr'!AB28+'ASptISptSSv 4yr'!AB28+'PLANT OPER MAIN 4yr'!AB28+'SCHOLAR FELLOW 4yr'!AB28+'All Other 4yr'!AB28)-AB28</f>
        <v>0</v>
      </c>
      <c r="BE28" s="75">
        <f>('Instruction-4YR'!AC28+'RESEARCH 4yr'!AC28+'PUBLIC SERVICE 4yr'!AC28+'ASptISptSSv 4yr'!AC28+'PLANT OPER MAIN 4yr'!AC28+'SCHOLAR FELLOW 4yr'!AC28+'All Other 4yr'!AC28)-AC28</f>
        <v>0</v>
      </c>
    </row>
    <row r="29" spans="1:57">
      <c r="A29" s="1" t="s">
        <v>87</v>
      </c>
      <c r="F29" s="42">
        <v>7063759.034</v>
      </c>
      <c r="I29" s="1">
        <v>7987212.7350000003</v>
      </c>
      <c r="K29" s="1">
        <v>9323512.807</v>
      </c>
      <c r="L29" s="1">
        <v>11595878.028999999</v>
      </c>
      <c r="M29" s="1">
        <v>12778434.366</v>
      </c>
      <c r="N29" s="1">
        <v>12984138.591</v>
      </c>
      <c r="O29" s="1">
        <v>13801257.778999999</v>
      </c>
      <c r="P29" s="1">
        <v>14590448.314999999</v>
      </c>
      <c r="Q29" s="1">
        <v>14974056.075999999</v>
      </c>
      <c r="R29" s="1">
        <v>15947716.208000001</v>
      </c>
      <c r="S29" s="1">
        <v>17505759.096999999</v>
      </c>
      <c r="T29" s="1">
        <v>18465479.567000002</v>
      </c>
      <c r="U29" s="1">
        <v>17590895.473999999</v>
      </c>
      <c r="V29" s="1">
        <v>19071145.603999998</v>
      </c>
      <c r="W29" s="1">
        <v>20865726.515999999</v>
      </c>
      <c r="X29" s="1">
        <v>22517740.782000002</v>
      </c>
      <c r="Y29" s="1">
        <v>23400619.138</v>
      </c>
      <c r="Z29" s="1">
        <v>24766717.804000001</v>
      </c>
      <c r="AA29" s="1">
        <v>26142586.717999998</v>
      </c>
      <c r="AB29" s="1">
        <v>28301098.782000002</v>
      </c>
      <c r="AC29" s="1">
        <v>30413696.157000002</v>
      </c>
      <c r="AD29" s="75">
        <f>('Instruction-4YR'!B29+'RESEARCH 4yr'!B29+'PUBLIC SERVICE 4yr'!B29+'ASptISptSSv 4yr'!B29+'PLANT OPER MAIN 4yr'!B29+'SCHOLAR FELLOW 4yr'!B29+'All Other 4yr'!B29)-B29</f>
        <v>0</v>
      </c>
      <c r="AE29" s="75">
        <f>('Instruction-4YR'!C29+'RESEARCH 4yr'!C29+'PUBLIC SERVICE 4yr'!C29+'ASptISptSSv 4yr'!C29+'PLANT OPER MAIN 4yr'!C29+'SCHOLAR FELLOW 4yr'!C29+'All Other 4yr'!C29)-C29</f>
        <v>0</v>
      </c>
      <c r="AF29" s="75">
        <f>('Instruction-4YR'!D29+'RESEARCH 4yr'!D29+'PUBLIC SERVICE 4yr'!D29+'ASptISptSSv 4yr'!D29+'PLANT OPER MAIN 4yr'!D29+'SCHOLAR FELLOW 4yr'!D29+'All Other 4yr'!D29)-D29</f>
        <v>0</v>
      </c>
      <c r="AG29" s="75">
        <f>('Instruction-4YR'!E29+'RESEARCH 4yr'!E29+'PUBLIC SERVICE 4yr'!E29+'ASptISptSSv 4yr'!E29+'PLANT OPER MAIN 4yr'!E29+'SCHOLAR FELLOW 4yr'!E29+'All Other 4yr'!E29)-E29</f>
        <v>0</v>
      </c>
      <c r="AH29" s="75">
        <f>('Instruction-4YR'!F29+'RESEARCH 4yr'!F29+'PUBLIC SERVICE 4yr'!F29+'ASptISptSSv 4yr'!F29+'PLANT OPER MAIN 4yr'!F29+'SCHOLAR FELLOW 4yr'!F29+'All Other 4yr'!F29)-F29</f>
        <v>0</v>
      </c>
      <c r="AI29" s="75">
        <f>('Instruction-4YR'!G29+'RESEARCH 4yr'!G29+'PUBLIC SERVICE 4yr'!G29+'ASptISptSSv 4yr'!G29+'PLANT OPER MAIN 4yr'!G29+'SCHOLAR FELLOW 4yr'!G29+'All Other 4yr'!G29)-G29</f>
        <v>0</v>
      </c>
      <c r="AJ29" s="75">
        <f>('Instruction-4YR'!H29+'RESEARCH 4yr'!H29+'PUBLIC SERVICE 4yr'!H29+'ASptISptSSv 4yr'!H29+'PLANT OPER MAIN 4yr'!H29+'SCHOLAR FELLOW 4yr'!H29+'All Other 4yr'!H29)-H29</f>
        <v>0</v>
      </c>
      <c r="AK29" s="75">
        <f>('Instruction-4YR'!I29+'RESEARCH 4yr'!I29+'PUBLIC SERVICE 4yr'!I29+'ASptISptSSv 4yr'!I29+'PLANT OPER MAIN 4yr'!I29+'SCHOLAR FELLOW 4yr'!I29+'All Other 4yr'!I29)-I29</f>
        <v>0</v>
      </c>
      <c r="AL29" s="75">
        <f>('Instruction-4YR'!J29+'RESEARCH 4yr'!J29+'PUBLIC SERVICE 4yr'!J29+'ASptISptSSv 4yr'!J29+'PLANT OPER MAIN 4yr'!J29+'SCHOLAR FELLOW 4yr'!J29+'All Other 4yr'!J29)-J29</f>
        <v>0</v>
      </c>
      <c r="AM29" s="75">
        <f>('Instruction-4YR'!K29+'RESEARCH 4yr'!K29+'PUBLIC SERVICE 4yr'!K29+'ASptISptSSv 4yr'!K29+'PLANT OPER MAIN 4yr'!K29+'SCHOLAR FELLOW 4yr'!K29+'All Other 4yr'!K29)-K29</f>
        <v>0</v>
      </c>
      <c r="AN29" s="75">
        <f>('Instruction-4YR'!L29+'RESEARCH 4yr'!L29+'PUBLIC SERVICE 4yr'!L29+'ASptISptSSv 4yr'!L29+'PLANT OPER MAIN 4yr'!L29+'SCHOLAR FELLOW 4yr'!L29+'All Other 4yr'!L29)-L29</f>
        <v>0</v>
      </c>
      <c r="AO29" s="75">
        <f>('Instruction-4YR'!M29+'RESEARCH 4yr'!M29+'PUBLIC SERVICE 4yr'!M29+'ASptISptSSv 4yr'!M29+'PLANT OPER MAIN 4yr'!M29+'SCHOLAR FELLOW 4yr'!M29+'All Other 4yr'!M29)-M29</f>
        <v>0</v>
      </c>
      <c r="AP29" s="75">
        <f>('Instruction-4YR'!N29+'RESEARCH 4yr'!N29+'PUBLIC SERVICE 4yr'!N29+'ASptISptSSv 4yr'!N29+'PLANT OPER MAIN 4yr'!N29+'SCHOLAR FELLOW 4yr'!N29+'All Other 4yr'!N29)-N29</f>
        <v>0</v>
      </c>
      <c r="AQ29" s="75">
        <f>('Instruction-4YR'!O29+'RESEARCH 4yr'!O29+'PUBLIC SERVICE 4yr'!O29+'ASptISptSSv 4yr'!O29+'PLANT OPER MAIN 4yr'!O29+'SCHOLAR FELLOW 4yr'!O29+'All Other 4yr'!O29)-O29</f>
        <v>0</v>
      </c>
      <c r="AR29" s="75">
        <f>('Instruction-4YR'!P29+'RESEARCH 4yr'!P29+'PUBLIC SERVICE 4yr'!P29+'ASptISptSSv 4yr'!P29+'PLANT OPER MAIN 4yr'!P29+'SCHOLAR FELLOW 4yr'!P29+'All Other 4yr'!P29)-P29</f>
        <v>0</v>
      </c>
      <c r="AS29" s="75">
        <f>('Instruction-4YR'!Q29+'RESEARCH 4yr'!Q29+'PUBLIC SERVICE 4yr'!Q29+'ASptISptSSv 4yr'!Q29+'PLANT OPER MAIN 4yr'!Q29+'SCHOLAR FELLOW 4yr'!Q29+'All Other 4yr'!Q29)-Q29</f>
        <v>0</v>
      </c>
      <c r="AT29" s="75">
        <f>('Instruction-4YR'!R29+'RESEARCH 4yr'!R29+'PUBLIC SERVICE 4yr'!R29+'ASptISptSSv 4yr'!R29+'PLANT OPER MAIN 4yr'!R29+'SCHOLAR FELLOW 4yr'!R29+'All Other 4yr'!R29)-R29</f>
        <v>0</v>
      </c>
      <c r="AU29" s="75">
        <f>('Instruction-4YR'!S29+'RESEARCH 4yr'!S29+'PUBLIC SERVICE 4yr'!S29+'ASptISptSSv 4yr'!S29+'PLANT OPER MAIN 4yr'!S29+'SCHOLAR FELLOW 4yr'!S29+'All Other 4yr'!S29)-S29</f>
        <v>0</v>
      </c>
      <c r="AV29" s="75">
        <f>('Instruction-4YR'!T29+'RESEARCH 4yr'!T29+'PUBLIC SERVICE 4yr'!T29+'ASptISptSSv 4yr'!T29+'PLANT OPER MAIN 4yr'!T29+'SCHOLAR FELLOW 4yr'!T29+'All Other 4yr'!T29)-T29</f>
        <v>0</v>
      </c>
      <c r="AW29" s="75">
        <f>('Instruction-4YR'!U29+'RESEARCH 4yr'!U29+'PUBLIC SERVICE 4yr'!U29+'ASptISptSSv 4yr'!U29+'PLANT OPER MAIN 4yr'!U29+'SCHOLAR FELLOW 4yr'!U29+'All Other 4yr'!U29)-U29</f>
        <v>0</v>
      </c>
      <c r="AX29" s="75">
        <f>('Instruction-4YR'!V29+'RESEARCH 4yr'!V29+'PUBLIC SERVICE 4yr'!V29+'ASptISptSSv 4yr'!V29+'PLANT OPER MAIN 4yr'!V29+'SCHOLAR FELLOW 4yr'!V29+'All Other 4yr'!V29)-V29</f>
        <v>0</v>
      </c>
      <c r="AY29" s="75">
        <f>('Instruction-4YR'!W29+'RESEARCH 4yr'!W29+'PUBLIC SERVICE 4yr'!W29+'ASptISptSSv 4yr'!W29+'PLANT OPER MAIN 4yr'!W29+'SCHOLAR FELLOW 4yr'!W29+'All Other 4yr'!W29)-W29</f>
        <v>0</v>
      </c>
      <c r="AZ29" s="75">
        <f>('Instruction-4YR'!X29+'RESEARCH 4yr'!X29+'PUBLIC SERVICE 4yr'!X29+'ASptISptSSv 4yr'!X29+'PLANT OPER MAIN 4yr'!X29+'SCHOLAR FELLOW 4yr'!X29+'All Other 4yr'!X29)-X29</f>
        <v>0</v>
      </c>
      <c r="BA29" s="75">
        <f>('Instruction-4YR'!Y29+'RESEARCH 4yr'!Y29+'PUBLIC SERVICE 4yr'!Y29+'ASptISptSSv 4yr'!Y29+'PLANT OPER MAIN 4yr'!Y29+'SCHOLAR FELLOW 4yr'!Y29+'All Other 4yr'!Y29)-Y29</f>
        <v>0</v>
      </c>
      <c r="BB29" s="75">
        <f>('Instruction-4YR'!Z29+'RESEARCH 4yr'!Z29+'PUBLIC SERVICE 4yr'!Z29+'ASptISptSSv 4yr'!Z29+'PLANT OPER MAIN 4yr'!Z29+'SCHOLAR FELLOW 4yr'!Z29+'All Other 4yr'!Z29)-Z29</f>
        <v>0</v>
      </c>
      <c r="BC29" s="75">
        <f>('Instruction-4YR'!AA29+'RESEARCH 4yr'!AA29+'PUBLIC SERVICE 4yr'!AA29+'ASptISptSSv 4yr'!AA29+'PLANT OPER MAIN 4yr'!AA29+'SCHOLAR FELLOW 4yr'!AA29+'All Other 4yr'!AA29)-AA29</f>
        <v>0</v>
      </c>
      <c r="BD29" s="75">
        <f>('Instruction-4YR'!AB29+'RESEARCH 4yr'!AB29+'PUBLIC SERVICE 4yr'!AB29+'ASptISptSSv 4yr'!AB29+'PLANT OPER MAIN 4yr'!AB29+'SCHOLAR FELLOW 4yr'!AB29+'All Other 4yr'!AB29)-AB29</f>
        <v>0</v>
      </c>
      <c r="BE29" s="75">
        <f>('Instruction-4YR'!AC29+'RESEARCH 4yr'!AC29+'PUBLIC SERVICE 4yr'!AC29+'ASptISptSSv 4yr'!AC29+'PLANT OPER MAIN 4yr'!AC29+'SCHOLAR FELLOW 4yr'!AC29+'All Other 4yr'!AC29)-AC29</f>
        <v>0</v>
      </c>
    </row>
    <row r="30" spans="1:57">
      <c r="A30" s="1" t="s">
        <v>88</v>
      </c>
      <c r="F30" s="42">
        <v>1261223.844</v>
      </c>
      <c r="I30" s="1">
        <v>1428647.0630000001</v>
      </c>
      <c r="K30" s="1">
        <v>1580090.0767399999</v>
      </c>
      <c r="L30" s="1">
        <v>1903160.2749999999</v>
      </c>
      <c r="M30" s="1">
        <v>2064215.2779999999</v>
      </c>
      <c r="N30" s="1">
        <v>2245914.9049999998</v>
      </c>
      <c r="O30" s="1">
        <v>2313930.1880000001</v>
      </c>
      <c r="P30" s="1">
        <v>1888147.04</v>
      </c>
      <c r="Q30" s="1">
        <v>2910416.523</v>
      </c>
      <c r="R30" s="1">
        <v>2644288.719</v>
      </c>
      <c r="S30" s="1">
        <v>2802046.9840000002</v>
      </c>
      <c r="T30" s="1">
        <v>3021789.273</v>
      </c>
      <c r="U30" s="1">
        <v>3130807.3489999999</v>
      </c>
      <c r="V30" s="1">
        <v>3368292.4029999999</v>
      </c>
      <c r="W30" s="1">
        <v>3611207.372</v>
      </c>
      <c r="X30" s="1">
        <v>3804052.605</v>
      </c>
      <c r="Y30" s="1">
        <v>3892832.6370000001</v>
      </c>
      <c r="Z30" s="1">
        <v>4128779.0729999999</v>
      </c>
      <c r="AA30" s="1">
        <v>4425877.7860000003</v>
      </c>
      <c r="AB30" s="1">
        <v>4858158.091</v>
      </c>
      <c r="AC30" s="1">
        <v>5566912.6299999999</v>
      </c>
      <c r="AD30" s="75">
        <f>('Instruction-4YR'!B30+'RESEARCH 4yr'!B30+'PUBLIC SERVICE 4yr'!B30+'ASptISptSSv 4yr'!B30+'PLANT OPER MAIN 4yr'!B30+'SCHOLAR FELLOW 4yr'!B30+'All Other 4yr'!B30)-B30</f>
        <v>0</v>
      </c>
      <c r="AE30" s="75">
        <f>('Instruction-4YR'!C30+'RESEARCH 4yr'!C30+'PUBLIC SERVICE 4yr'!C30+'ASptISptSSv 4yr'!C30+'PLANT OPER MAIN 4yr'!C30+'SCHOLAR FELLOW 4yr'!C30+'All Other 4yr'!C30)-C30</f>
        <v>0</v>
      </c>
      <c r="AF30" s="75">
        <f>('Instruction-4YR'!D30+'RESEARCH 4yr'!D30+'PUBLIC SERVICE 4yr'!D30+'ASptISptSSv 4yr'!D30+'PLANT OPER MAIN 4yr'!D30+'SCHOLAR FELLOW 4yr'!D30+'All Other 4yr'!D30)-D30</f>
        <v>0</v>
      </c>
      <c r="AG30" s="75">
        <f>('Instruction-4YR'!E30+'RESEARCH 4yr'!E30+'PUBLIC SERVICE 4yr'!E30+'ASptISptSSv 4yr'!E30+'PLANT OPER MAIN 4yr'!E30+'SCHOLAR FELLOW 4yr'!E30+'All Other 4yr'!E30)-E30</f>
        <v>0</v>
      </c>
      <c r="AH30" s="75">
        <f>('Instruction-4YR'!F30+'RESEARCH 4yr'!F30+'PUBLIC SERVICE 4yr'!F30+'ASptISptSSv 4yr'!F30+'PLANT OPER MAIN 4yr'!F30+'SCHOLAR FELLOW 4yr'!F30+'All Other 4yr'!F30)-F30</f>
        <v>0</v>
      </c>
      <c r="AI30" s="75">
        <f>('Instruction-4YR'!G30+'RESEARCH 4yr'!G30+'PUBLIC SERVICE 4yr'!G30+'ASptISptSSv 4yr'!G30+'PLANT OPER MAIN 4yr'!G30+'SCHOLAR FELLOW 4yr'!G30+'All Other 4yr'!G30)-G30</f>
        <v>0</v>
      </c>
      <c r="AJ30" s="75">
        <f>('Instruction-4YR'!H30+'RESEARCH 4yr'!H30+'PUBLIC SERVICE 4yr'!H30+'ASptISptSSv 4yr'!H30+'PLANT OPER MAIN 4yr'!H30+'SCHOLAR FELLOW 4yr'!H30+'All Other 4yr'!H30)-H30</f>
        <v>0</v>
      </c>
      <c r="AK30" s="75">
        <f>('Instruction-4YR'!I30+'RESEARCH 4yr'!I30+'PUBLIC SERVICE 4yr'!I30+'ASptISptSSv 4yr'!I30+'PLANT OPER MAIN 4yr'!I30+'SCHOLAR FELLOW 4yr'!I30+'All Other 4yr'!I30)-I30</f>
        <v>0</v>
      </c>
      <c r="AL30" s="75">
        <f>('Instruction-4YR'!J30+'RESEARCH 4yr'!J30+'PUBLIC SERVICE 4yr'!J30+'ASptISptSSv 4yr'!J30+'PLANT OPER MAIN 4yr'!J30+'SCHOLAR FELLOW 4yr'!J30+'All Other 4yr'!J30)-J30</f>
        <v>0</v>
      </c>
      <c r="AM30" s="75">
        <f>('Instruction-4YR'!K30+'RESEARCH 4yr'!K30+'PUBLIC SERVICE 4yr'!K30+'ASptISptSSv 4yr'!K30+'PLANT OPER MAIN 4yr'!K30+'SCHOLAR FELLOW 4yr'!K30+'All Other 4yr'!K30)-K30</f>
        <v>0</v>
      </c>
      <c r="AN30" s="75">
        <f>('Instruction-4YR'!L30+'RESEARCH 4yr'!L30+'PUBLIC SERVICE 4yr'!L30+'ASptISptSSv 4yr'!L30+'PLANT OPER MAIN 4yr'!L30+'SCHOLAR FELLOW 4yr'!L30+'All Other 4yr'!L30)-L30</f>
        <v>0</v>
      </c>
      <c r="AO30" s="75">
        <f>('Instruction-4YR'!M30+'RESEARCH 4yr'!M30+'PUBLIC SERVICE 4yr'!M30+'ASptISptSSv 4yr'!M30+'PLANT OPER MAIN 4yr'!M30+'SCHOLAR FELLOW 4yr'!M30+'All Other 4yr'!M30)-M30</f>
        <v>0</v>
      </c>
      <c r="AP30" s="75">
        <f>('Instruction-4YR'!N30+'RESEARCH 4yr'!N30+'PUBLIC SERVICE 4yr'!N30+'ASptISptSSv 4yr'!N30+'PLANT OPER MAIN 4yr'!N30+'SCHOLAR FELLOW 4yr'!N30+'All Other 4yr'!N30)-N30</f>
        <v>0</v>
      </c>
      <c r="AQ30" s="75">
        <f>('Instruction-4YR'!O30+'RESEARCH 4yr'!O30+'PUBLIC SERVICE 4yr'!O30+'ASptISptSSv 4yr'!O30+'PLANT OPER MAIN 4yr'!O30+'SCHOLAR FELLOW 4yr'!O30+'All Other 4yr'!O30)-O30</f>
        <v>0</v>
      </c>
      <c r="AR30" s="75">
        <f>('Instruction-4YR'!P30+'RESEARCH 4yr'!P30+'PUBLIC SERVICE 4yr'!P30+'ASptISptSSv 4yr'!P30+'PLANT OPER MAIN 4yr'!P30+'SCHOLAR FELLOW 4yr'!P30+'All Other 4yr'!P30)-P30</f>
        <v>0</v>
      </c>
      <c r="AS30" s="75">
        <f>('Instruction-4YR'!Q30+'RESEARCH 4yr'!Q30+'PUBLIC SERVICE 4yr'!Q30+'ASptISptSSv 4yr'!Q30+'PLANT OPER MAIN 4yr'!Q30+'SCHOLAR FELLOW 4yr'!Q30+'All Other 4yr'!Q30)-Q30</f>
        <v>0</v>
      </c>
      <c r="AT30" s="75">
        <f>('Instruction-4YR'!R30+'RESEARCH 4yr'!R30+'PUBLIC SERVICE 4yr'!R30+'ASptISptSSv 4yr'!R30+'PLANT OPER MAIN 4yr'!R30+'SCHOLAR FELLOW 4yr'!R30+'All Other 4yr'!R30)-R30</f>
        <v>0</v>
      </c>
      <c r="AU30" s="75">
        <f>('Instruction-4YR'!S30+'RESEARCH 4yr'!S30+'PUBLIC SERVICE 4yr'!S30+'ASptISptSSv 4yr'!S30+'PLANT OPER MAIN 4yr'!S30+'SCHOLAR FELLOW 4yr'!S30+'All Other 4yr'!S30)-S30</f>
        <v>0</v>
      </c>
      <c r="AV30" s="75">
        <f>('Instruction-4YR'!T30+'RESEARCH 4yr'!T30+'PUBLIC SERVICE 4yr'!T30+'ASptISptSSv 4yr'!T30+'PLANT OPER MAIN 4yr'!T30+'SCHOLAR FELLOW 4yr'!T30+'All Other 4yr'!T30)-T30</f>
        <v>0</v>
      </c>
      <c r="AW30" s="75">
        <f>('Instruction-4YR'!U30+'RESEARCH 4yr'!U30+'PUBLIC SERVICE 4yr'!U30+'ASptISptSSv 4yr'!U30+'PLANT OPER MAIN 4yr'!U30+'SCHOLAR FELLOW 4yr'!U30+'All Other 4yr'!U30)-U30</f>
        <v>0</v>
      </c>
      <c r="AX30" s="75">
        <f>('Instruction-4YR'!V30+'RESEARCH 4yr'!V30+'PUBLIC SERVICE 4yr'!V30+'ASptISptSSv 4yr'!V30+'PLANT OPER MAIN 4yr'!V30+'SCHOLAR FELLOW 4yr'!V30+'All Other 4yr'!V30)-V30</f>
        <v>0</v>
      </c>
      <c r="AY30" s="75">
        <f>('Instruction-4YR'!W30+'RESEARCH 4yr'!W30+'PUBLIC SERVICE 4yr'!W30+'ASptISptSSv 4yr'!W30+'PLANT OPER MAIN 4yr'!W30+'SCHOLAR FELLOW 4yr'!W30+'All Other 4yr'!W30)-W30</f>
        <v>0</v>
      </c>
      <c r="AZ30" s="75">
        <f>('Instruction-4YR'!X30+'RESEARCH 4yr'!X30+'PUBLIC SERVICE 4yr'!X30+'ASptISptSSv 4yr'!X30+'PLANT OPER MAIN 4yr'!X30+'SCHOLAR FELLOW 4yr'!X30+'All Other 4yr'!X30)-X30</f>
        <v>0</v>
      </c>
      <c r="BA30" s="75">
        <f>('Instruction-4YR'!Y30+'RESEARCH 4yr'!Y30+'PUBLIC SERVICE 4yr'!Y30+'ASptISptSSv 4yr'!Y30+'PLANT OPER MAIN 4yr'!Y30+'SCHOLAR FELLOW 4yr'!Y30+'All Other 4yr'!Y30)-Y30</f>
        <v>0</v>
      </c>
      <c r="BB30" s="75">
        <f>('Instruction-4YR'!Z30+'RESEARCH 4yr'!Z30+'PUBLIC SERVICE 4yr'!Z30+'ASptISptSSv 4yr'!Z30+'PLANT OPER MAIN 4yr'!Z30+'SCHOLAR FELLOW 4yr'!Z30+'All Other 4yr'!Z30)-Z30</f>
        <v>0</v>
      </c>
      <c r="BC30" s="75">
        <f>('Instruction-4YR'!AA30+'RESEARCH 4yr'!AA30+'PUBLIC SERVICE 4yr'!AA30+'ASptISptSSv 4yr'!AA30+'PLANT OPER MAIN 4yr'!AA30+'SCHOLAR FELLOW 4yr'!AA30+'All Other 4yr'!AA30)-AA30</f>
        <v>0</v>
      </c>
      <c r="BD30" s="75">
        <f>('Instruction-4YR'!AB30+'RESEARCH 4yr'!AB30+'PUBLIC SERVICE 4yr'!AB30+'ASptISptSSv 4yr'!AB30+'PLANT OPER MAIN 4yr'!AB30+'SCHOLAR FELLOW 4yr'!AB30+'All Other 4yr'!AB30)-AB30</f>
        <v>0</v>
      </c>
      <c r="BE30" s="75">
        <f>('Instruction-4YR'!AC30+'RESEARCH 4yr'!AC30+'PUBLIC SERVICE 4yr'!AC30+'ASptISptSSv 4yr'!AC30+'PLANT OPER MAIN 4yr'!AC30+'SCHOLAR FELLOW 4yr'!AC30+'All Other 4yr'!AC30)-AC30</f>
        <v>0</v>
      </c>
    </row>
    <row r="31" spans="1:57">
      <c r="A31" s="1" t="s">
        <v>91</v>
      </c>
      <c r="F31" s="42">
        <v>404487.81099999999</v>
      </c>
      <c r="I31" s="1">
        <v>447897.12800000003</v>
      </c>
      <c r="K31" s="1">
        <v>471961.50699999998</v>
      </c>
      <c r="L31" s="1">
        <v>473283.22700000001</v>
      </c>
      <c r="M31" s="1">
        <v>483242.49400000001</v>
      </c>
      <c r="N31" s="1">
        <v>635825.11300000001</v>
      </c>
      <c r="O31" s="1">
        <v>649420.05099999998</v>
      </c>
      <c r="P31" s="1">
        <v>701971.14</v>
      </c>
      <c r="Q31" s="1">
        <v>737030.08299999998</v>
      </c>
      <c r="R31" s="1">
        <v>805184.44299999997</v>
      </c>
      <c r="S31" s="1">
        <v>859195.29200000002</v>
      </c>
      <c r="T31" s="1">
        <v>944279.66700000002</v>
      </c>
      <c r="U31" s="1">
        <v>991524.08700000006</v>
      </c>
      <c r="V31" s="1">
        <v>918439.90500000003</v>
      </c>
      <c r="W31" s="1">
        <v>989277.00399999996</v>
      </c>
      <c r="X31" s="1">
        <v>1076766.7080000001</v>
      </c>
      <c r="Y31" s="1">
        <v>1123513.057</v>
      </c>
      <c r="Z31" s="1">
        <v>1168745.1669999999</v>
      </c>
      <c r="AA31" s="1">
        <v>1141999.4210000001</v>
      </c>
      <c r="AB31" s="1">
        <v>1187387.335</v>
      </c>
      <c r="AC31" s="1">
        <v>1184047.9990000001</v>
      </c>
      <c r="AD31" s="75">
        <f>('Instruction-4YR'!B31+'RESEARCH 4yr'!B31+'PUBLIC SERVICE 4yr'!B31+'ASptISptSSv 4yr'!B31+'PLANT OPER MAIN 4yr'!B31+'SCHOLAR FELLOW 4yr'!B31+'All Other 4yr'!B31)-B31</f>
        <v>0</v>
      </c>
      <c r="AE31" s="75">
        <f>('Instruction-4YR'!C31+'RESEARCH 4yr'!C31+'PUBLIC SERVICE 4yr'!C31+'ASptISptSSv 4yr'!C31+'PLANT OPER MAIN 4yr'!C31+'SCHOLAR FELLOW 4yr'!C31+'All Other 4yr'!C31)-C31</f>
        <v>0</v>
      </c>
      <c r="AF31" s="75">
        <f>('Instruction-4YR'!D31+'RESEARCH 4yr'!D31+'PUBLIC SERVICE 4yr'!D31+'ASptISptSSv 4yr'!D31+'PLANT OPER MAIN 4yr'!D31+'SCHOLAR FELLOW 4yr'!D31+'All Other 4yr'!D31)-D31</f>
        <v>0</v>
      </c>
      <c r="AG31" s="75">
        <f>('Instruction-4YR'!E31+'RESEARCH 4yr'!E31+'PUBLIC SERVICE 4yr'!E31+'ASptISptSSv 4yr'!E31+'PLANT OPER MAIN 4yr'!E31+'SCHOLAR FELLOW 4yr'!E31+'All Other 4yr'!E31)-E31</f>
        <v>0</v>
      </c>
      <c r="AH31" s="75">
        <f>('Instruction-4YR'!F31+'RESEARCH 4yr'!F31+'PUBLIC SERVICE 4yr'!F31+'ASptISptSSv 4yr'!F31+'PLANT OPER MAIN 4yr'!F31+'SCHOLAR FELLOW 4yr'!F31+'All Other 4yr'!F31)-F31</f>
        <v>0</v>
      </c>
      <c r="AI31" s="75">
        <f>('Instruction-4YR'!G31+'RESEARCH 4yr'!G31+'PUBLIC SERVICE 4yr'!G31+'ASptISptSSv 4yr'!G31+'PLANT OPER MAIN 4yr'!G31+'SCHOLAR FELLOW 4yr'!G31+'All Other 4yr'!G31)-G31</f>
        <v>0</v>
      </c>
      <c r="AJ31" s="75">
        <f>('Instruction-4YR'!H31+'RESEARCH 4yr'!H31+'PUBLIC SERVICE 4yr'!H31+'ASptISptSSv 4yr'!H31+'PLANT OPER MAIN 4yr'!H31+'SCHOLAR FELLOW 4yr'!H31+'All Other 4yr'!H31)-H31</f>
        <v>0</v>
      </c>
      <c r="AK31" s="75">
        <f>('Instruction-4YR'!I31+'RESEARCH 4yr'!I31+'PUBLIC SERVICE 4yr'!I31+'ASptISptSSv 4yr'!I31+'PLANT OPER MAIN 4yr'!I31+'SCHOLAR FELLOW 4yr'!I31+'All Other 4yr'!I31)-I31</f>
        <v>0</v>
      </c>
      <c r="AL31" s="75">
        <f>('Instruction-4YR'!J31+'RESEARCH 4yr'!J31+'PUBLIC SERVICE 4yr'!J31+'ASptISptSSv 4yr'!J31+'PLANT OPER MAIN 4yr'!J31+'SCHOLAR FELLOW 4yr'!J31+'All Other 4yr'!J31)-J31</f>
        <v>0</v>
      </c>
      <c r="AM31" s="75">
        <f>('Instruction-4YR'!K31+'RESEARCH 4yr'!K31+'PUBLIC SERVICE 4yr'!K31+'ASptISptSSv 4yr'!K31+'PLANT OPER MAIN 4yr'!K31+'SCHOLAR FELLOW 4yr'!K31+'All Other 4yr'!K31)-K31</f>
        <v>0</v>
      </c>
      <c r="AN31" s="75">
        <f>('Instruction-4YR'!L31+'RESEARCH 4yr'!L31+'PUBLIC SERVICE 4yr'!L31+'ASptISptSSv 4yr'!L31+'PLANT OPER MAIN 4yr'!L31+'SCHOLAR FELLOW 4yr'!L31+'All Other 4yr'!L31)-L31</f>
        <v>0</v>
      </c>
      <c r="AO31" s="75">
        <f>('Instruction-4YR'!M31+'RESEARCH 4yr'!M31+'PUBLIC SERVICE 4yr'!M31+'ASptISptSSv 4yr'!M31+'PLANT OPER MAIN 4yr'!M31+'SCHOLAR FELLOW 4yr'!M31+'All Other 4yr'!M31)-M31</f>
        <v>0</v>
      </c>
      <c r="AP31" s="75">
        <f>('Instruction-4YR'!N31+'RESEARCH 4yr'!N31+'PUBLIC SERVICE 4yr'!N31+'ASptISptSSv 4yr'!N31+'PLANT OPER MAIN 4yr'!N31+'SCHOLAR FELLOW 4yr'!N31+'All Other 4yr'!N31)-N31</f>
        <v>0</v>
      </c>
      <c r="AQ31" s="75">
        <f>('Instruction-4YR'!O31+'RESEARCH 4yr'!O31+'PUBLIC SERVICE 4yr'!O31+'ASptISptSSv 4yr'!O31+'PLANT OPER MAIN 4yr'!O31+'SCHOLAR FELLOW 4yr'!O31+'All Other 4yr'!O31)-O31</f>
        <v>0</v>
      </c>
      <c r="AR31" s="75">
        <f>('Instruction-4YR'!P31+'RESEARCH 4yr'!P31+'PUBLIC SERVICE 4yr'!P31+'ASptISptSSv 4yr'!P31+'PLANT OPER MAIN 4yr'!P31+'SCHOLAR FELLOW 4yr'!P31+'All Other 4yr'!P31)-P31</f>
        <v>0</v>
      </c>
      <c r="AS31" s="75">
        <f>('Instruction-4YR'!Q31+'RESEARCH 4yr'!Q31+'PUBLIC SERVICE 4yr'!Q31+'ASptISptSSv 4yr'!Q31+'PLANT OPER MAIN 4yr'!Q31+'SCHOLAR FELLOW 4yr'!Q31+'All Other 4yr'!Q31)-Q31</f>
        <v>0</v>
      </c>
      <c r="AT31" s="75">
        <f>('Instruction-4YR'!R31+'RESEARCH 4yr'!R31+'PUBLIC SERVICE 4yr'!R31+'ASptISptSSv 4yr'!R31+'PLANT OPER MAIN 4yr'!R31+'SCHOLAR FELLOW 4yr'!R31+'All Other 4yr'!R31)-R31</f>
        <v>0</v>
      </c>
      <c r="AU31" s="75">
        <f>('Instruction-4YR'!S31+'RESEARCH 4yr'!S31+'PUBLIC SERVICE 4yr'!S31+'ASptISptSSv 4yr'!S31+'PLANT OPER MAIN 4yr'!S31+'SCHOLAR FELLOW 4yr'!S31+'All Other 4yr'!S31)-S31</f>
        <v>0</v>
      </c>
      <c r="AV31" s="75">
        <f>('Instruction-4YR'!T31+'RESEARCH 4yr'!T31+'PUBLIC SERVICE 4yr'!T31+'ASptISptSSv 4yr'!T31+'PLANT OPER MAIN 4yr'!T31+'SCHOLAR FELLOW 4yr'!T31+'All Other 4yr'!T31)-T31</f>
        <v>0</v>
      </c>
      <c r="AW31" s="75">
        <f>('Instruction-4YR'!U31+'RESEARCH 4yr'!U31+'PUBLIC SERVICE 4yr'!U31+'ASptISptSSv 4yr'!U31+'PLANT OPER MAIN 4yr'!U31+'SCHOLAR FELLOW 4yr'!U31+'All Other 4yr'!U31)-U31</f>
        <v>0</v>
      </c>
      <c r="AX31" s="75">
        <f>('Instruction-4YR'!V31+'RESEARCH 4yr'!V31+'PUBLIC SERVICE 4yr'!V31+'ASptISptSSv 4yr'!V31+'PLANT OPER MAIN 4yr'!V31+'SCHOLAR FELLOW 4yr'!V31+'All Other 4yr'!V31)-V31</f>
        <v>0</v>
      </c>
      <c r="AY31" s="75">
        <f>('Instruction-4YR'!W31+'RESEARCH 4yr'!W31+'PUBLIC SERVICE 4yr'!W31+'ASptISptSSv 4yr'!W31+'PLANT OPER MAIN 4yr'!W31+'SCHOLAR FELLOW 4yr'!W31+'All Other 4yr'!W31)-W31</f>
        <v>0</v>
      </c>
      <c r="AZ31" s="75">
        <f>('Instruction-4YR'!X31+'RESEARCH 4yr'!X31+'PUBLIC SERVICE 4yr'!X31+'ASptISptSSv 4yr'!X31+'PLANT OPER MAIN 4yr'!X31+'SCHOLAR FELLOW 4yr'!X31+'All Other 4yr'!X31)-X31</f>
        <v>0</v>
      </c>
      <c r="BA31" s="75">
        <f>('Instruction-4YR'!Y31+'RESEARCH 4yr'!Y31+'PUBLIC SERVICE 4yr'!Y31+'ASptISptSSv 4yr'!Y31+'PLANT OPER MAIN 4yr'!Y31+'SCHOLAR FELLOW 4yr'!Y31+'All Other 4yr'!Y31)-Y31</f>
        <v>0</v>
      </c>
      <c r="BB31" s="75">
        <f>('Instruction-4YR'!Z31+'RESEARCH 4yr'!Z31+'PUBLIC SERVICE 4yr'!Z31+'ASptISptSSv 4yr'!Z31+'PLANT OPER MAIN 4yr'!Z31+'SCHOLAR FELLOW 4yr'!Z31+'All Other 4yr'!Z31)-Z31</f>
        <v>0</v>
      </c>
      <c r="BC31" s="75">
        <f>('Instruction-4YR'!AA31+'RESEARCH 4yr'!AA31+'PUBLIC SERVICE 4yr'!AA31+'ASptISptSSv 4yr'!AA31+'PLANT OPER MAIN 4yr'!AA31+'SCHOLAR FELLOW 4yr'!AA31+'All Other 4yr'!AA31)-AA31</f>
        <v>0</v>
      </c>
      <c r="BD31" s="75">
        <f>('Instruction-4YR'!AB31+'RESEARCH 4yr'!AB31+'PUBLIC SERVICE 4yr'!AB31+'ASptISptSSv 4yr'!AB31+'PLANT OPER MAIN 4yr'!AB31+'SCHOLAR FELLOW 4yr'!AB31+'All Other 4yr'!AB31)-AB31</f>
        <v>0</v>
      </c>
      <c r="BE31" s="75">
        <f>('Instruction-4YR'!AC31+'RESEARCH 4yr'!AC31+'PUBLIC SERVICE 4yr'!AC31+'ASptISptSSv 4yr'!AC31+'PLANT OPER MAIN 4yr'!AC31+'SCHOLAR FELLOW 4yr'!AC31+'All Other 4yr'!AC31)-AC31</f>
        <v>0</v>
      </c>
    </row>
    <row r="32" spans="1:57">
      <c r="A32" s="1" t="s">
        <v>92</v>
      </c>
      <c r="F32" s="42">
        <v>320354.50699999998</v>
      </c>
      <c r="I32" s="1">
        <v>373993.48</v>
      </c>
      <c r="K32" s="1">
        <v>415097.11700000003</v>
      </c>
      <c r="L32" s="1">
        <v>495521.69799999997</v>
      </c>
      <c r="M32" s="1">
        <v>549653.54299999995</v>
      </c>
      <c r="N32" s="1">
        <v>619337.44200000004</v>
      </c>
      <c r="O32" s="1">
        <v>619017.28500000003</v>
      </c>
      <c r="P32" s="1">
        <v>646880.89399999997</v>
      </c>
      <c r="Q32" s="1">
        <v>690627.84600000002</v>
      </c>
      <c r="R32" s="1">
        <v>712011.89099999995</v>
      </c>
      <c r="S32" s="1">
        <v>738334.451</v>
      </c>
      <c r="T32" s="1">
        <v>798121.89199999999</v>
      </c>
      <c r="U32" s="1">
        <v>824208.37100000004</v>
      </c>
      <c r="V32" s="1">
        <v>818363.91099999996</v>
      </c>
      <c r="W32" s="1">
        <v>846304.51</v>
      </c>
      <c r="X32" s="1">
        <v>873269.30099999998</v>
      </c>
      <c r="Y32" s="1">
        <v>898663.75300000003</v>
      </c>
      <c r="Z32" s="1">
        <v>907055.74199999997</v>
      </c>
      <c r="AA32" s="1">
        <v>933373.05799999996</v>
      </c>
      <c r="AB32" s="1">
        <v>977498.571</v>
      </c>
      <c r="AC32" s="1">
        <v>1019269.4449999999</v>
      </c>
      <c r="AD32" s="75">
        <f>('Instruction-4YR'!B32+'RESEARCH 4yr'!B32+'PUBLIC SERVICE 4yr'!B32+'ASptISptSSv 4yr'!B32+'PLANT OPER MAIN 4yr'!B32+'SCHOLAR FELLOW 4yr'!B32+'All Other 4yr'!B32)-B32</f>
        <v>0</v>
      </c>
      <c r="AE32" s="75">
        <f>('Instruction-4YR'!C32+'RESEARCH 4yr'!C32+'PUBLIC SERVICE 4yr'!C32+'ASptISptSSv 4yr'!C32+'PLANT OPER MAIN 4yr'!C32+'SCHOLAR FELLOW 4yr'!C32+'All Other 4yr'!C32)-C32</f>
        <v>0</v>
      </c>
      <c r="AF32" s="75">
        <f>('Instruction-4YR'!D32+'RESEARCH 4yr'!D32+'PUBLIC SERVICE 4yr'!D32+'ASptISptSSv 4yr'!D32+'PLANT OPER MAIN 4yr'!D32+'SCHOLAR FELLOW 4yr'!D32+'All Other 4yr'!D32)-D32</f>
        <v>0</v>
      </c>
      <c r="AG32" s="75">
        <f>('Instruction-4YR'!E32+'RESEARCH 4yr'!E32+'PUBLIC SERVICE 4yr'!E32+'ASptISptSSv 4yr'!E32+'PLANT OPER MAIN 4yr'!E32+'SCHOLAR FELLOW 4yr'!E32+'All Other 4yr'!E32)-E32</f>
        <v>0</v>
      </c>
      <c r="AH32" s="75">
        <f>('Instruction-4YR'!F32+'RESEARCH 4yr'!F32+'PUBLIC SERVICE 4yr'!F32+'ASptISptSSv 4yr'!F32+'PLANT OPER MAIN 4yr'!F32+'SCHOLAR FELLOW 4yr'!F32+'All Other 4yr'!F32)-F32</f>
        <v>0</v>
      </c>
      <c r="AI32" s="75">
        <f>('Instruction-4YR'!G32+'RESEARCH 4yr'!G32+'PUBLIC SERVICE 4yr'!G32+'ASptISptSSv 4yr'!G32+'PLANT OPER MAIN 4yr'!G32+'SCHOLAR FELLOW 4yr'!G32+'All Other 4yr'!G32)-G32</f>
        <v>0</v>
      </c>
      <c r="AJ32" s="75">
        <f>('Instruction-4YR'!H32+'RESEARCH 4yr'!H32+'PUBLIC SERVICE 4yr'!H32+'ASptISptSSv 4yr'!H32+'PLANT OPER MAIN 4yr'!H32+'SCHOLAR FELLOW 4yr'!H32+'All Other 4yr'!H32)-H32</f>
        <v>0</v>
      </c>
      <c r="AK32" s="75">
        <f>('Instruction-4YR'!I32+'RESEARCH 4yr'!I32+'PUBLIC SERVICE 4yr'!I32+'ASptISptSSv 4yr'!I32+'PLANT OPER MAIN 4yr'!I32+'SCHOLAR FELLOW 4yr'!I32+'All Other 4yr'!I32)-I32</f>
        <v>0</v>
      </c>
      <c r="AL32" s="75">
        <f>('Instruction-4YR'!J32+'RESEARCH 4yr'!J32+'PUBLIC SERVICE 4yr'!J32+'ASptISptSSv 4yr'!J32+'PLANT OPER MAIN 4yr'!J32+'SCHOLAR FELLOW 4yr'!J32+'All Other 4yr'!J32)-J32</f>
        <v>0</v>
      </c>
      <c r="AM32" s="75">
        <f>('Instruction-4YR'!K32+'RESEARCH 4yr'!K32+'PUBLIC SERVICE 4yr'!K32+'ASptISptSSv 4yr'!K32+'PLANT OPER MAIN 4yr'!K32+'SCHOLAR FELLOW 4yr'!K32+'All Other 4yr'!K32)-K32</f>
        <v>0</v>
      </c>
      <c r="AN32" s="75">
        <f>('Instruction-4YR'!L32+'RESEARCH 4yr'!L32+'PUBLIC SERVICE 4yr'!L32+'ASptISptSSv 4yr'!L32+'PLANT OPER MAIN 4yr'!L32+'SCHOLAR FELLOW 4yr'!L32+'All Other 4yr'!L32)-L32</f>
        <v>0</v>
      </c>
      <c r="AO32" s="75">
        <f>('Instruction-4YR'!M32+'RESEARCH 4yr'!M32+'PUBLIC SERVICE 4yr'!M32+'ASptISptSSv 4yr'!M32+'PLANT OPER MAIN 4yr'!M32+'SCHOLAR FELLOW 4yr'!M32+'All Other 4yr'!M32)-M32</f>
        <v>0</v>
      </c>
      <c r="AP32" s="75">
        <f>('Instruction-4YR'!N32+'RESEARCH 4yr'!N32+'PUBLIC SERVICE 4yr'!N32+'ASptISptSSv 4yr'!N32+'PLANT OPER MAIN 4yr'!N32+'SCHOLAR FELLOW 4yr'!N32+'All Other 4yr'!N32)-N32</f>
        <v>0</v>
      </c>
      <c r="AQ32" s="75">
        <f>('Instruction-4YR'!O32+'RESEARCH 4yr'!O32+'PUBLIC SERVICE 4yr'!O32+'ASptISptSSv 4yr'!O32+'PLANT OPER MAIN 4yr'!O32+'SCHOLAR FELLOW 4yr'!O32+'All Other 4yr'!O32)-O32</f>
        <v>0</v>
      </c>
      <c r="AR32" s="75">
        <f>('Instruction-4YR'!P32+'RESEARCH 4yr'!P32+'PUBLIC SERVICE 4yr'!P32+'ASptISptSSv 4yr'!P32+'PLANT OPER MAIN 4yr'!P32+'SCHOLAR FELLOW 4yr'!P32+'All Other 4yr'!P32)-P32</f>
        <v>0</v>
      </c>
      <c r="AS32" s="75">
        <f>('Instruction-4YR'!Q32+'RESEARCH 4yr'!Q32+'PUBLIC SERVICE 4yr'!Q32+'ASptISptSSv 4yr'!Q32+'PLANT OPER MAIN 4yr'!Q32+'SCHOLAR FELLOW 4yr'!Q32+'All Other 4yr'!Q32)-Q32</f>
        <v>0</v>
      </c>
      <c r="AT32" s="75">
        <f>('Instruction-4YR'!R32+'RESEARCH 4yr'!R32+'PUBLIC SERVICE 4yr'!R32+'ASptISptSSv 4yr'!R32+'PLANT OPER MAIN 4yr'!R32+'SCHOLAR FELLOW 4yr'!R32+'All Other 4yr'!R32)-R32</f>
        <v>0</v>
      </c>
      <c r="AU32" s="75">
        <f>('Instruction-4YR'!S32+'RESEARCH 4yr'!S32+'PUBLIC SERVICE 4yr'!S32+'ASptISptSSv 4yr'!S32+'PLANT OPER MAIN 4yr'!S32+'SCHOLAR FELLOW 4yr'!S32+'All Other 4yr'!S32)-S32</f>
        <v>0</v>
      </c>
      <c r="AV32" s="75">
        <f>('Instruction-4YR'!T32+'RESEARCH 4yr'!T32+'PUBLIC SERVICE 4yr'!T32+'ASptISptSSv 4yr'!T32+'PLANT OPER MAIN 4yr'!T32+'SCHOLAR FELLOW 4yr'!T32+'All Other 4yr'!T32)-T32</f>
        <v>0</v>
      </c>
      <c r="AW32" s="75">
        <f>('Instruction-4YR'!U32+'RESEARCH 4yr'!U32+'PUBLIC SERVICE 4yr'!U32+'ASptISptSSv 4yr'!U32+'PLANT OPER MAIN 4yr'!U32+'SCHOLAR FELLOW 4yr'!U32+'All Other 4yr'!U32)-U32</f>
        <v>0</v>
      </c>
      <c r="AX32" s="75">
        <f>('Instruction-4YR'!V32+'RESEARCH 4yr'!V32+'PUBLIC SERVICE 4yr'!V32+'ASptISptSSv 4yr'!V32+'PLANT OPER MAIN 4yr'!V32+'SCHOLAR FELLOW 4yr'!V32+'All Other 4yr'!V32)-V32</f>
        <v>0</v>
      </c>
      <c r="AY32" s="75">
        <f>('Instruction-4YR'!W32+'RESEARCH 4yr'!W32+'PUBLIC SERVICE 4yr'!W32+'ASptISptSSv 4yr'!W32+'PLANT OPER MAIN 4yr'!W32+'SCHOLAR FELLOW 4yr'!W32+'All Other 4yr'!W32)-W32</f>
        <v>0</v>
      </c>
      <c r="AZ32" s="75">
        <f>('Instruction-4YR'!X32+'RESEARCH 4yr'!X32+'PUBLIC SERVICE 4yr'!X32+'ASptISptSSv 4yr'!X32+'PLANT OPER MAIN 4yr'!X32+'SCHOLAR FELLOW 4yr'!X32+'All Other 4yr'!X32)-X32</f>
        <v>0</v>
      </c>
      <c r="BA32" s="75">
        <f>('Instruction-4YR'!Y32+'RESEARCH 4yr'!Y32+'PUBLIC SERVICE 4yr'!Y32+'ASptISptSSv 4yr'!Y32+'PLANT OPER MAIN 4yr'!Y32+'SCHOLAR FELLOW 4yr'!Y32+'All Other 4yr'!Y32)-Y32</f>
        <v>0</v>
      </c>
      <c r="BB32" s="75">
        <f>('Instruction-4YR'!Z32+'RESEARCH 4yr'!Z32+'PUBLIC SERVICE 4yr'!Z32+'ASptISptSSv 4yr'!Z32+'PLANT OPER MAIN 4yr'!Z32+'SCHOLAR FELLOW 4yr'!Z32+'All Other 4yr'!Z32)-Z32</f>
        <v>0</v>
      </c>
      <c r="BC32" s="75">
        <f>('Instruction-4YR'!AA32+'RESEARCH 4yr'!AA32+'PUBLIC SERVICE 4yr'!AA32+'ASptISptSSv 4yr'!AA32+'PLANT OPER MAIN 4yr'!AA32+'SCHOLAR FELLOW 4yr'!AA32+'All Other 4yr'!AA32)-AA32</f>
        <v>0</v>
      </c>
      <c r="BD32" s="75">
        <f>('Instruction-4YR'!AB32+'RESEARCH 4yr'!AB32+'PUBLIC SERVICE 4yr'!AB32+'ASptISptSSv 4yr'!AB32+'PLANT OPER MAIN 4yr'!AB32+'SCHOLAR FELLOW 4yr'!AB32+'All Other 4yr'!AB32)-AB32</f>
        <v>0</v>
      </c>
      <c r="BE32" s="75">
        <f>('Instruction-4YR'!AC32+'RESEARCH 4yr'!AC32+'PUBLIC SERVICE 4yr'!AC32+'ASptISptSSv 4yr'!AC32+'PLANT OPER MAIN 4yr'!AC32+'SCHOLAR FELLOW 4yr'!AC32+'All Other 4yr'!AC32)-AC32</f>
        <v>0</v>
      </c>
    </row>
    <row r="33" spans="1:57">
      <c r="A33" s="1" t="s">
        <v>100</v>
      </c>
      <c r="F33" s="42">
        <v>245651.08300000001</v>
      </c>
      <c r="I33" s="1">
        <v>289628.071</v>
      </c>
      <c r="K33" s="1">
        <v>367186.967</v>
      </c>
      <c r="L33" s="1">
        <v>419766.86800000002</v>
      </c>
      <c r="M33" s="1">
        <v>435575.43900000001</v>
      </c>
      <c r="N33" s="1">
        <v>484561.03100000002</v>
      </c>
      <c r="O33" s="1">
        <v>555358.06799999997</v>
      </c>
      <c r="P33" s="1">
        <v>587557.97499999998</v>
      </c>
      <c r="Q33" s="1">
        <v>617137.48899999994</v>
      </c>
      <c r="R33" s="1">
        <v>649706.26199999999</v>
      </c>
      <c r="S33" s="1">
        <v>677052.71299999999</v>
      </c>
      <c r="T33" s="1">
        <v>720660.37699999998</v>
      </c>
      <c r="U33" s="1">
        <v>749832.78300000005</v>
      </c>
      <c r="V33" s="1">
        <v>773382.05</v>
      </c>
      <c r="W33" s="1">
        <v>803529.36699999997</v>
      </c>
      <c r="X33" s="1">
        <v>816840.679</v>
      </c>
      <c r="Y33" s="1">
        <v>830285.45499999996</v>
      </c>
      <c r="Z33" s="1">
        <v>843556.70600000001</v>
      </c>
      <c r="AA33" s="1">
        <v>853917.37399999995</v>
      </c>
      <c r="AB33" s="1">
        <v>874712.71699999995</v>
      </c>
      <c r="AC33" s="1">
        <v>924127.17200000002</v>
      </c>
      <c r="AD33" s="75">
        <f>('Instruction-4YR'!B33+'RESEARCH 4yr'!B33+'PUBLIC SERVICE 4yr'!B33+'ASptISptSSv 4yr'!B33+'PLANT OPER MAIN 4yr'!B33+'SCHOLAR FELLOW 4yr'!B33+'All Other 4yr'!B33)-B33</f>
        <v>0</v>
      </c>
      <c r="AE33" s="75">
        <f>('Instruction-4YR'!C33+'RESEARCH 4yr'!C33+'PUBLIC SERVICE 4yr'!C33+'ASptISptSSv 4yr'!C33+'PLANT OPER MAIN 4yr'!C33+'SCHOLAR FELLOW 4yr'!C33+'All Other 4yr'!C33)-C33</f>
        <v>0</v>
      </c>
      <c r="AF33" s="75">
        <f>('Instruction-4YR'!D33+'RESEARCH 4yr'!D33+'PUBLIC SERVICE 4yr'!D33+'ASptISptSSv 4yr'!D33+'PLANT OPER MAIN 4yr'!D33+'SCHOLAR FELLOW 4yr'!D33+'All Other 4yr'!D33)-D33</f>
        <v>0</v>
      </c>
      <c r="AG33" s="75">
        <f>('Instruction-4YR'!E33+'RESEARCH 4yr'!E33+'PUBLIC SERVICE 4yr'!E33+'ASptISptSSv 4yr'!E33+'PLANT OPER MAIN 4yr'!E33+'SCHOLAR FELLOW 4yr'!E33+'All Other 4yr'!E33)-E33</f>
        <v>0</v>
      </c>
      <c r="AH33" s="75">
        <f>('Instruction-4YR'!F33+'RESEARCH 4yr'!F33+'PUBLIC SERVICE 4yr'!F33+'ASptISptSSv 4yr'!F33+'PLANT OPER MAIN 4yr'!F33+'SCHOLAR FELLOW 4yr'!F33+'All Other 4yr'!F33)-F33</f>
        <v>0</v>
      </c>
      <c r="AI33" s="75">
        <f>('Instruction-4YR'!G33+'RESEARCH 4yr'!G33+'PUBLIC SERVICE 4yr'!G33+'ASptISptSSv 4yr'!G33+'PLANT OPER MAIN 4yr'!G33+'SCHOLAR FELLOW 4yr'!G33+'All Other 4yr'!G33)-G33</f>
        <v>0</v>
      </c>
      <c r="AJ33" s="75">
        <f>('Instruction-4YR'!H33+'RESEARCH 4yr'!H33+'PUBLIC SERVICE 4yr'!H33+'ASptISptSSv 4yr'!H33+'PLANT OPER MAIN 4yr'!H33+'SCHOLAR FELLOW 4yr'!H33+'All Other 4yr'!H33)-H33</f>
        <v>0</v>
      </c>
      <c r="AK33" s="75">
        <f>('Instruction-4YR'!I33+'RESEARCH 4yr'!I33+'PUBLIC SERVICE 4yr'!I33+'ASptISptSSv 4yr'!I33+'PLANT OPER MAIN 4yr'!I33+'SCHOLAR FELLOW 4yr'!I33+'All Other 4yr'!I33)-I33</f>
        <v>0</v>
      </c>
      <c r="AL33" s="75">
        <f>('Instruction-4YR'!J33+'RESEARCH 4yr'!J33+'PUBLIC SERVICE 4yr'!J33+'ASptISptSSv 4yr'!J33+'PLANT OPER MAIN 4yr'!J33+'SCHOLAR FELLOW 4yr'!J33+'All Other 4yr'!J33)-J33</f>
        <v>0</v>
      </c>
      <c r="AM33" s="75">
        <f>('Instruction-4YR'!K33+'RESEARCH 4yr'!K33+'PUBLIC SERVICE 4yr'!K33+'ASptISptSSv 4yr'!K33+'PLANT OPER MAIN 4yr'!K33+'SCHOLAR FELLOW 4yr'!K33+'All Other 4yr'!K33)-K33</f>
        <v>0</v>
      </c>
      <c r="AN33" s="75">
        <f>('Instruction-4YR'!L33+'RESEARCH 4yr'!L33+'PUBLIC SERVICE 4yr'!L33+'ASptISptSSv 4yr'!L33+'PLANT OPER MAIN 4yr'!L33+'SCHOLAR FELLOW 4yr'!L33+'All Other 4yr'!L33)-L33</f>
        <v>0</v>
      </c>
      <c r="AO33" s="75">
        <f>('Instruction-4YR'!M33+'RESEARCH 4yr'!M33+'PUBLIC SERVICE 4yr'!M33+'ASptISptSSv 4yr'!M33+'PLANT OPER MAIN 4yr'!M33+'SCHOLAR FELLOW 4yr'!M33+'All Other 4yr'!M33)-M33</f>
        <v>0</v>
      </c>
      <c r="AP33" s="75">
        <f>('Instruction-4YR'!N33+'RESEARCH 4yr'!N33+'PUBLIC SERVICE 4yr'!N33+'ASptISptSSv 4yr'!N33+'PLANT OPER MAIN 4yr'!N33+'SCHOLAR FELLOW 4yr'!N33+'All Other 4yr'!N33)-N33</f>
        <v>0</v>
      </c>
      <c r="AQ33" s="75">
        <f>('Instruction-4YR'!O33+'RESEARCH 4yr'!O33+'PUBLIC SERVICE 4yr'!O33+'ASptISptSSv 4yr'!O33+'PLANT OPER MAIN 4yr'!O33+'SCHOLAR FELLOW 4yr'!O33+'All Other 4yr'!O33)-O33</f>
        <v>0</v>
      </c>
      <c r="AR33" s="75">
        <f>('Instruction-4YR'!P33+'RESEARCH 4yr'!P33+'PUBLIC SERVICE 4yr'!P33+'ASptISptSSv 4yr'!P33+'PLANT OPER MAIN 4yr'!P33+'SCHOLAR FELLOW 4yr'!P33+'All Other 4yr'!P33)-P33</f>
        <v>0</v>
      </c>
      <c r="AS33" s="75">
        <f>('Instruction-4YR'!Q33+'RESEARCH 4yr'!Q33+'PUBLIC SERVICE 4yr'!Q33+'ASptISptSSv 4yr'!Q33+'PLANT OPER MAIN 4yr'!Q33+'SCHOLAR FELLOW 4yr'!Q33+'All Other 4yr'!Q33)-Q33</f>
        <v>0</v>
      </c>
      <c r="AT33" s="75">
        <f>('Instruction-4YR'!R33+'RESEARCH 4yr'!R33+'PUBLIC SERVICE 4yr'!R33+'ASptISptSSv 4yr'!R33+'PLANT OPER MAIN 4yr'!R33+'SCHOLAR FELLOW 4yr'!R33+'All Other 4yr'!R33)-R33</f>
        <v>0</v>
      </c>
      <c r="AU33" s="75">
        <f>('Instruction-4YR'!S33+'RESEARCH 4yr'!S33+'PUBLIC SERVICE 4yr'!S33+'ASptISptSSv 4yr'!S33+'PLANT OPER MAIN 4yr'!S33+'SCHOLAR FELLOW 4yr'!S33+'All Other 4yr'!S33)-S33</f>
        <v>0</v>
      </c>
      <c r="AV33" s="75">
        <f>('Instruction-4YR'!T33+'RESEARCH 4yr'!T33+'PUBLIC SERVICE 4yr'!T33+'ASptISptSSv 4yr'!T33+'PLANT OPER MAIN 4yr'!T33+'SCHOLAR FELLOW 4yr'!T33+'All Other 4yr'!T33)-T33</f>
        <v>0</v>
      </c>
      <c r="AW33" s="75">
        <f>('Instruction-4YR'!U33+'RESEARCH 4yr'!U33+'PUBLIC SERVICE 4yr'!U33+'ASptISptSSv 4yr'!U33+'PLANT OPER MAIN 4yr'!U33+'SCHOLAR FELLOW 4yr'!U33+'All Other 4yr'!U33)-U33</f>
        <v>0</v>
      </c>
      <c r="AX33" s="75">
        <f>('Instruction-4YR'!V33+'RESEARCH 4yr'!V33+'PUBLIC SERVICE 4yr'!V33+'ASptISptSSv 4yr'!V33+'PLANT OPER MAIN 4yr'!V33+'SCHOLAR FELLOW 4yr'!V33+'All Other 4yr'!V33)-V33</f>
        <v>0</v>
      </c>
      <c r="AY33" s="75">
        <f>('Instruction-4YR'!W33+'RESEARCH 4yr'!W33+'PUBLIC SERVICE 4yr'!W33+'ASptISptSSv 4yr'!W33+'PLANT OPER MAIN 4yr'!W33+'SCHOLAR FELLOW 4yr'!W33+'All Other 4yr'!W33)-W33</f>
        <v>0</v>
      </c>
      <c r="AZ33" s="75">
        <f>('Instruction-4YR'!X33+'RESEARCH 4yr'!X33+'PUBLIC SERVICE 4yr'!X33+'ASptISptSSv 4yr'!X33+'PLANT OPER MAIN 4yr'!X33+'SCHOLAR FELLOW 4yr'!X33+'All Other 4yr'!X33)-X33</f>
        <v>0</v>
      </c>
      <c r="BA33" s="75">
        <f>('Instruction-4YR'!Y33+'RESEARCH 4yr'!Y33+'PUBLIC SERVICE 4yr'!Y33+'ASptISptSSv 4yr'!Y33+'PLANT OPER MAIN 4yr'!Y33+'SCHOLAR FELLOW 4yr'!Y33+'All Other 4yr'!Y33)-Y33</f>
        <v>0</v>
      </c>
      <c r="BB33" s="75">
        <f>('Instruction-4YR'!Z33+'RESEARCH 4yr'!Z33+'PUBLIC SERVICE 4yr'!Z33+'ASptISptSSv 4yr'!Z33+'PLANT OPER MAIN 4yr'!Z33+'SCHOLAR FELLOW 4yr'!Z33+'All Other 4yr'!Z33)-Z33</f>
        <v>0</v>
      </c>
      <c r="BC33" s="75">
        <f>('Instruction-4YR'!AA33+'RESEARCH 4yr'!AA33+'PUBLIC SERVICE 4yr'!AA33+'ASptISptSSv 4yr'!AA33+'PLANT OPER MAIN 4yr'!AA33+'SCHOLAR FELLOW 4yr'!AA33+'All Other 4yr'!AA33)-AA33</f>
        <v>0</v>
      </c>
      <c r="BD33" s="75">
        <f>('Instruction-4YR'!AB33+'RESEARCH 4yr'!AB33+'PUBLIC SERVICE 4yr'!AB33+'ASptISptSSv 4yr'!AB33+'PLANT OPER MAIN 4yr'!AB33+'SCHOLAR FELLOW 4yr'!AB33+'All Other 4yr'!AB33)-AB33</f>
        <v>0</v>
      </c>
      <c r="BE33" s="75">
        <f>('Instruction-4YR'!AC33+'RESEARCH 4yr'!AC33+'PUBLIC SERVICE 4yr'!AC33+'ASptISptSSv 4yr'!AC33+'PLANT OPER MAIN 4yr'!AC33+'SCHOLAR FELLOW 4yr'!AC33+'All Other 4yr'!AC33)-AC33</f>
        <v>0</v>
      </c>
    </row>
    <row r="34" spans="1:57">
      <c r="A34" s="1" t="s">
        <v>102</v>
      </c>
      <c r="F34" s="42">
        <v>279269.64199999999</v>
      </c>
      <c r="I34" s="1">
        <v>326090.63</v>
      </c>
      <c r="K34" s="1">
        <v>394762.77500000002</v>
      </c>
      <c r="L34" s="1">
        <v>471260.11300000001</v>
      </c>
      <c r="M34" s="1">
        <v>518672.679</v>
      </c>
      <c r="N34" s="1">
        <v>615684.61600000004</v>
      </c>
      <c r="O34" s="1">
        <v>682850.674</v>
      </c>
      <c r="P34" s="1">
        <v>888319.58200000005</v>
      </c>
      <c r="Q34" s="1">
        <v>974886.65700000001</v>
      </c>
      <c r="R34" s="1">
        <v>1066290.453</v>
      </c>
      <c r="S34" s="1">
        <v>1183994.2479999999</v>
      </c>
      <c r="T34" s="1">
        <v>1238696.986</v>
      </c>
      <c r="U34" s="1">
        <v>1052796.21</v>
      </c>
      <c r="V34" s="1">
        <v>1029932.4840000001</v>
      </c>
      <c r="W34" s="1">
        <v>1052986.5619999999</v>
      </c>
      <c r="X34" s="1">
        <v>1010279.179</v>
      </c>
      <c r="Y34" s="1">
        <v>1076792.253</v>
      </c>
      <c r="Z34" s="1">
        <v>1155320.5120000001</v>
      </c>
      <c r="AA34" s="1">
        <v>1161869.128</v>
      </c>
      <c r="AB34" s="1">
        <v>1255422.591</v>
      </c>
      <c r="AC34" s="1">
        <v>1355835.1370000001</v>
      </c>
      <c r="AD34" s="75">
        <f>('Instruction-4YR'!B34+'RESEARCH 4yr'!B34+'PUBLIC SERVICE 4yr'!B34+'ASptISptSSv 4yr'!B34+'PLANT OPER MAIN 4yr'!B34+'SCHOLAR FELLOW 4yr'!B34+'All Other 4yr'!B34)-B34</f>
        <v>0</v>
      </c>
      <c r="AE34" s="75">
        <f>('Instruction-4YR'!C34+'RESEARCH 4yr'!C34+'PUBLIC SERVICE 4yr'!C34+'ASptISptSSv 4yr'!C34+'PLANT OPER MAIN 4yr'!C34+'SCHOLAR FELLOW 4yr'!C34+'All Other 4yr'!C34)-C34</f>
        <v>0</v>
      </c>
      <c r="AF34" s="75">
        <f>('Instruction-4YR'!D34+'RESEARCH 4yr'!D34+'PUBLIC SERVICE 4yr'!D34+'ASptISptSSv 4yr'!D34+'PLANT OPER MAIN 4yr'!D34+'SCHOLAR FELLOW 4yr'!D34+'All Other 4yr'!D34)-D34</f>
        <v>0</v>
      </c>
      <c r="AG34" s="75">
        <f>('Instruction-4YR'!E34+'RESEARCH 4yr'!E34+'PUBLIC SERVICE 4yr'!E34+'ASptISptSSv 4yr'!E34+'PLANT OPER MAIN 4yr'!E34+'SCHOLAR FELLOW 4yr'!E34+'All Other 4yr'!E34)-E34</f>
        <v>0</v>
      </c>
      <c r="AH34" s="75">
        <f>('Instruction-4YR'!F34+'RESEARCH 4yr'!F34+'PUBLIC SERVICE 4yr'!F34+'ASptISptSSv 4yr'!F34+'PLANT OPER MAIN 4yr'!F34+'SCHOLAR FELLOW 4yr'!F34+'All Other 4yr'!F34)-F34</f>
        <v>0</v>
      </c>
      <c r="AI34" s="75">
        <f>('Instruction-4YR'!G34+'RESEARCH 4yr'!G34+'PUBLIC SERVICE 4yr'!G34+'ASptISptSSv 4yr'!G34+'PLANT OPER MAIN 4yr'!G34+'SCHOLAR FELLOW 4yr'!G34+'All Other 4yr'!G34)-G34</f>
        <v>0</v>
      </c>
      <c r="AJ34" s="75">
        <f>('Instruction-4YR'!H34+'RESEARCH 4yr'!H34+'PUBLIC SERVICE 4yr'!H34+'ASptISptSSv 4yr'!H34+'PLANT OPER MAIN 4yr'!H34+'SCHOLAR FELLOW 4yr'!H34+'All Other 4yr'!H34)-H34</f>
        <v>0</v>
      </c>
      <c r="AK34" s="75">
        <f>('Instruction-4YR'!I34+'RESEARCH 4yr'!I34+'PUBLIC SERVICE 4yr'!I34+'ASptISptSSv 4yr'!I34+'PLANT OPER MAIN 4yr'!I34+'SCHOLAR FELLOW 4yr'!I34+'All Other 4yr'!I34)-I34</f>
        <v>0</v>
      </c>
      <c r="AL34" s="75">
        <f>('Instruction-4YR'!J34+'RESEARCH 4yr'!J34+'PUBLIC SERVICE 4yr'!J34+'ASptISptSSv 4yr'!J34+'PLANT OPER MAIN 4yr'!J34+'SCHOLAR FELLOW 4yr'!J34+'All Other 4yr'!J34)-J34</f>
        <v>0</v>
      </c>
      <c r="AM34" s="75">
        <f>('Instruction-4YR'!K34+'RESEARCH 4yr'!K34+'PUBLIC SERVICE 4yr'!K34+'ASptISptSSv 4yr'!K34+'PLANT OPER MAIN 4yr'!K34+'SCHOLAR FELLOW 4yr'!K34+'All Other 4yr'!K34)-K34</f>
        <v>0</v>
      </c>
      <c r="AN34" s="75">
        <f>('Instruction-4YR'!L34+'RESEARCH 4yr'!L34+'PUBLIC SERVICE 4yr'!L34+'ASptISptSSv 4yr'!L34+'PLANT OPER MAIN 4yr'!L34+'SCHOLAR FELLOW 4yr'!L34+'All Other 4yr'!L34)-L34</f>
        <v>0</v>
      </c>
      <c r="AO34" s="75">
        <f>('Instruction-4YR'!M34+'RESEARCH 4yr'!M34+'PUBLIC SERVICE 4yr'!M34+'ASptISptSSv 4yr'!M34+'PLANT OPER MAIN 4yr'!M34+'SCHOLAR FELLOW 4yr'!M34+'All Other 4yr'!M34)-M34</f>
        <v>0</v>
      </c>
      <c r="AP34" s="75">
        <f>('Instruction-4YR'!N34+'RESEARCH 4yr'!N34+'PUBLIC SERVICE 4yr'!N34+'ASptISptSSv 4yr'!N34+'PLANT OPER MAIN 4yr'!N34+'SCHOLAR FELLOW 4yr'!N34+'All Other 4yr'!N34)-N34</f>
        <v>0</v>
      </c>
      <c r="AQ34" s="75">
        <f>('Instruction-4YR'!O34+'RESEARCH 4yr'!O34+'PUBLIC SERVICE 4yr'!O34+'ASptISptSSv 4yr'!O34+'PLANT OPER MAIN 4yr'!O34+'SCHOLAR FELLOW 4yr'!O34+'All Other 4yr'!O34)-O34</f>
        <v>0</v>
      </c>
      <c r="AR34" s="75">
        <f>('Instruction-4YR'!P34+'RESEARCH 4yr'!P34+'PUBLIC SERVICE 4yr'!P34+'ASptISptSSv 4yr'!P34+'PLANT OPER MAIN 4yr'!P34+'SCHOLAR FELLOW 4yr'!P34+'All Other 4yr'!P34)-P34</f>
        <v>0</v>
      </c>
      <c r="AS34" s="75">
        <f>('Instruction-4YR'!Q34+'RESEARCH 4yr'!Q34+'PUBLIC SERVICE 4yr'!Q34+'ASptISptSSv 4yr'!Q34+'PLANT OPER MAIN 4yr'!Q34+'SCHOLAR FELLOW 4yr'!Q34+'All Other 4yr'!Q34)-Q34</f>
        <v>0</v>
      </c>
      <c r="AT34" s="75">
        <f>('Instruction-4YR'!R34+'RESEARCH 4yr'!R34+'PUBLIC SERVICE 4yr'!R34+'ASptISptSSv 4yr'!R34+'PLANT OPER MAIN 4yr'!R34+'SCHOLAR FELLOW 4yr'!R34+'All Other 4yr'!R34)-R34</f>
        <v>0</v>
      </c>
      <c r="AU34" s="75">
        <f>('Instruction-4YR'!S34+'RESEARCH 4yr'!S34+'PUBLIC SERVICE 4yr'!S34+'ASptISptSSv 4yr'!S34+'PLANT OPER MAIN 4yr'!S34+'SCHOLAR FELLOW 4yr'!S34+'All Other 4yr'!S34)-S34</f>
        <v>0</v>
      </c>
      <c r="AV34" s="75">
        <f>('Instruction-4YR'!T34+'RESEARCH 4yr'!T34+'PUBLIC SERVICE 4yr'!T34+'ASptISptSSv 4yr'!T34+'PLANT OPER MAIN 4yr'!T34+'SCHOLAR FELLOW 4yr'!T34+'All Other 4yr'!T34)-T34</f>
        <v>0</v>
      </c>
      <c r="AW34" s="75">
        <f>('Instruction-4YR'!U34+'RESEARCH 4yr'!U34+'PUBLIC SERVICE 4yr'!U34+'ASptISptSSv 4yr'!U34+'PLANT OPER MAIN 4yr'!U34+'SCHOLAR FELLOW 4yr'!U34+'All Other 4yr'!U34)-U34</f>
        <v>0</v>
      </c>
      <c r="AX34" s="75">
        <f>('Instruction-4YR'!V34+'RESEARCH 4yr'!V34+'PUBLIC SERVICE 4yr'!V34+'ASptISptSSv 4yr'!V34+'PLANT OPER MAIN 4yr'!V34+'SCHOLAR FELLOW 4yr'!V34+'All Other 4yr'!V34)-V34</f>
        <v>0</v>
      </c>
      <c r="AY34" s="75">
        <f>('Instruction-4YR'!W34+'RESEARCH 4yr'!W34+'PUBLIC SERVICE 4yr'!W34+'ASptISptSSv 4yr'!W34+'PLANT OPER MAIN 4yr'!W34+'SCHOLAR FELLOW 4yr'!W34+'All Other 4yr'!W34)-W34</f>
        <v>0</v>
      </c>
      <c r="AZ34" s="75">
        <f>('Instruction-4YR'!X34+'RESEARCH 4yr'!X34+'PUBLIC SERVICE 4yr'!X34+'ASptISptSSv 4yr'!X34+'PLANT OPER MAIN 4yr'!X34+'SCHOLAR FELLOW 4yr'!X34+'All Other 4yr'!X34)-X34</f>
        <v>0</v>
      </c>
      <c r="BA34" s="75">
        <f>('Instruction-4YR'!Y34+'RESEARCH 4yr'!Y34+'PUBLIC SERVICE 4yr'!Y34+'ASptISptSSv 4yr'!Y34+'PLANT OPER MAIN 4yr'!Y34+'SCHOLAR FELLOW 4yr'!Y34+'All Other 4yr'!Y34)-Y34</f>
        <v>0</v>
      </c>
      <c r="BB34" s="75">
        <f>('Instruction-4YR'!Z34+'RESEARCH 4yr'!Z34+'PUBLIC SERVICE 4yr'!Z34+'ASptISptSSv 4yr'!Z34+'PLANT OPER MAIN 4yr'!Z34+'SCHOLAR FELLOW 4yr'!Z34+'All Other 4yr'!Z34)-Z34</f>
        <v>0</v>
      </c>
      <c r="BC34" s="75">
        <f>('Instruction-4YR'!AA34+'RESEARCH 4yr'!AA34+'PUBLIC SERVICE 4yr'!AA34+'ASptISptSSv 4yr'!AA34+'PLANT OPER MAIN 4yr'!AA34+'SCHOLAR FELLOW 4yr'!AA34+'All Other 4yr'!AA34)-AA34</f>
        <v>0</v>
      </c>
      <c r="BD34" s="75">
        <f>('Instruction-4YR'!AB34+'RESEARCH 4yr'!AB34+'PUBLIC SERVICE 4yr'!AB34+'ASptISptSSv 4yr'!AB34+'PLANT OPER MAIN 4yr'!AB34+'SCHOLAR FELLOW 4yr'!AB34+'All Other 4yr'!AB34)-AB34</f>
        <v>0</v>
      </c>
      <c r="BE34" s="75">
        <f>('Instruction-4YR'!AC34+'RESEARCH 4yr'!AC34+'PUBLIC SERVICE 4yr'!AC34+'ASptISptSSv 4yr'!AC34+'PLANT OPER MAIN 4yr'!AC34+'SCHOLAR FELLOW 4yr'!AC34+'All Other 4yr'!AC34)-AC34</f>
        <v>0</v>
      </c>
    </row>
    <row r="35" spans="1:57">
      <c r="A35" s="1" t="s">
        <v>105</v>
      </c>
      <c r="F35" s="42">
        <v>640054.73899999994</v>
      </c>
      <c r="I35" s="1">
        <v>769315.47</v>
      </c>
      <c r="K35" s="1">
        <v>845380.81540000008</v>
      </c>
      <c r="L35" s="1">
        <v>927265.23</v>
      </c>
      <c r="M35" s="1">
        <v>1000528.821</v>
      </c>
      <c r="N35" s="1">
        <v>1244279.6470000001</v>
      </c>
      <c r="O35" s="1">
        <v>1265335.578</v>
      </c>
      <c r="P35" s="1">
        <v>1350147.807</v>
      </c>
      <c r="Q35" s="1">
        <v>1447449.088</v>
      </c>
      <c r="R35" s="1">
        <v>1524857.7479999999</v>
      </c>
      <c r="S35" s="1">
        <v>1622412.811</v>
      </c>
      <c r="T35" s="1">
        <v>1663506.8770000001</v>
      </c>
      <c r="U35" s="1">
        <v>1752274.5430000001</v>
      </c>
      <c r="V35" s="1">
        <v>1756285.402</v>
      </c>
      <c r="W35" s="1">
        <v>1888707.3419999999</v>
      </c>
      <c r="X35" s="1">
        <v>1844149.4820000001</v>
      </c>
      <c r="Y35" s="1">
        <v>1882496.824</v>
      </c>
      <c r="Z35" s="1">
        <v>1933661.4909999999</v>
      </c>
      <c r="AA35" s="1">
        <v>2012347.426</v>
      </c>
      <c r="AB35" s="1">
        <v>2050786.2919999999</v>
      </c>
      <c r="AC35" s="1">
        <v>2105979.4539999999</v>
      </c>
      <c r="AD35" s="75">
        <f>('Instruction-4YR'!B35+'RESEARCH 4yr'!B35+'PUBLIC SERVICE 4yr'!B35+'ASptISptSSv 4yr'!B35+'PLANT OPER MAIN 4yr'!B35+'SCHOLAR FELLOW 4yr'!B35+'All Other 4yr'!B35)-B35</f>
        <v>0</v>
      </c>
      <c r="AE35" s="75">
        <f>('Instruction-4YR'!C35+'RESEARCH 4yr'!C35+'PUBLIC SERVICE 4yr'!C35+'ASptISptSSv 4yr'!C35+'PLANT OPER MAIN 4yr'!C35+'SCHOLAR FELLOW 4yr'!C35+'All Other 4yr'!C35)-C35</f>
        <v>0</v>
      </c>
      <c r="AF35" s="75">
        <f>('Instruction-4YR'!D35+'RESEARCH 4yr'!D35+'PUBLIC SERVICE 4yr'!D35+'ASptISptSSv 4yr'!D35+'PLANT OPER MAIN 4yr'!D35+'SCHOLAR FELLOW 4yr'!D35+'All Other 4yr'!D35)-D35</f>
        <v>0</v>
      </c>
      <c r="AG35" s="75">
        <f>('Instruction-4YR'!E35+'RESEARCH 4yr'!E35+'PUBLIC SERVICE 4yr'!E35+'ASptISptSSv 4yr'!E35+'PLANT OPER MAIN 4yr'!E35+'SCHOLAR FELLOW 4yr'!E35+'All Other 4yr'!E35)-E35</f>
        <v>0</v>
      </c>
      <c r="AH35" s="75">
        <f>('Instruction-4YR'!F35+'RESEARCH 4yr'!F35+'PUBLIC SERVICE 4yr'!F35+'ASptISptSSv 4yr'!F35+'PLANT OPER MAIN 4yr'!F35+'SCHOLAR FELLOW 4yr'!F35+'All Other 4yr'!F35)-F35</f>
        <v>0</v>
      </c>
      <c r="AI35" s="75">
        <f>('Instruction-4YR'!G35+'RESEARCH 4yr'!G35+'PUBLIC SERVICE 4yr'!G35+'ASptISptSSv 4yr'!G35+'PLANT OPER MAIN 4yr'!G35+'SCHOLAR FELLOW 4yr'!G35+'All Other 4yr'!G35)-G35</f>
        <v>0</v>
      </c>
      <c r="AJ35" s="75">
        <f>('Instruction-4YR'!H35+'RESEARCH 4yr'!H35+'PUBLIC SERVICE 4yr'!H35+'ASptISptSSv 4yr'!H35+'PLANT OPER MAIN 4yr'!H35+'SCHOLAR FELLOW 4yr'!H35+'All Other 4yr'!H35)-H35</f>
        <v>0</v>
      </c>
      <c r="AK35" s="75">
        <f>('Instruction-4YR'!I35+'RESEARCH 4yr'!I35+'PUBLIC SERVICE 4yr'!I35+'ASptISptSSv 4yr'!I35+'PLANT OPER MAIN 4yr'!I35+'SCHOLAR FELLOW 4yr'!I35+'All Other 4yr'!I35)-I35</f>
        <v>0</v>
      </c>
      <c r="AL35" s="75">
        <f>('Instruction-4YR'!J35+'RESEARCH 4yr'!J35+'PUBLIC SERVICE 4yr'!J35+'ASptISptSSv 4yr'!J35+'PLANT OPER MAIN 4yr'!J35+'SCHOLAR FELLOW 4yr'!J35+'All Other 4yr'!J35)-J35</f>
        <v>0</v>
      </c>
      <c r="AM35" s="75">
        <f>('Instruction-4YR'!K35+'RESEARCH 4yr'!K35+'PUBLIC SERVICE 4yr'!K35+'ASptISptSSv 4yr'!K35+'PLANT OPER MAIN 4yr'!K35+'SCHOLAR FELLOW 4yr'!K35+'All Other 4yr'!K35)-K35</f>
        <v>0</v>
      </c>
      <c r="AN35" s="75">
        <f>('Instruction-4YR'!L35+'RESEARCH 4yr'!L35+'PUBLIC SERVICE 4yr'!L35+'ASptISptSSv 4yr'!L35+'PLANT OPER MAIN 4yr'!L35+'SCHOLAR FELLOW 4yr'!L35+'All Other 4yr'!L35)-L35</f>
        <v>0</v>
      </c>
      <c r="AO35" s="75">
        <f>('Instruction-4YR'!M35+'RESEARCH 4yr'!M35+'PUBLIC SERVICE 4yr'!M35+'ASptISptSSv 4yr'!M35+'PLANT OPER MAIN 4yr'!M35+'SCHOLAR FELLOW 4yr'!M35+'All Other 4yr'!M35)-M35</f>
        <v>0</v>
      </c>
      <c r="AP35" s="75">
        <f>('Instruction-4YR'!N35+'RESEARCH 4yr'!N35+'PUBLIC SERVICE 4yr'!N35+'ASptISptSSv 4yr'!N35+'PLANT OPER MAIN 4yr'!N35+'SCHOLAR FELLOW 4yr'!N35+'All Other 4yr'!N35)-N35</f>
        <v>0</v>
      </c>
      <c r="AQ35" s="75">
        <f>('Instruction-4YR'!O35+'RESEARCH 4yr'!O35+'PUBLIC SERVICE 4yr'!O35+'ASptISptSSv 4yr'!O35+'PLANT OPER MAIN 4yr'!O35+'SCHOLAR FELLOW 4yr'!O35+'All Other 4yr'!O35)-O35</f>
        <v>0</v>
      </c>
      <c r="AR35" s="75">
        <f>('Instruction-4YR'!P35+'RESEARCH 4yr'!P35+'PUBLIC SERVICE 4yr'!P35+'ASptISptSSv 4yr'!P35+'PLANT OPER MAIN 4yr'!P35+'SCHOLAR FELLOW 4yr'!P35+'All Other 4yr'!P35)-P35</f>
        <v>0</v>
      </c>
      <c r="AS35" s="75">
        <f>('Instruction-4YR'!Q35+'RESEARCH 4yr'!Q35+'PUBLIC SERVICE 4yr'!Q35+'ASptISptSSv 4yr'!Q35+'PLANT OPER MAIN 4yr'!Q35+'SCHOLAR FELLOW 4yr'!Q35+'All Other 4yr'!Q35)-Q35</f>
        <v>0</v>
      </c>
      <c r="AT35" s="75">
        <f>('Instruction-4YR'!R35+'RESEARCH 4yr'!R35+'PUBLIC SERVICE 4yr'!R35+'ASptISptSSv 4yr'!R35+'PLANT OPER MAIN 4yr'!R35+'SCHOLAR FELLOW 4yr'!R35+'All Other 4yr'!R35)-R35</f>
        <v>0</v>
      </c>
      <c r="AU35" s="75">
        <f>('Instruction-4YR'!S35+'RESEARCH 4yr'!S35+'PUBLIC SERVICE 4yr'!S35+'ASptISptSSv 4yr'!S35+'PLANT OPER MAIN 4yr'!S35+'SCHOLAR FELLOW 4yr'!S35+'All Other 4yr'!S35)-S35</f>
        <v>0</v>
      </c>
      <c r="AV35" s="75">
        <f>('Instruction-4YR'!T35+'RESEARCH 4yr'!T35+'PUBLIC SERVICE 4yr'!T35+'ASptISptSSv 4yr'!T35+'PLANT OPER MAIN 4yr'!T35+'SCHOLAR FELLOW 4yr'!T35+'All Other 4yr'!T35)-T35</f>
        <v>0</v>
      </c>
      <c r="AW35" s="75">
        <f>('Instruction-4YR'!U35+'RESEARCH 4yr'!U35+'PUBLIC SERVICE 4yr'!U35+'ASptISptSSv 4yr'!U35+'PLANT OPER MAIN 4yr'!U35+'SCHOLAR FELLOW 4yr'!U35+'All Other 4yr'!U35)-U35</f>
        <v>0</v>
      </c>
      <c r="AX35" s="75">
        <f>('Instruction-4YR'!V35+'RESEARCH 4yr'!V35+'PUBLIC SERVICE 4yr'!V35+'ASptISptSSv 4yr'!V35+'PLANT OPER MAIN 4yr'!V35+'SCHOLAR FELLOW 4yr'!V35+'All Other 4yr'!V35)-V35</f>
        <v>0</v>
      </c>
      <c r="AY35" s="75">
        <f>('Instruction-4YR'!W35+'RESEARCH 4yr'!W35+'PUBLIC SERVICE 4yr'!W35+'ASptISptSSv 4yr'!W35+'PLANT OPER MAIN 4yr'!W35+'SCHOLAR FELLOW 4yr'!W35+'All Other 4yr'!W35)-W35</f>
        <v>0</v>
      </c>
      <c r="AZ35" s="75">
        <f>('Instruction-4YR'!X35+'RESEARCH 4yr'!X35+'PUBLIC SERVICE 4yr'!X35+'ASptISptSSv 4yr'!X35+'PLANT OPER MAIN 4yr'!X35+'SCHOLAR FELLOW 4yr'!X35+'All Other 4yr'!X35)-X35</f>
        <v>0</v>
      </c>
      <c r="BA35" s="75">
        <f>('Instruction-4YR'!Y35+'RESEARCH 4yr'!Y35+'PUBLIC SERVICE 4yr'!Y35+'ASptISptSSv 4yr'!Y35+'PLANT OPER MAIN 4yr'!Y35+'SCHOLAR FELLOW 4yr'!Y35+'All Other 4yr'!Y35)-Y35</f>
        <v>0</v>
      </c>
      <c r="BB35" s="75">
        <f>('Instruction-4YR'!Z35+'RESEARCH 4yr'!Z35+'PUBLIC SERVICE 4yr'!Z35+'ASptISptSSv 4yr'!Z35+'PLANT OPER MAIN 4yr'!Z35+'SCHOLAR FELLOW 4yr'!Z35+'All Other 4yr'!Z35)-Z35</f>
        <v>0</v>
      </c>
      <c r="BC35" s="75">
        <f>('Instruction-4YR'!AA35+'RESEARCH 4yr'!AA35+'PUBLIC SERVICE 4yr'!AA35+'ASptISptSSv 4yr'!AA35+'PLANT OPER MAIN 4yr'!AA35+'SCHOLAR FELLOW 4yr'!AA35+'All Other 4yr'!AA35)-AA35</f>
        <v>0</v>
      </c>
      <c r="BD35" s="75">
        <f>('Instruction-4YR'!AB35+'RESEARCH 4yr'!AB35+'PUBLIC SERVICE 4yr'!AB35+'ASptISptSSv 4yr'!AB35+'PLANT OPER MAIN 4yr'!AB35+'SCHOLAR FELLOW 4yr'!AB35+'All Other 4yr'!AB35)-AB35</f>
        <v>0</v>
      </c>
      <c r="BE35" s="75">
        <f>('Instruction-4YR'!AC35+'RESEARCH 4yr'!AC35+'PUBLIC SERVICE 4yr'!AC35+'ASptISptSSv 4yr'!AC35+'PLANT OPER MAIN 4yr'!AC35+'SCHOLAR FELLOW 4yr'!AC35+'All Other 4yr'!AC35)-AC35</f>
        <v>0</v>
      </c>
    </row>
    <row r="36" spans="1:57">
      <c r="A36" s="1" t="s">
        <v>109</v>
      </c>
      <c r="F36" s="42">
        <v>786402.81</v>
      </c>
      <c r="I36" s="1">
        <v>911108.61699999997</v>
      </c>
      <c r="K36" s="1">
        <v>1084204.7290000001</v>
      </c>
      <c r="L36" s="1">
        <v>1317403.727</v>
      </c>
      <c r="M36" s="1">
        <v>1411346.1740000001</v>
      </c>
      <c r="N36" s="1">
        <v>1629839.1610000001</v>
      </c>
      <c r="O36" s="1">
        <v>1641431.89</v>
      </c>
      <c r="P36" s="1">
        <v>1719152.686</v>
      </c>
      <c r="Q36" s="1">
        <v>1815036.32</v>
      </c>
      <c r="R36" s="1">
        <v>1973979.9739999999</v>
      </c>
      <c r="S36" s="1">
        <v>2092558.1980000001</v>
      </c>
      <c r="T36" s="1">
        <v>2163354.5380000002</v>
      </c>
      <c r="U36" s="1">
        <v>1674897.4439999999</v>
      </c>
      <c r="V36" s="1">
        <v>2463028.611</v>
      </c>
      <c r="W36" s="1">
        <v>2582166.34</v>
      </c>
      <c r="X36" s="1">
        <v>2743367.1490000002</v>
      </c>
      <c r="Y36" s="1">
        <v>2844224.9959999998</v>
      </c>
      <c r="Z36" s="1">
        <v>2996836.642</v>
      </c>
      <c r="AA36" s="1">
        <v>2952862.06</v>
      </c>
      <c r="AB36" s="1">
        <v>3520823.2719999999</v>
      </c>
      <c r="AC36" s="1">
        <v>3446103.7230000002</v>
      </c>
      <c r="AD36" s="75">
        <f>('Instruction-4YR'!B36+'RESEARCH 4yr'!B36+'PUBLIC SERVICE 4yr'!B36+'ASptISptSSv 4yr'!B36+'PLANT OPER MAIN 4yr'!B36+'SCHOLAR FELLOW 4yr'!B36+'All Other 4yr'!B36)-B36</f>
        <v>0</v>
      </c>
      <c r="AE36" s="75">
        <f>('Instruction-4YR'!C36+'RESEARCH 4yr'!C36+'PUBLIC SERVICE 4yr'!C36+'ASptISptSSv 4yr'!C36+'PLANT OPER MAIN 4yr'!C36+'SCHOLAR FELLOW 4yr'!C36+'All Other 4yr'!C36)-C36</f>
        <v>0</v>
      </c>
      <c r="AF36" s="75">
        <f>('Instruction-4YR'!D36+'RESEARCH 4yr'!D36+'PUBLIC SERVICE 4yr'!D36+'ASptISptSSv 4yr'!D36+'PLANT OPER MAIN 4yr'!D36+'SCHOLAR FELLOW 4yr'!D36+'All Other 4yr'!D36)-D36</f>
        <v>0</v>
      </c>
      <c r="AG36" s="75">
        <f>('Instruction-4YR'!E36+'RESEARCH 4yr'!E36+'PUBLIC SERVICE 4yr'!E36+'ASptISptSSv 4yr'!E36+'PLANT OPER MAIN 4yr'!E36+'SCHOLAR FELLOW 4yr'!E36+'All Other 4yr'!E36)-E36</f>
        <v>0</v>
      </c>
      <c r="AH36" s="75">
        <f>('Instruction-4YR'!F36+'RESEARCH 4yr'!F36+'PUBLIC SERVICE 4yr'!F36+'ASptISptSSv 4yr'!F36+'PLANT OPER MAIN 4yr'!F36+'SCHOLAR FELLOW 4yr'!F36+'All Other 4yr'!F36)-F36</f>
        <v>0</v>
      </c>
      <c r="AI36" s="75">
        <f>('Instruction-4YR'!G36+'RESEARCH 4yr'!G36+'PUBLIC SERVICE 4yr'!G36+'ASptISptSSv 4yr'!G36+'PLANT OPER MAIN 4yr'!G36+'SCHOLAR FELLOW 4yr'!G36+'All Other 4yr'!G36)-G36</f>
        <v>0</v>
      </c>
      <c r="AJ36" s="75">
        <f>('Instruction-4YR'!H36+'RESEARCH 4yr'!H36+'PUBLIC SERVICE 4yr'!H36+'ASptISptSSv 4yr'!H36+'PLANT OPER MAIN 4yr'!H36+'SCHOLAR FELLOW 4yr'!H36+'All Other 4yr'!H36)-H36</f>
        <v>0</v>
      </c>
      <c r="AK36" s="75">
        <f>('Instruction-4YR'!I36+'RESEARCH 4yr'!I36+'PUBLIC SERVICE 4yr'!I36+'ASptISptSSv 4yr'!I36+'PLANT OPER MAIN 4yr'!I36+'SCHOLAR FELLOW 4yr'!I36+'All Other 4yr'!I36)-I36</f>
        <v>0</v>
      </c>
      <c r="AL36" s="75">
        <f>('Instruction-4YR'!J36+'RESEARCH 4yr'!J36+'PUBLIC SERVICE 4yr'!J36+'ASptISptSSv 4yr'!J36+'PLANT OPER MAIN 4yr'!J36+'SCHOLAR FELLOW 4yr'!J36+'All Other 4yr'!J36)-J36</f>
        <v>0</v>
      </c>
      <c r="AM36" s="75">
        <f>('Instruction-4YR'!K36+'RESEARCH 4yr'!K36+'PUBLIC SERVICE 4yr'!K36+'ASptISptSSv 4yr'!K36+'PLANT OPER MAIN 4yr'!K36+'SCHOLAR FELLOW 4yr'!K36+'All Other 4yr'!K36)-K36</f>
        <v>0</v>
      </c>
      <c r="AN36" s="75">
        <f>('Instruction-4YR'!L36+'RESEARCH 4yr'!L36+'PUBLIC SERVICE 4yr'!L36+'ASptISptSSv 4yr'!L36+'PLANT OPER MAIN 4yr'!L36+'SCHOLAR FELLOW 4yr'!L36+'All Other 4yr'!L36)-L36</f>
        <v>0</v>
      </c>
      <c r="AO36" s="75">
        <f>('Instruction-4YR'!M36+'RESEARCH 4yr'!M36+'PUBLIC SERVICE 4yr'!M36+'ASptISptSSv 4yr'!M36+'PLANT OPER MAIN 4yr'!M36+'SCHOLAR FELLOW 4yr'!M36+'All Other 4yr'!M36)-M36</f>
        <v>0</v>
      </c>
      <c r="AP36" s="75">
        <f>('Instruction-4YR'!N36+'RESEARCH 4yr'!N36+'PUBLIC SERVICE 4yr'!N36+'ASptISptSSv 4yr'!N36+'PLANT OPER MAIN 4yr'!N36+'SCHOLAR FELLOW 4yr'!N36+'All Other 4yr'!N36)-N36</f>
        <v>0</v>
      </c>
      <c r="AQ36" s="75">
        <f>('Instruction-4YR'!O36+'RESEARCH 4yr'!O36+'PUBLIC SERVICE 4yr'!O36+'ASptISptSSv 4yr'!O36+'PLANT OPER MAIN 4yr'!O36+'SCHOLAR FELLOW 4yr'!O36+'All Other 4yr'!O36)-O36</f>
        <v>0</v>
      </c>
      <c r="AR36" s="75">
        <f>('Instruction-4YR'!P36+'RESEARCH 4yr'!P36+'PUBLIC SERVICE 4yr'!P36+'ASptISptSSv 4yr'!P36+'PLANT OPER MAIN 4yr'!P36+'SCHOLAR FELLOW 4yr'!P36+'All Other 4yr'!P36)-P36</f>
        <v>0</v>
      </c>
      <c r="AS36" s="75">
        <f>('Instruction-4YR'!Q36+'RESEARCH 4yr'!Q36+'PUBLIC SERVICE 4yr'!Q36+'ASptISptSSv 4yr'!Q36+'PLANT OPER MAIN 4yr'!Q36+'SCHOLAR FELLOW 4yr'!Q36+'All Other 4yr'!Q36)-Q36</f>
        <v>0</v>
      </c>
      <c r="AT36" s="75">
        <f>('Instruction-4YR'!R36+'RESEARCH 4yr'!R36+'PUBLIC SERVICE 4yr'!R36+'ASptISptSSv 4yr'!R36+'PLANT OPER MAIN 4yr'!R36+'SCHOLAR FELLOW 4yr'!R36+'All Other 4yr'!R36)-R36</f>
        <v>0</v>
      </c>
      <c r="AU36" s="75">
        <f>('Instruction-4YR'!S36+'RESEARCH 4yr'!S36+'PUBLIC SERVICE 4yr'!S36+'ASptISptSSv 4yr'!S36+'PLANT OPER MAIN 4yr'!S36+'SCHOLAR FELLOW 4yr'!S36+'All Other 4yr'!S36)-S36</f>
        <v>0</v>
      </c>
      <c r="AV36" s="75">
        <f>('Instruction-4YR'!T36+'RESEARCH 4yr'!T36+'PUBLIC SERVICE 4yr'!T36+'ASptISptSSv 4yr'!T36+'PLANT OPER MAIN 4yr'!T36+'SCHOLAR FELLOW 4yr'!T36+'All Other 4yr'!T36)-T36</f>
        <v>0</v>
      </c>
      <c r="AW36" s="75">
        <f>('Instruction-4YR'!U36+'RESEARCH 4yr'!U36+'PUBLIC SERVICE 4yr'!U36+'ASptISptSSv 4yr'!U36+'PLANT OPER MAIN 4yr'!U36+'SCHOLAR FELLOW 4yr'!U36+'All Other 4yr'!U36)-U36</f>
        <v>0</v>
      </c>
      <c r="AX36" s="75">
        <f>('Instruction-4YR'!V36+'RESEARCH 4yr'!V36+'PUBLIC SERVICE 4yr'!V36+'ASptISptSSv 4yr'!V36+'PLANT OPER MAIN 4yr'!V36+'SCHOLAR FELLOW 4yr'!V36+'All Other 4yr'!V36)-V36</f>
        <v>0</v>
      </c>
      <c r="AY36" s="75">
        <f>('Instruction-4YR'!W36+'RESEARCH 4yr'!W36+'PUBLIC SERVICE 4yr'!W36+'ASptISptSSv 4yr'!W36+'PLANT OPER MAIN 4yr'!W36+'SCHOLAR FELLOW 4yr'!W36+'All Other 4yr'!W36)-W36</f>
        <v>0</v>
      </c>
      <c r="AZ36" s="75">
        <f>('Instruction-4YR'!X36+'RESEARCH 4yr'!X36+'PUBLIC SERVICE 4yr'!X36+'ASptISptSSv 4yr'!X36+'PLANT OPER MAIN 4yr'!X36+'SCHOLAR FELLOW 4yr'!X36+'All Other 4yr'!X36)-X36</f>
        <v>0</v>
      </c>
      <c r="BA36" s="75">
        <f>('Instruction-4YR'!Y36+'RESEARCH 4yr'!Y36+'PUBLIC SERVICE 4yr'!Y36+'ASptISptSSv 4yr'!Y36+'PLANT OPER MAIN 4yr'!Y36+'SCHOLAR FELLOW 4yr'!Y36+'All Other 4yr'!Y36)-Y36</f>
        <v>0</v>
      </c>
      <c r="BB36" s="75">
        <f>('Instruction-4YR'!Z36+'RESEARCH 4yr'!Z36+'PUBLIC SERVICE 4yr'!Z36+'ASptISptSSv 4yr'!Z36+'PLANT OPER MAIN 4yr'!Z36+'SCHOLAR FELLOW 4yr'!Z36+'All Other 4yr'!Z36)-Z36</f>
        <v>0</v>
      </c>
      <c r="BC36" s="75">
        <f>('Instruction-4YR'!AA36+'RESEARCH 4yr'!AA36+'PUBLIC SERVICE 4yr'!AA36+'ASptISptSSv 4yr'!AA36+'PLANT OPER MAIN 4yr'!AA36+'SCHOLAR FELLOW 4yr'!AA36+'All Other 4yr'!AA36)-AA36</f>
        <v>0</v>
      </c>
      <c r="BD36" s="75">
        <f>('Instruction-4YR'!AB36+'RESEARCH 4yr'!AB36+'PUBLIC SERVICE 4yr'!AB36+'ASptISptSSv 4yr'!AB36+'PLANT OPER MAIN 4yr'!AB36+'SCHOLAR FELLOW 4yr'!AB36+'All Other 4yr'!AB36)-AB36</f>
        <v>0</v>
      </c>
      <c r="BE36" s="75">
        <f>('Instruction-4YR'!AC36+'RESEARCH 4yr'!AC36+'PUBLIC SERVICE 4yr'!AC36+'ASptISptSSv 4yr'!AC36+'PLANT OPER MAIN 4yr'!AC36+'SCHOLAR FELLOW 4yr'!AC36+'All Other 4yr'!AC36)-AC36</f>
        <v>0</v>
      </c>
    </row>
    <row r="37" spans="1:57">
      <c r="A37" s="1" t="s">
        <v>113</v>
      </c>
      <c r="F37" s="42">
        <v>758803.826</v>
      </c>
      <c r="I37" s="1">
        <v>921341.902</v>
      </c>
      <c r="K37" s="1">
        <v>1071428.0449999999</v>
      </c>
      <c r="L37" s="1">
        <v>1405638.0330000001</v>
      </c>
      <c r="M37" s="1">
        <v>1488646.28</v>
      </c>
      <c r="N37" s="1">
        <v>1868375.243</v>
      </c>
      <c r="O37" s="1">
        <v>1915564.3770000001</v>
      </c>
      <c r="P37" s="1">
        <v>1830104.821</v>
      </c>
      <c r="Q37" s="1">
        <v>1847742.8049999999</v>
      </c>
      <c r="R37" s="1">
        <v>1990808.1910000001</v>
      </c>
      <c r="S37" s="1">
        <v>2080224.925</v>
      </c>
      <c r="T37" s="1">
        <v>2150482.0120000001</v>
      </c>
      <c r="U37" s="1">
        <v>2280371.0099999998</v>
      </c>
      <c r="V37" s="1">
        <v>2338163.1529999999</v>
      </c>
      <c r="W37" s="1">
        <v>2631134.7039999999</v>
      </c>
      <c r="X37" s="1">
        <v>2777280.4070000001</v>
      </c>
      <c r="Y37" s="1">
        <v>2816244.1290000002</v>
      </c>
      <c r="Z37" s="1">
        <v>2903253.5359999998</v>
      </c>
      <c r="AA37" s="1">
        <v>3109762.2620000001</v>
      </c>
      <c r="AB37" s="1">
        <v>3400334.1940000001</v>
      </c>
      <c r="AC37" s="1">
        <v>3596258.3339999998</v>
      </c>
      <c r="AD37" s="75">
        <f>('Instruction-4YR'!B37+'RESEARCH 4yr'!B37+'PUBLIC SERVICE 4yr'!B37+'ASptISptSSv 4yr'!B37+'PLANT OPER MAIN 4yr'!B37+'SCHOLAR FELLOW 4yr'!B37+'All Other 4yr'!B37)-B37</f>
        <v>0</v>
      </c>
      <c r="AE37" s="75">
        <f>('Instruction-4YR'!C37+'RESEARCH 4yr'!C37+'PUBLIC SERVICE 4yr'!C37+'ASptISptSSv 4yr'!C37+'PLANT OPER MAIN 4yr'!C37+'SCHOLAR FELLOW 4yr'!C37+'All Other 4yr'!C37)-C37</f>
        <v>0</v>
      </c>
      <c r="AF37" s="75">
        <f>('Instruction-4YR'!D37+'RESEARCH 4yr'!D37+'PUBLIC SERVICE 4yr'!D37+'ASptISptSSv 4yr'!D37+'PLANT OPER MAIN 4yr'!D37+'SCHOLAR FELLOW 4yr'!D37+'All Other 4yr'!D37)-D37</f>
        <v>0</v>
      </c>
      <c r="AG37" s="75">
        <f>('Instruction-4YR'!E37+'RESEARCH 4yr'!E37+'PUBLIC SERVICE 4yr'!E37+'ASptISptSSv 4yr'!E37+'PLANT OPER MAIN 4yr'!E37+'SCHOLAR FELLOW 4yr'!E37+'All Other 4yr'!E37)-E37</f>
        <v>0</v>
      </c>
      <c r="AH37" s="75">
        <f>('Instruction-4YR'!F37+'RESEARCH 4yr'!F37+'PUBLIC SERVICE 4yr'!F37+'ASptISptSSv 4yr'!F37+'PLANT OPER MAIN 4yr'!F37+'SCHOLAR FELLOW 4yr'!F37+'All Other 4yr'!F37)-F37</f>
        <v>0</v>
      </c>
      <c r="AI37" s="75">
        <f>('Instruction-4YR'!G37+'RESEARCH 4yr'!G37+'PUBLIC SERVICE 4yr'!G37+'ASptISptSSv 4yr'!G37+'PLANT OPER MAIN 4yr'!G37+'SCHOLAR FELLOW 4yr'!G37+'All Other 4yr'!G37)-G37</f>
        <v>0</v>
      </c>
      <c r="AJ37" s="75">
        <f>('Instruction-4YR'!H37+'RESEARCH 4yr'!H37+'PUBLIC SERVICE 4yr'!H37+'ASptISptSSv 4yr'!H37+'PLANT OPER MAIN 4yr'!H37+'SCHOLAR FELLOW 4yr'!H37+'All Other 4yr'!H37)-H37</f>
        <v>0</v>
      </c>
      <c r="AK37" s="75">
        <f>('Instruction-4YR'!I37+'RESEARCH 4yr'!I37+'PUBLIC SERVICE 4yr'!I37+'ASptISptSSv 4yr'!I37+'PLANT OPER MAIN 4yr'!I37+'SCHOLAR FELLOW 4yr'!I37+'All Other 4yr'!I37)-I37</f>
        <v>0</v>
      </c>
      <c r="AL37" s="75">
        <f>('Instruction-4YR'!J37+'RESEARCH 4yr'!J37+'PUBLIC SERVICE 4yr'!J37+'ASptISptSSv 4yr'!J37+'PLANT OPER MAIN 4yr'!J37+'SCHOLAR FELLOW 4yr'!J37+'All Other 4yr'!J37)-J37</f>
        <v>0</v>
      </c>
      <c r="AM37" s="75">
        <f>('Instruction-4YR'!K37+'RESEARCH 4yr'!K37+'PUBLIC SERVICE 4yr'!K37+'ASptISptSSv 4yr'!K37+'PLANT OPER MAIN 4yr'!K37+'SCHOLAR FELLOW 4yr'!K37+'All Other 4yr'!K37)-K37</f>
        <v>0</v>
      </c>
      <c r="AN37" s="75">
        <f>('Instruction-4YR'!L37+'RESEARCH 4yr'!L37+'PUBLIC SERVICE 4yr'!L37+'ASptISptSSv 4yr'!L37+'PLANT OPER MAIN 4yr'!L37+'SCHOLAR FELLOW 4yr'!L37+'All Other 4yr'!L37)-L37</f>
        <v>0</v>
      </c>
      <c r="AO37" s="75">
        <f>('Instruction-4YR'!M37+'RESEARCH 4yr'!M37+'PUBLIC SERVICE 4yr'!M37+'ASptISptSSv 4yr'!M37+'PLANT OPER MAIN 4yr'!M37+'SCHOLAR FELLOW 4yr'!M37+'All Other 4yr'!M37)-M37</f>
        <v>0</v>
      </c>
      <c r="AP37" s="75">
        <f>('Instruction-4YR'!N37+'RESEARCH 4yr'!N37+'PUBLIC SERVICE 4yr'!N37+'ASptISptSSv 4yr'!N37+'PLANT OPER MAIN 4yr'!N37+'SCHOLAR FELLOW 4yr'!N37+'All Other 4yr'!N37)-N37</f>
        <v>0</v>
      </c>
      <c r="AQ37" s="75">
        <f>('Instruction-4YR'!O37+'RESEARCH 4yr'!O37+'PUBLIC SERVICE 4yr'!O37+'ASptISptSSv 4yr'!O37+'PLANT OPER MAIN 4yr'!O37+'SCHOLAR FELLOW 4yr'!O37+'All Other 4yr'!O37)-O37</f>
        <v>0</v>
      </c>
      <c r="AR37" s="75">
        <f>('Instruction-4YR'!P37+'RESEARCH 4yr'!P37+'PUBLIC SERVICE 4yr'!P37+'ASptISptSSv 4yr'!P37+'PLANT OPER MAIN 4yr'!P37+'SCHOLAR FELLOW 4yr'!P37+'All Other 4yr'!P37)-P37</f>
        <v>0</v>
      </c>
      <c r="AS37" s="75">
        <f>('Instruction-4YR'!Q37+'RESEARCH 4yr'!Q37+'PUBLIC SERVICE 4yr'!Q37+'ASptISptSSv 4yr'!Q37+'PLANT OPER MAIN 4yr'!Q37+'SCHOLAR FELLOW 4yr'!Q37+'All Other 4yr'!Q37)-Q37</f>
        <v>0</v>
      </c>
      <c r="AT37" s="75">
        <f>('Instruction-4YR'!R37+'RESEARCH 4yr'!R37+'PUBLIC SERVICE 4yr'!R37+'ASptISptSSv 4yr'!R37+'PLANT OPER MAIN 4yr'!R37+'SCHOLAR FELLOW 4yr'!R37+'All Other 4yr'!R37)-R37</f>
        <v>0</v>
      </c>
      <c r="AU37" s="75">
        <f>('Instruction-4YR'!S37+'RESEARCH 4yr'!S37+'PUBLIC SERVICE 4yr'!S37+'ASptISptSSv 4yr'!S37+'PLANT OPER MAIN 4yr'!S37+'SCHOLAR FELLOW 4yr'!S37+'All Other 4yr'!S37)-S37</f>
        <v>0</v>
      </c>
      <c r="AV37" s="75">
        <f>('Instruction-4YR'!T37+'RESEARCH 4yr'!T37+'PUBLIC SERVICE 4yr'!T37+'ASptISptSSv 4yr'!T37+'PLANT OPER MAIN 4yr'!T37+'SCHOLAR FELLOW 4yr'!T37+'All Other 4yr'!T37)-T37</f>
        <v>0</v>
      </c>
      <c r="AW37" s="75">
        <f>('Instruction-4YR'!U37+'RESEARCH 4yr'!U37+'PUBLIC SERVICE 4yr'!U37+'ASptISptSSv 4yr'!U37+'PLANT OPER MAIN 4yr'!U37+'SCHOLAR FELLOW 4yr'!U37+'All Other 4yr'!U37)-U37</f>
        <v>0</v>
      </c>
      <c r="AX37" s="75">
        <f>('Instruction-4YR'!V37+'RESEARCH 4yr'!V37+'PUBLIC SERVICE 4yr'!V37+'ASptISptSSv 4yr'!V37+'PLANT OPER MAIN 4yr'!V37+'SCHOLAR FELLOW 4yr'!V37+'All Other 4yr'!V37)-V37</f>
        <v>0</v>
      </c>
      <c r="AY37" s="75">
        <f>('Instruction-4YR'!W37+'RESEARCH 4yr'!W37+'PUBLIC SERVICE 4yr'!W37+'ASptISptSSv 4yr'!W37+'PLANT OPER MAIN 4yr'!W37+'SCHOLAR FELLOW 4yr'!W37+'All Other 4yr'!W37)-W37</f>
        <v>0</v>
      </c>
      <c r="AZ37" s="75">
        <f>('Instruction-4YR'!X37+'RESEARCH 4yr'!X37+'PUBLIC SERVICE 4yr'!X37+'ASptISptSSv 4yr'!X37+'PLANT OPER MAIN 4yr'!X37+'SCHOLAR FELLOW 4yr'!X37+'All Other 4yr'!X37)-X37</f>
        <v>0</v>
      </c>
      <c r="BA37" s="75">
        <f>('Instruction-4YR'!Y37+'RESEARCH 4yr'!Y37+'PUBLIC SERVICE 4yr'!Y37+'ASptISptSSv 4yr'!Y37+'PLANT OPER MAIN 4yr'!Y37+'SCHOLAR FELLOW 4yr'!Y37+'All Other 4yr'!Y37)-Y37</f>
        <v>0</v>
      </c>
      <c r="BB37" s="75">
        <f>('Instruction-4YR'!Z37+'RESEARCH 4yr'!Z37+'PUBLIC SERVICE 4yr'!Z37+'ASptISptSSv 4yr'!Z37+'PLANT OPER MAIN 4yr'!Z37+'SCHOLAR FELLOW 4yr'!Z37+'All Other 4yr'!Z37)-Z37</f>
        <v>0</v>
      </c>
      <c r="BC37" s="75">
        <f>('Instruction-4YR'!AA37+'RESEARCH 4yr'!AA37+'PUBLIC SERVICE 4yr'!AA37+'ASptISptSSv 4yr'!AA37+'PLANT OPER MAIN 4yr'!AA37+'SCHOLAR FELLOW 4yr'!AA37+'All Other 4yr'!AA37)-AA37</f>
        <v>0</v>
      </c>
      <c r="BD37" s="75">
        <f>('Instruction-4YR'!AB37+'RESEARCH 4yr'!AB37+'PUBLIC SERVICE 4yr'!AB37+'ASptISptSSv 4yr'!AB37+'PLANT OPER MAIN 4yr'!AB37+'SCHOLAR FELLOW 4yr'!AB37+'All Other 4yr'!AB37)-AB37</f>
        <v>0</v>
      </c>
      <c r="BE37" s="75">
        <f>('Instruction-4YR'!AC37+'RESEARCH 4yr'!AC37+'PUBLIC SERVICE 4yr'!AC37+'ASptISptSSv 4yr'!AC37+'PLANT OPER MAIN 4yr'!AC37+'SCHOLAR FELLOW 4yr'!AC37+'All Other 4yr'!AC37)-AC37</f>
        <v>0</v>
      </c>
    </row>
    <row r="38" spans="1:57">
      <c r="A38" s="1" t="s">
        <v>115</v>
      </c>
      <c r="F38" s="42">
        <v>1423276.649</v>
      </c>
      <c r="I38" s="1">
        <v>1640600.8419999999</v>
      </c>
      <c r="K38" s="1">
        <v>1770937.5619999999</v>
      </c>
      <c r="L38" s="1">
        <v>2144222.0410000002</v>
      </c>
      <c r="M38" s="1">
        <v>2320628.199</v>
      </c>
      <c r="N38" s="1">
        <v>2684661.2319999998</v>
      </c>
      <c r="O38" s="1">
        <v>2880180.86</v>
      </c>
      <c r="P38" s="1">
        <v>3028523.8119999999</v>
      </c>
      <c r="Q38" s="1">
        <v>3225367.9819999998</v>
      </c>
      <c r="R38" s="1">
        <v>3434409.6150000002</v>
      </c>
      <c r="S38" s="1">
        <v>3825502.7080000001</v>
      </c>
      <c r="T38" s="1">
        <v>4110458.375</v>
      </c>
      <c r="U38" s="1">
        <v>4054620.0469999998</v>
      </c>
      <c r="V38" s="1">
        <v>3970135.8139999998</v>
      </c>
      <c r="W38" s="1">
        <v>4226148.2379999999</v>
      </c>
      <c r="X38" s="1">
        <v>4292165.83</v>
      </c>
      <c r="Y38" s="1">
        <v>4561539.1349999998</v>
      </c>
      <c r="Z38" s="1">
        <v>4783627.0729999999</v>
      </c>
      <c r="AA38" s="1">
        <v>4956742.5870000003</v>
      </c>
      <c r="AB38" s="1">
        <v>5301145.1770000001</v>
      </c>
      <c r="AC38" s="1">
        <v>5427884.8099999996</v>
      </c>
      <c r="AD38" s="75">
        <f>('Instruction-4YR'!B38+'RESEARCH 4yr'!B38+'PUBLIC SERVICE 4yr'!B38+'ASptISptSSv 4yr'!B38+'PLANT OPER MAIN 4yr'!B38+'SCHOLAR FELLOW 4yr'!B38+'All Other 4yr'!B38)-B38</f>
        <v>0</v>
      </c>
      <c r="AE38" s="75">
        <f>('Instruction-4YR'!C38+'RESEARCH 4yr'!C38+'PUBLIC SERVICE 4yr'!C38+'ASptISptSSv 4yr'!C38+'PLANT OPER MAIN 4yr'!C38+'SCHOLAR FELLOW 4yr'!C38+'All Other 4yr'!C38)-C38</f>
        <v>0</v>
      </c>
      <c r="AF38" s="75">
        <f>('Instruction-4YR'!D38+'RESEARCH 4yr'!D38+'PUBLIC SERVICE 4yr'!D38+'ASptISptSSv 4yr'!D38+'PLANT OPER MAIN 4yr'!D38+'SCHOLAR FELLOW 4yr'!D38+'All Other 4yr'!D38)-D38</f>
        <v>0</v>
      </c>
      <c r="AG38" s="75">
        <f>('Instruction-4YR'!E38+'RESEARCH 4yr'!E38+'PUBLIC SERVICE 4yr'!E38+'ASptISptSSv 4yr'!E38+'PLANT OPER MAIN 4yr'!E38+'SCHOLAR FELLOW 4yr'!E38+'All Other 4yr'!E38)-E38</f>
        <v>0</v>
      </c>
      <c r="AH38" s="75">
        <f>('Instruction-4YR'!F38+'RESEARCH 4yr'!F38+'PUBLIC SERVICE 4yr'!F38+'ASptISptSSv 4yr'!F38+'PLANT OPER MAIN 4yr'!F38+'SCHOLAR FELLOW 4yr'!F38+'All Other 4yr'!F38)-F38</f>
        <v>0</v>
      </c>
      <c r="AI38" s="75">
        <f>('Instruction-4YR'!G38+'RESEARCH 4yr'!G38+'PUBLIC SERVICE 4yr'!G38+'ASptISptSSv 4yr'!G38+'PLANT OPER MAIN 4yr'!G38+'SCHOLAR FELLOW 4yr'!G38+'All Other 4yr'!G38)-G38</f>
        <v>0</v>
      </c>
      <c r="AJ38" s="75">
        <f>('Instruction-4YR'!H38+'RESEARCH 4yr'!H38+'PUBLIC SERVICE 4yr'!H38+'ASptISptSSv 4yr'!H38+'PLANT OPER MAIN 4yr'!H38+'SCHOLAR FELLOW 4yr'!H38+'All Other 4yr'!H38)-H38</f>
        <v>0</v>
      </c>
      <c r="AK38" s="75">
        <f>('Instruction-4YR'!I38+'RESEARCH 4yr'!I38+'PUBLIC SERVICE 4yr'!I38+'ASptISptSSv 4yr'!I38+'PLANT OPER MAIN 4yr'!I38+'SCHOLAR FELLOW 4yr'!I38+'All Other 4yr'!I38)-I38</f>
        <v>0</v>
      </c>
      <c r="AL38" s="75">
        <f>('Instruction-4YR'!J38+'RESEARCH 4yr'!J38+'PUBLIC SERVICE 4yr'!J38+'ASptISptSSv 4yr'!J38+'PLANT OPER MAIN 4yr'!J38+'SCHOLAR FELLOW 4yr'!J38+'All Other 4yr'!J38)-J38</f>
        <v>0</v>
      </c>
      <c r="AM38" s="75">
        <f>('Instruction-4YR'!K38+'RESEARCH 4yr'!K38+'PUBLIC SERVICE 4yr'!K38+'ASptISptSSv 4yr'!K38+'PLANT OPER MAIN 4yr'!K38+'SCHOLAR FELLOW 4yr'!K38+'All Other 4yr'!K38)-K38</f>
        <v>0</v>
      </c>
      <c r="AN38" s="75">
        <f>('Instruction-4YR'!L38+'RESEARCH 4yr'!L38+'PUBLIC SERVICE 4yr'!L38+'ASptISptSSv 4yr'!L38+'PLANT OPER MAIN 4yr'!L38+'SCHOLAR FELLOW 4yr'!L38+'All Other 4yr'!L38)-L38</f>
        <v>0</v>
      </c>
      <c r="AO38" s="75">
        <f>('Instruction-4YR'!M38+'RESEARCH 4yr'!M38+'PUBLIC SERVICE 4yr'!M38+'ASptISptSSv 4yr'!M38+'PLANT OPER MAIN 4yr'!M38+'SCHOLAR FELLOW 4yr'!M38+'All Other 4yr'!M38)-M38</f>
        <v>0</v>
      </c>
      <c r="AP38" s="75">
        <f>('Instruction-4YR'!N38+'RESEARCH 4yr'!N38+'PUBLIC SERVICE 4yr'!N38+'ASptISptSSv 4yr'!N38+'PLANT OPER MAIN 4yr'!N38+'SCHOLAR FELLOW 4yr'!N38+'All Other 4yr'!N38)-N38</f>
        <v>0</v>
      </c>
      <c r="AQ38" s="75">
        <f>('Instruction-4YR'!O38+'RESEARCH 4yr'!O38+'PUBLIC SERVICE 4yr'!O38+'ASptISptSSv 4yr'!O38+'PLANT OPER MAIN 4yr'!O38+'SCHOLAR FELLOW 4yr'!O38+'All Other 4yr'!O38)-O38</f>
        <v>0</v>
      </c>
      <c r="AR38" s="75">
        <f>('Instruction-4YR'!P38+'RESEARCH 4yr'!P38+'PUBLIC SERVICE 4yr'!P38+'ASptISptSSv 4yr'!P38+'PLANT OPER MAIN 4yr'!P38+'SCHOLAR FELLOW 4yr'!P38+'All Other 4yr'!P38)-P38</f>
        <v>0</v>
      </c>
      <c r="AS38" s="75">
        <f>('Instruction-4YR'!Q38+'RESEARCH 4yr'!Q38+'PUBLIC SERVICE 4yr'!Q38+'ASptISptSSv 4yr'!Q38+'PLANT OPER MAIN 4yr'!Q38+'SCHOLAR FELLOW 4yr'!Q38+'All Other 4yr'!Q38)-Q38</f>
        <v>0</v>
      </c>
      <c r="AT38" s="75">
        <f>('Instruction-4YR'!R38+'RESEARCH 4yr'!R38+'PUBLIC SERVICE 4yr'!R38+'ASptISptSSv 4yr'!R38+'PLANT OPER MAIN 4yr'!R38+'SCHOLAR FELLOW 4yr'!R38+'All Other 4yr'!R38)-R38</f>
        <v>0</v>
      </c>
      <c r="AU38" s="75">
        <f>('Instruction-4YR'!S38+'RESEARCH 4yr'!S38+'PUBLIC SERVICE 4yr'!S38+'ASptISptSSv 4yr'!S38+'PLANT OPER MAIN 4yr'!S38+'SCHOLAR FELLOW 4yr'!S38+'All Other 4yr'!S38)-S38</f>
        <v>0</v>
      </c>
      <c r="AV38" s="75">
        <f>('Instruction-4YR'!T38+'RESEARCH 4yr'!T38+'PUBLIC SERVICE 4yr'!T38+'ASptISptSSv 4yr'!T38+'PLANT OPER MAIN 4yr'!T38+'SCHOLAR FELLOW 4yr'!T38+'All Other 4yr'!T38)-T38</f>
        <v>0</v>
      </c>
      <c r="AW38" s="75">
        <f>('Instruction-4YR'!U38+'RESEARCH 4yr'!U38+'PUBLIC SERVICE 4yr'!U38+'ASptISptSSv 4yr'!U38+'PLANT OPER MAIN 4yr'!U38+'SCHOLAR FELLOW 4yr'!U38+'All Other 4yr'!U38)-U38</f>
        <v>0</v>
      </c>
      <c r="AX38" s="75">
        <f>('Instruction-4YR'!V38+'RESEARCH 4yr'!V38+'PUBLIC SERVICE 4yr'!V38+'ASptISptSSv 4yr'!V38+'PLANT OPER MAIN 4yr'!V38+'SCHOLAR FELLOW 4yr'!V38+'All Other 4yr'!V38)-V38</f>
        <v>0</v>
      </c>
      <c r="AY38" s="75">
        <f>('Instruction-4YR'!W38+'RESEARCH 4yr'!W38+'PUBLIC SERVICE 4yr'!W38+'ASptISptSSv 4yr'!W38+'PLANT OPER MAIN 4yr'!W38+'SCHOLAR FELLOW 4yr'!W38+'All Other 4yr'!W38)-W38</f>
        <v>0</v>
      </c>
      <c r="AZ38" s="75">
        <f>('Instruction-4YR'!X38+'RESEARCH 4yr'!X38+'PUBLIC SERVICE 4yr'!X38+'ASptISptSSv 4yr'!X38+'PLANT OPER MAIN 4yr'!X38+'SCHOLAR FELLOW 4yr'!X38+'All Other 4yr'!X38)-X38</f>
        <v>0</v>
      </c>
      <c r="BA38" s="75">
        <f>('Instruction-4YR'!Y38+'RESEARCH 4yr'!Y38+'PUBLIC SERVICE 4yr'!Y38+'ASptISptSSv 4yr'!Y38+'PLANT OPER MAIN 4yr'!Y38+'SCHOLAR FELLOW 4yr'!Y38+'All Other 4yr'!Y38)-Y38</f>
        <v>0</v>
      </c>
      <c r="BB38" s="75">
        <f>('Instruction-4YR'!Z38+'RESEARCH 4yr'!Z38+'PUBLIC SERVICE 4yr'!Z38+'ASptISptSSv 4yr'!Z38+'PLANT OPER MAIN 4yr'!Z38+'SCHOLAR FELLOW 4yr'!Z38+'All Other 4yr'!Z38)-Z38</f>
        <v>0</v>
      </c>
      <c r="BC38" s="75">
        <f>('Instruction-4YR'!AA38+'RESEARCH 4yr'!AA38+'PUBLIC SERVICE 4yr'!AA38+'ASptISptSSv 4yr'!AA38+'PLANT OPER MAIN 4yr'!AA38+'SCHOLAR FELLOW 4yr'!AA38+'All Other 4yr'!AA38)-AA38</f>
        <v>0</v>
      </c>
      <c r="BD38" s="75">
        <f>('Instruction-4YR'!AB38+'RESEARCH 4yr'!AB38+'PUBLIC SERVICE 4yr'!AB38+'ASptISptSSv 4yr'!AB38+'PLANT OPER MAIN 4yr'!AB38+'SCHOLAR FELLOW 4yr'!AB38+'All Other 4yr'!AB38)-AB38</f>
        <v>0</v>
      </c>
      <c r="BE38" s="75">
        <f>('Instruction-4YR'!AC38+'RESEARCH 4yr'!AC38+'PUBLIC SERVICE 4yr'!AC38+'ASptISptSSv 4yr'!AC38+'PLANT OPER MAIN 4yr'!AC38+'SCHOLAR FELLOW 4yr'!AC38+'All Other 4yr'!AC38)-AC38</f>
        <v>0</v>
      </c>
    </row>
    <row r="39" spans="1:57">
      <c r="A39" s="24" t="s">
        <v>117</v>
      </c>
      <c r="B39" s="24"/>
      <c r="C39" s="24"/>
      <c r="D39" s="24"/>
      <c r="E39" s="24"/>
      <c r="F39" s="45">
        <v>158410.467</v>
      </c>
      <c r="G39" s="24"/>
      <c r="H39" s="24"/>
      <c r="I39" s="24">
        <v>182127.08199999999</v>
      </c>
      <c r="J39" s="24"/>
      <c r="K39" s="24">
        <v>173426.58900000001</v>
      </c>
      <c r="L39" s="24">
        <v>194294.86600000001</v>
      </c>
      <c r="M39" s="24">
        <v>221865.68400000001</v>
      </c>
      <c r="N39" s="24">
        <v>227875.69</v>
      </c>
      <c r="O39" s="24">
        <v>250245.20600000001</v>
      </c>
      <c r="P39" s="24">
        <v>262003.26699999999</v>
      </c>
      <c r="Q39" s="24">
        <v>280289.913</v>
      </c>
      <c r="R39" s="24">
        <v>287435.22399999999</v>
      </c>
      <c r="S39" s="24">
        <v>306814.04100000003</v>
      </c>
      <c r="T39" s="24">
        <v>347558.326</v>
      </c>
      <c r="U39" s="24">
        <v>375351.38900000002</v>
      </c>
      <c r="V39" s="24">
        <v>397290.79200000002</v>
      </c>
      <c r="W39" s="24">
        <v>420020.05</v>
      </c>
      <c r="X39" s="24">
        <v>442474.73300000001</v>
      </c>
      <c r="Y39" s="24">
        <v>435011.76500000001</v>
      </c>
      <c r="Z39" s="24">
        <v>447807.20799999998</v>
      </c>
      <c r="AA39" s="24">
        <v>463261.73300000001</v>
      </c>
      <c r="AB39" s="24">
        <v>537443.4</v>
      </c>
      <c r="AC39" s="24">
        <v>504692.14899999998</v>
      </c>
      <c r="AD39" s="75">
        <f>('Instruction-4YR'!B39+'RESEARCH 4yr'!B39+'PUBLIC SERVICE 4yr'!B39+'ASptISptSSv 4yr'!B39+'PLANT OPER MAIN 4yr'!B39+'SCHOLAR FELLOW 4yr'!B39+'All Other 4yr'!B39)-B39</f>
        <v>0</v>
      </c>
      <c r="AE39" s="75">
        <f>('Instruction-4YR'!C39+'RESEARCH 4yr'!C39+'PUBLIC SERVICE 4yr'!C39+'ASptISptSSv 4yr'!C39+'PLANT OPER MAIN 4yr'!C39+'SCHOLAR FELLOW 4yr'!C39+'All Other 4yr'!C39)-C39</f>
        <v>0</v>
      </c>
      <c r="AF39" s="75">
        <f>('Instruction-4YR'!D39+'RESEARCH 4yr'!D39+'PUBLIC SERVICE 4yr'!D39+'ASptISptSSv 4yr'!D39+'PLANT OPER MAIN 4yr'!D39+'SCHOLAR FELLOW 4yr'!D39+'All Other 4yr'!D39)-D39</f>
        <v>0</v>
      </c>
      <c r="AG39" s="75">
        <f>('Instruction-4YR'!E39+'RESEARCH 4yr'!E39+'PUBLIC SERVICE 4yr'!E39+'ASptISptSSv 4yr'!E39+'PLANT OPER MAIN 4yr'!E39+'SCHOLAR FELLOW 4yr'!E39+'All Other 4yr'!E39)-E39</f>
        <v>0</v>
      </c>
      <c r="AH39" s="75">
        <f>('Instruction-4YR'!F39+'RESEARCH 4yr'!F39+'PUBLIC SERVICE 4yr'!F39+'ASptISptSSv 4yr'!F39+'PLANT OPER MAIN 4yr'!F39+'SCHOLAR FELLOW 4yr'!F39+'All Other 4yr'!F39)-F39</f>
        <v>0</v>
      </c>
      <c r="AI39" s="75">
        <f>('Instruction-4YR'!G39+'RESEARCH 4yr'!G39+'PUBLIC SERVICE 4yr'!G39+'ASptISptSSv 4yr'!G39+'PLANT OPER MAIN 4yr'!G39+'SCHOLAR FELLOW 4yr'!G39+'All Other 4yr'!G39)-G39</f>
        <v>0</v>
      </c>
      <c r="AJ39" s="75">
        <f>('Instruction-4YR'!H39+'RESEARCH 4yr'!H39+'PUBLIC SERVICE 4yr'!H39+'ASptISptSSv 4yr'!H39+'PLANT OPER MAIN 4yr'!H39+'SCHOLAR FELLOW 4yr'!H39+'All Other 4yr'!H39)-H39</f>
        <v>0</v>
      </c>
      <c r="AK39" s="75">
        <f>('Instruction-4YR'!I39+'RESEARCH 4yr'!I39+'PUBLIC SERVICE 4yr'!I39+'ASptISptSSv 4yr'!I39+'PLANT OPER MAIN 4yr'!I39+'SCHOLAR FELLOW 4yr'!I39+'All Other 4yr'!I39)-I39</f>
        <v>0</v>
      </c>
      <c r="AL39" s="75">
        <f>('Instruction-4YR'!J39+'RESEARCH 4yr'!J39+'PUBLIC SERVICE 4yr'!J39+'ASptISptSSv 4yr'!J39+'PLANT OPER MAIN 4yr'!J39+'SCHOLAR FELLOW 4yr'!J39+'All Other 4yr'!J39)-J39</f>
        <v>0</v>
      </c>
      <c r="AM39" s="75">
        <f>('Instruction-4YR'!K39+'RESEARCH 4yr'!K39+'PUBLIC SERVICE 4yr'!K39+'ASptISptSSv 4yr'!K39+'PLANT OPER MAIN 4yr'!K39+'SCHOLAR FELLOW 4yr'!K39+'All Other 4yr'!K39)-K39</f>
        <v>0</v>
      </c>
      <c r="AN39" s="75">
        <f>('Instruction-4YR'!L39+'RESEARCH 4yr'!L39+'PUBLIC SERVICE 4yr'!L39+'ASptISptSSv 4yr'!L39+'PLANT OPER MAIN 4yr'!L39+'SCHOLAR FELLOW 4yr'!L39+'All Other 4yr'!L39)-L39</f>
        <v>0</v>
      </c>
      <c r="AO39" s="75">
        <f>('Instruction-4YR'!M39+'RESEARCH 4yr'!M39+'PUBLIC SERVICE 4yr'!M39+'ASptISptSSv 4yr'!M39+'PLANT OPER MAIN 4yr'!M39+'SCHOLAR FELLOW 4yr'!M39+'All Other 4yr'!M39)-M39</f>
        <v>0</v>
      </c>
      <c r="AP39" s="75">
        <f>('Instruction-4YR'!N39+'RESEARCH 4yr'!N39+'PUBLIC SERVICE 4yr'!N39+'ASptISptSSv 4yr'!N39+'PLANT OPER MAIN 4yr'!N39+'SCHOLAR FELLOW 4yr'!N39+'All Other 4yr'!N39)-N39</f>
        <v>0</v>
      </c>
      <c r="AQ39" s="75">
        <f>('Instruction-4YR'!O39+'RESEARCH 4yr'!O39+'PUBLIC SERVICE 4yr'!O39+'ASptISptSSv 4yr'!O39+'PLANT OPER MAIN 4yr'!O39+'SCHOLAR FELLOW 4yr'!O39+'All Other 4yr'!O39)-O39</f>
        <v>0</v>
      </c>
      <c r="AR39" s="75">
        <f>('Instruction-4YR'!P39+'RESEARCH 4yr'!P39+'PUBLIC SERVICE 4yr'!P39+'ASptISptSSv 4yr'!P39+'PLANT OPER MAIN 4yr'!P39+'SCHOLAR FELLOW 4yr'!P39+'All Other 4yr'!P39)-P39</f>
        <v>0</v>
      </c>
      <c r="AS39" s="75">
        <f>('Instruction-4YR'!Q39+'RESEARCH 4yr'!Q39+'PUBLIC SERVICE 4yr'!Q39+'ASptISptSSv 4yr'!Q39+'PLANT OPER MAIN 4yr'!Q39+'SCHOLAR FELLOW 4yr'!Q39+'All Other 4yr'!Q39)-Q39</f>
        <v>0</v>
      </c>
      <c r="AT39" s="75">
        <f>('Instruction-4YR'!R39+'RESEARCH 4yr'!R39+'PUBLIC SERVICE 4yr'!R39+'ASptISptSSv 4yr'!R39+'PLANT OPER MAIN 4yr'!R39+'SCHOLAR FELLOW 4yr'!R39+'All Other 4yr'!R39)-R39</f>
        <v>0</v>
      </c>
      <c r="AU39" s="75">
        <f>('Instruction-4YR'!S39+'RESEARCH 4yr'!S39+'PUBLIC SERVICE 4yr'!S39+'ASptISptSSv 4yr'!S39+'PLANT OPER MAIN 4yr'!S39+'SCHOLAR FELLOW 4yr'!S39+'All Other 4yr'!S39)-S39</f>
        <v>0</v>
      </c>
      <c r="AV39" s="75">
        <f>('Instruction-4YR'!T39+'RESEARCH 4yr'!T39+'PUBLIC SERVICE 4yr'!T39+'ASptISptSSv 4yr'!T39+'PLANT OPER MAIN 4yr'!T39+'SCHOLAR FELLOW 4yr'!T39+'All Other 4yr'!T39)-T39</f>
        <v>0</v>
      </c>
      <c r="AW39" s="75">
        <f>('Instruction-4YR'!U39+'RESEARCH 4yr'!U39+'PUBLIC SERVICE 4yr'!U39+'ASptISptSSv 4yr'!U39+'PLANT OPER MAIN 4yr'!U39+'SCHOLAR FELLOW 4yr'!U39+'All Other 4yr'!U39)-U39</f>
        <v>0</v>
      </c>
      <c r="AX39" s="75">
        <f>('Instruction-4YR'!V39+'RESEARCH 4yr'!V39+'PUBLIC SERVICE 4yr'!V39+'ASptISptSSv 4yr'!V39+'PLANT OPER MAIN 4yr'!V39+'SCHOLAR FELLOW 4yr'!V39+'All Other 4yr'!V39)-V39</f>
        <v>0</v>
      </c>
      <c r="AY39" s="75">
        <f>('Instruction-4YR'!W39+'RESEARCH 4yr'!W39+'PUBLIC SERVICE 4yr'!W39+'ASptISptSSv 4yr'!W39+'PLANT OPER MAIN 4yr'!W39+'SCHOLAR FELLOW 4yr'!W39+'All Other 4yr'!W39)-W39</f>
        <v>0</v>
      </c>
      <c r="AZ39" s="75">
        <f>('Instruction-4YR'!X39+'RESEARCH 4yr'!X39+'PUBLIC SERVICE 4yr'!X39+'ASptISptSSv 4yr'!X39+'PLANT OPER MAIN 4yr'!X39+'SCHOLAR FELLOW 4yr'!X39+'All Other 4yr'!X39)-X39</f>
        <v>0</v>
      </c>
      <c r="BA39" s="75">
        <f>('Instruction-4YR'!Y39+'RESEARCH 4yr'!Y39+'PUBLIC SERVICE 4yr'!Y39+'ASptISptSSv 4yr'!Y39+'PLANT OPER MAIN 4yr'!Y39+'SCHOLAR FELLOW 4yr'!Y39+'All Other 4yr'!Y39)-Y39</f>
        <v>0</v>
      </c>
      <c r="BB39" s="75">
        <f>('Instruction-4YR'!Z39+'RESEARCH 4yr'!Z39+'PUBLIC SERVICE 4yr'!Z39+'ASptISptSSv 4yr'!Z39+'PLANT OPER MAIN 4yr'!Z39+'SCHOLAR FELLOW 4yr'!Z39+'All Other 4yr'!Z39)-Z39</f>
        <v>0</v>
      </c>
      <c r="BC39" s="75">
        <f>('Instruction-4YR'!AA39+'RESEARCH 4yr'!AA39+'PUBLIC SERVICE 4yr'!AA39+'ASptISptSSv 4yr'!AA39+'PLANT OPER MAIN 4yr'!AA39+'SCHOLAR FELLOW 4yr'!AA39+'All Other 4yr'!AA39)-AA39</f>
        <v>0</v>
      </c>
      <c r="BD39" s="75">
        <f>('Instruction-4YR'!AB39+'RESEARCH 4yr'!AB39+'PUBLIC SERVICE 4yr'!AB39+'ASptISptSSv 4yr'!AB39+'PLANT OPER MAIN 4yr'!AB39+'SCHOLAR FELLOW 4yr'!AB39+'All Other 4yr'!AB39)-AB39</f>
        <v>0</v>
      </c>
      <c r="BE39" s="75">
        <f>('Instruction-4YR'!AC39+'RESEARCH 4yr'!AC39+'PUBLIC SERVICE 4yr'!AC39+'ASptISptSSv 4yr'!AC39+'PLANT OPER MAIN 4yr'!AC39+'SCHOLAR FELLOW 4yr'!AC39+'All Other 4yr'!AC39)-AC39</f>
        <v>0</v>
      </c>
    </row>
    <row r="40" spans="1:57">
      <c r="A40" s="7" t="s">
        <v>121</v>
      </c>
      <c r="B40" s="48">
        <f>SUM(B42:B53)</f>
        <v>0</v>
      </c>
      <c r="C40" s="48">
        <f t="shared" ref="C40:AC40" si="12">SUM(C42:C53)</f>
        <v>0</v>
      </c>
      <c r="D40" s="48">
        <f t="shared" si="12"/>
        <v>0</v>
      </c>
      <c r="E40" s="48">
        <f t="shared" si="12"/>
        <v>0</v>
      </c>
      <c r="F40" s="48">
        <f t="shared" si="12"/>
        <v>17450502.520000003</v>
      </c>
      <c r="G40" s="48">
        <f t="shared" si="12"/>
        <v>0</v>
      </c>
      <c r="H40" s="48">
        <f t="shared" si="12"/>
        <v>0</v>
      </c>
      <c r="I40" s="48">
        <f t="shared" si="12"/>
        <v>19252712.139000002</v>
      </c>
      <c r="J40" s="48">
        <f t="shared" si="12"/>
        <v>0</v>
      </c>
      <c r="K40" s="48">
        <f t="shared" si="12"/>
        <v>21355142.687290002</v>
      </c>
      <c r="L40" s="48">
        <f t="shared" si="12"/>
        <v>24898747.881000005</v>
      </c>
      <c r="M40" s="48">
        <f t="shared" si="12"/>
        <v>27484753.311999999</v>
      </c>
      <c r="N40" s="48">
        <f t="shared" si="12"/>
        <v>29765586.952999998</v>
      </c>
      <c r="O40" s="48">
        <f t="shared" si="12"/>
        <v>31239523.601999998</v>
      </c>
      <c r="P40" s="48">
        <f t="shared" si="12"/>
        <v>33627730.666000001</v>
      </c>
      <c r="Q40" s="48">
        <f t="shared" si="12"/>
        <v>34636187.39199999</v>
      </c>
      <c r="R40" s="48">
        <f t="shared" si="12"/>
        <v>36525623.912</v>
      </c>
      <c r="S40" s="48">
        <f t="shared" si="12"/>
        <v>38327261.649999999</v>
      </c>
      <c r="T40" s="48">
        <f t="shared" si="12"/>
        <v>41930677.456999995</v>
      </c>
      <c r="U40" s="48">
        <f t="shared" si="12"/>
        <v>41124959.678000003</v>
      </c>
      <c r="V40" s="48">
        <f t="shared" si="12"/>
        <v>42520681.207000002</v>
      </c>
      <c r="W40" s="48">
        <f t="shared" si="12"/>
        <v>43886825.502999999</v>
      </c>
      <c r="X40" s="48">
        <f t="shared" si="12"/>
        <v>45029341.013000004</v>
      </c>
      <c r="Y40" s="48">
        <f t="shared" si="12"/>
        <v>46496269.225999996</v>
      </c>
      <c r="Z40" s="48">
        <f t="shared" si="12"/>
        <v>48054295.951000005</v>
      </c>
      <c r="AA40" s="48">
        <f t="shared" si="12"/>
        <v>49043922.473000005</v>
      </c>
      <c r="AB40" s="48">
        <f t="shared" si="12"/>
        <v>51047164.140999988</v>
      </c>
      <c r="AC40" s="48">
        <f t="shared" si="12"/>
        <v>53487044.923999995</v>
      </c>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row>
    <row r="41" spans="1:57">
      <c r="A41" s="7" t="s">
        <v>119</v>
      </c>
      <c r="Y41" s="1">
        <v>0</v>
      </c>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row>
    <row r="42" spans="1:57">
      <c r="A42" s="1" t="s">
        <v>93</v>
      </c>
      <c r="F42" s="42">
        <v>2159856.5240000002</v>
      </c>
      <c r="I42" s="1">
        <v>2477062.8969999999</v>
      </c>
      <c r="K42" s="1">
        <v>2814134.8450000002</v>
      </c>
      <c r="L42" s="1">
        <v>3193065.9419999998</v>
      </c>
      <c r="M42" s="1">
        <v>3423292.861</v>
      </c>
      <c r="N42" s="1">
        <v>4227424.0599999996</v>
      </c>
      <c r="O42" s="1">
        <v>4423793.0630000001</v>
      </c>
      <c r="P42" s="1">
        <v>5507031.3310000002</v>
      </c>
      <c r="Q42" s="1">
        <v>4873822.0180000002</v>
      </c>
      <c r="R42" s="1">
        <v>5065762.9859999996</v>
      </c>
      <c r="S42" s="1">
        <v>5310170.6119999997</v>
      </c>
      <c r="T42" s="1">
        <v>5677956.9469999997</v>
      </c>
      <c r="U42" s="1">
        <v>5825362.352</v>
      </c>
      <c r="V42" s="1">
        <v>5992880.1550000003</v>
      </c>
      <c r="W42" s="1">
        <v>6147772.5520000001</v>
      </c>
      <c r="X42" s="1">
        <v>6522583.2960000001</v>
      </c>
      <c r="Y42" s="1">
        <v>7060859.7019999996</v>
      </c>
      <c r="Z42" s="1">
        <v>7242126.4649999999</v>
      </c>
      <c r="AA42" s="1">
        <v>7529920.1339999996</v>
      </c>
      <c r="AB42" s="1">
        <v>7633836.5470000003</v>
      </c>
      <c r="AC42" s="1">
        <v>7985508.0070000002</v>
      </c>
      <c r="AD42" s="75">
        <f>('Instruction-4YR'!B42+'RESEARCH 4yr'!B42+'PUBLIC SERVICE 4yr'!B42+'ASptISptSSv 4yr'!B42+'PLANT OPER MAIN 4yr'!B42+'SCHOLAR FELLOW 4yr'!B42+'All Other 4yr'!B42)-B42</f>
        <v>0</v>
      </c>
      <c r="AE42" s="75">
        <f>('Instruction-4YR'!C42+'RESEARCH 4yr'!C42+'PUBLIC SERVICE 4yr'!C42+'ASptISptSSv 4yr'!C42+'PLANT OPER MAIN 4yr'!C42+'SCHOLAR FELLOW 4yr'!C42+'All Other 4yr'!C42)-C42</f>
        <v>0</v>
      </c>
      <c r="AF42" s="75">
        <f>('Instruction-4YR'!D42+'RESEARCH 4yr'!D42+'PUBLIC SERVICE 4yr'!D42+'ASptISptSSv 4yr'!D42+'PLANT OPER MAIN 4yr'!D42+'SCHOLAR FELLOW 4yr'!D42+'All Other 4yr'!D42)-D42</f>
        <v>0</v>
      </c>
      <c r="AG42" s="75">
        <f>('Instruction-4YR'!E42+'RESEARCH 4yr'!E42+'PUBLIC SERVICE 4yr'!E42+'ASptISptSSv 4yr'!E42+'PLANT OPER MAIN 4yr'!E42+'SCHOLAR FELLOW 4yr'!E42+'All Other 4yr'!E42)-E42</f>
        <v>0</v>
      </c>
      <c r="AH42" s="75">
        <f>('Instruction-4YR'!F42+'RESEARCH 4yr'!F42+'PUBLIC SERVICE 4yr'!F42+'ASptISptSSv 4yr'!F42+'PLANT OPER MAIN 4yr'!F42+'SCHOLAR FELLOW 4yr'!F42+'All Other 4yr'!F42)-F42</f>
        <v>0</v>
      </c>
      <c r="AI42" s="75">
        <f>('Instruction-4YR'!G42+'RESEARCH 4yr'!G42+'PUBLIC SERVICE 4yr'!G42+'ASptISptSSv 4yr'!G42+'PLANT OPER MAIN 4yr'!G42+'SCHOLAR FELLOW 4yr'!G42+'All Other 4yr'!G42)-G42</f>
        <v>0</v>
      </c>
      <c r="AJ42" s="75">
        <f>('Instruction-4YR'!H42+'RESEARCH 4yr'!H42+'PUBLIC SERVICE 4yr'!H42+'ASptISptSSv 4yr'!H42+'PLANT OPER MAIN 4yr'!H42+'SCHOLAR FELLOW 4yr'!H42+'All Other 4yr'!H42)-H42</f>
        <v>0</v>
      </c>
      <c r="AK42" s="75">
        <f>('Instruction-4YR'!I42+'RESEARCH 4yr'!I42+'PUBLIC SERVICE 4yr'!I42+'ASptISptSSv 4yr'!I42+'PLANT OPER MAIN 4yr'!I42+'SCHOLAR FELLOW 4yr'!I42+'All Other 4yr'!I42)-I42</f>
        <v>0</v>
      </c>
      <c r="AL42" s="75">
        <f>('Instruction-4YR'!J42+'RESEARCH 4yr'!J42+'PUBLIC SERVICE 4yr'!J42+'ASptISptSSv 4yr'!J42+'PLANT OPER MAIN 4yr'!J42+'SCHOLAR FELLOW 4yr'!J42+'All Other 4yr'!J42)-J42</f>
        <v>0</v>
      </c>
      <c r="AM42" s="75">
        <f>('Instruction-4YR'!K42+'RESEARCH 4yr'!K42+'PUBLIC SERVICE 4yr'!K42+'ASptISptSSv 4yr'!K42+'PLANT OPER MAIN 4yr'!K42+'SCHOLAR FELLOW 4yr'!K42+'All Other 4yr'!K42)-K42</f>
        <v>0</v>
      </c>
      <c r="AN42" s="75">
        <f>('Instruction-4YR'!L42+'RESEARCH 4yr'!L42+'PUBLIC SERVICE 4yr'!L42+'ASptISptSSv 4yr'!L42+'PLANT OPER MAIN 4yr'!L42+'SCHOLAR FELLOW 4yr'!L42+'All Other 4yr'!L42)-L42</f>
        <v>0</v>
      </c>
      <c r="AO42" s="75">
        <f>('Instruction-4YR'!M42+'RESEARCH 4yr'!M42+'PUBLIC SERVICE 4yr'!M42+'ASptISptSSv 4yr'!M42+'PLANT OPER MAIN 4yr'!M42+'SCHOLAR FELLOW 4yr'!M42+'All Other 4yr'!M42)-M42</f>
        <v>0</v>
      </c>
      <c r="AP42" s="75">
        <f>('Instruction-4YR'!N42+'RESEARCH 4yr'!N42+'PUBLIC SERVICE 4yr'!N42+'ASptISptSSv 4yr'!N42+'PLANT OPER MAIN 4yr'!N42+'SCHOLAR FELLOW 4yr'!N42+'All Other 4yr'!N42)-N42</f>
        <v>0</v>
      </c>
      <c r="AQ42" s="75">
        <f>('Instruction-4YR'!O42+'RESEARCH 4yr'!O42+'PUBLIC SERVICE 4yr'!O42+'ASptISptSSv 4yr'!O42+'PLANT OPER MAIN 4yr'!O42+'SCHOLAR FELLOW 4yr'!O42+'All Other 4yr'!O42)-O42</f>
        <v>0</v>
      </c>
      <c r="AR42" s="75">
        <f>('Instruction-4YR'!P42+'RESEARCH 4yr'!P42+'PUBLIC SERVICE 4yr'!P42+'ASptISptSSv 4yr'!P42+'PLANT OPER MAIN 4yr'!P42+'SCHOLAR FELLOW 4yr'!P42+'All Other 4yr'!P42)-P42</f>
        <v>0</v>
      </c>
      <c r="AS42" s="75">
        <f>('Instruction-4YR'!Q42+'RESEARCH 4yr'!Q42+'PUBLIC SERVICE 4yr'!Q42+'ASptISptSSv 4yr'!Q42+'PLANT OPER MAIN 4yr'!Q42+'SCHOLAR FELLOW 4yr'!Q42+'All Other 4yr'!Q42)-Q42</f>
        <v>0</v>
      </c>
      <c r="AT42" s="75">
        <f>('Instruction-4YR'!R42+'RESEARCH 4yr'!R42+'PUBLIC SERVICE 4yr'!R42+'ASptISptSSv 4yr'!R42+'PLANT OPER MAIN 4yr'!R42+'SCHOLAR FELLOW 4yr'!R42+'All Other 4yr'!R42)-R42</f>
        <v>0</v>
      </c>
      <c r="AU42" s="75">
        <f>('Instruction-4YR'!S42+'RESEARCH 4yr'!S42+'PUBLIC SERVICE 4yr'!S42+'ASptISptSSv 4yr'!S42+'PLANT OPER MAIN 4yr'!S42+'SCHOLAR FELLOW 4yr'!S42+'All Other 4yr'!S42)-S42</f>
        <v>0</v>
      </c>
      <c r="AV42" s="75">
        <f>('Instruction-4YR'!T42+'RESEARCH 4yr'!T42+'PUBLIC SERVICE 4yr'!T42+'ASptISptSSv 4yr'!T42+'PLANT OPER MAIN 4yr'!T42+'SCHOLAR FELLOW 4yr'!T42+'All Other 4yr'!T42)-T42</f>
        <v>0</v>
      </c>
      <c r="AW42" s="75">
        <f>('Instruction-4YR'!U42+'RESEARCH 4yr'!U42+'PUBLIC SERVICE 4yr'!U42+'ASptISptSSv 4yr'!U42+'PLANT OPER MAIN 4yr'!U42+'SCHOLAR FELLOW 4yr'!U42+'All Other 4yr'!U42)-U42</f>
        <v>0</v>
      </c>
      <c r="AX42" s="75">
        <f>('Instruction-4YR'!V42+'RESEARCH 4yr'!V42+'PUBLIC SERVICE 4yr'!V42+'ASptISptSSv 4yr'!V42+'PLANT OPER MAIN 4yr'!V42+'SCHOLAR FELLOW 4yr'!V42+'All Other 4yr'!V42)-V42</f>
        <v>0</v>
      </c>
      <c r="AY42" s="75">
        <f>('Instruction-4YR'!W42+'RESEARCH 4yr'!W42+'PUBLIC SERVICE 4yr'!W42+'ASptISptSSv 4yr'!W42+'PLANT OPER MAIN 4yr'!W42+'SCHOLAR FELLOW 4yr'!W42+'All Other 4yr'!W42)-W42</f>
        <v>0</v>
      </c>
      <c r="AZ42" s="75">
        <f>('Instruction-4YR'!X42+'RESEARCH 4yr'!X42+'PUBLIC SERVICE 4yr'!X42+'ASptISptSSv 4yr'!X42+'PLANT OPER MAIN 4yr'!X42+'SCHOLAR FELLOW 4yr'!X42+'All Other 4yr'!X42)-X42</f>
        <v>0</v>
      </c>
      <c r="BA42" s="75">
        <f>('Instruction-4YR'!Y42+'RESEARCH 4yr'!Y42+'PUBLIC SERVICE 4yr'!Y42+'ASptISptSSv 4yr'!Y42+'PLANT OPER MAIN 4yr'!Y42+'SCHOLAR FELLOW 4yr'!Y42+'All Other 4yr'!Y42)-Y42</f>
        <v>0</v>
      </c>
      <c r="BB42" s="75">
        <f>('Instruction-4YR'!Z42+'RESEARCH 4yr'!Z42+'PUBLIC SERVICE 4yr'!Z42+'ASptISptSSv 4yr'!Z42+'PLANT OPER MAIN 4yr'!Z42+'SCHOLAR FELLOW 4yr'!Z42+'All Other 4yr'!Z42)-Z42</f>
        <v>0</v>
      </c>
      <c r="BC42" s="75">
        <f>('Instruction-4YR'!AA42+'RESEARCH 4yr'!AA42+'PUBLIC SERVICE 4yr'!AA42+'ASptISptSSv 4yr'!AA42+'PLANT OPER MAIN 4yr'!AA42+'SCHOLAR FELLOW 4yr'!AA42+'All Other 4yr'!AA42)-AA42</f>
        <v>0</v>
      </c>
      <c r="BD42" s="75">
        <f>('Instruction-4YR'!AB42+'RESEARCH 4yr'!AB42+'PUBLIC SERVICE 4yr'!AB42+'ASptISptSSv 4yr'!AB42+'PLANT OPER MAIN 4yr'!AB42+'SCHOLAR FELLOW 4yr'!AB42+'All Other 4yr'!AB42)-AB42</f>
        <v>0</v>
      </c>
      <c r="BE42" s="75">
        <f>('Instruction-4YR'!AC42+'RESEARCH 4yr'!AC42+'PUBLIC SERVICE 4yr'!AC42+'ASptISptSSv 4yr'!AC42+'PLANT OPER MAIN 4yr'!AC42+'SCHOLAR FELLOW 4yr'!AC42+'All Other 4yr'!AC42)-AC42</f>
        <v>0</v>
      </c>
    </row>
    <row r="43" spans="1:57">
      <c r="A43" s="1" t="s">
        <v>58</v>
      </c>
      <c r="F43" s="42">
        <v>1837442.0179999999</v>
      </c>
      <c r="I43" s="1">
        <v>2079903.689</v>
      </c>
      <c r="K43" s="1">
        <v>2304701.0970000001</v>
      </c>
      <c r="L43" s="1">
        <v>2746209.82</v>
      </c>
      <c r="M43" s="1">
        <v>2921503.1490000002</v>
      </c>
      <c r="N43" s="1">
        <v>3184131.818</v>
      </c>
      <c r="O43" s="1">
        <v>3341288.801</v>
      </c>
      <c r="P43" s="1">
        <v>3595934.969</v>
      </c>
      <c r="Q43" s="1">
        <v>3913220.4939999999</v>
      </c>
      <c r="R43" s="1">
        <v>4061014.977</v>
      </c>
      <c r="S43" s="1">
        <v>4234720.716</v>
      </c>
      <c r="T43" s="1">
        <v>4545858.3459999999</v>
      </c>
      <c r="U43" s="1">
        <v>4700043.6129999999</v>
      </c>
      <c r="V43" s="1">
        <v>4740321.6619999995</v>
      </c>
      <c r="W43" s="1">
        <v>4935417.9220000003</v>
      </c>
      <c r="X43" s="1">
        <v>5084753.17</v>
      </c>
      <c r="Y43" s="1">
        <v>5113212.1440000003</v>
      </c>
      <c r="Z43" s="1">
        <v>5320098.1380000003</v>
      </c>
      <c r="AA43" s="1">
        <v>5299562.1560000004</v>
      </c>
      <c r="AB43" s="1">
        <v>5700189.1289999997</v>
      </c>
      <c r="AC43" s="1">
        <v>5916464.0190000003</v>
      </c>
      <c r="AD43" s="75">
        <f>('Instruction-4YR'!B43+'RESEARCH 4yr'!B43+'PUBLIC SERVICE 4yr'!B43+'ASptISptSSv 4yr'!B43+'PLANT OPER MAIN 4yr'!B43+'SCHOLAR FELLOW 4yr'!B43+'All Other 4yr'!B43)-B43</f>
        <v>0</v>
      </c>
      <c r="AE43" s="75">
        <f>('Instruction-4YR'!C43+'RESEARCH 4yr'!C43+'PUBLIC SERVICE 4yr'!C43+'ASptISptSSv 4yr'!C43+'PLANT OPER MAIN 4yr'!C43+'SCHOLAR FELLOW 4yr'!C43+'All Other 4yr'!C43)-C43</f>
        <v>0</v>
      </c>
      <c r="AF43" s="75">
        <f>('Instruction-4YR'!D43+'RESEARCH 4yr'!D43+'PUBLIC SERVICE 4yr'!D43+'ASptISptSSv 4yr'!D43+'PLANT OPER MAIN 4yr'!D43+'SCHOLAR FELLOW 4yr'!D43+'All Other 4yr'!D43)-D43</f>
        <v>0</v>
      </c>
      <c r="AG43" s="75">
        <f>('Instruction-4YR'!E43+'RESEARCH 4yr'!E43+'PUBLIC SERVICE 4yr'!E43+'ASptISptSSv 4yr'!E43+'PLANT OPER MAIN 4yr'!E43+'SCHOLAR FELLOW 4yr'!E43+'All Other 4yr'!E43)-E43</f>
        <v>0</v>
      </c>
      <c r="AH43" s="75">
        <f>('Instruction-4YR'!F43+'RESEARCH 4yr'!F43+'PUBLIC SERVICE 4yr'!F43+'ASptISptSSv 4yr'!F43+'PLANT OPER MAIN 4yr'!F43+'SCHOLAR FELLOW 4yr'!F43+'All Other 4yr'!F43)-F43</f>
        <v>0</v>
      </c>
      <c r="AI43" s="75">
        <f>('Instruction-4YR'!G43+'RESEARCH 4yr'!G43+'PUBLIC SERVICE 4yr'!G43+'ASptISptSSv 4yr'!G43+'PLANT OPER MAIN 4yr'!G43+'SCHOLAR FELLOW 4yr'!G43+'All Other 4yr'!G43)-G43</f>
        <v>0</v>
      </c>
      <c r="AJ43" s="75">
        <f>('Instruction-4YR'!H43+'RESEARCH 4yr'!H43+'PUBLIC SERVICE 4yr'!H43+'ASptISptSSv 4yr'!H43+'PLANT OPER MAIN 4yr'!H43+'SCHOLAR FELLOW 4yr'!H43+'All Other 4yr'!H43)-H43</f>
        <v>0</v>
      </c>
      <c r="AK43" s="75">
        <f>('Instruction-4YR'!I43+'RESEARCH 4yr'!I43+'PUBLIC SERVICE 4yr'!I43+'ASptISptSSv 4yr'!I43+'PLANT OPER MAIN 4yr'!I43+'SCHOLAR FELLOW 4yr'!I43+'All Other 4yr'!I43)-I43</f>
        <v>0</v>
      </c>
      <c r="AL43" s="75">
        <f>('Instruction-4YR'!J43+'RESEARCH 4yr'!J43+'PUBLIC SERVICE 4yr'!J43+'ASptISptSSv 4yr'!J43+'PLANT OPER MAIN 4yr'!J43+'SCHOLAR FELLOW 4yr'!J43+'All Other 4yr'!J43)-J43</f>
        <v>0</v>
      </c>
      <c r="AM43" s="75">
        <f>('Instruction-4YR'!K43+'RESEARCH 4yr'!K43+'PUBLIC SERVICE 4yr'!K43+'ASptISptSSv 4yr'!K43+'PLANT OPER MAIN 4yr'!K43+'SCHOLAR FELLOW 4yr'!K43+'All Other 4yr'!K43)-K43</f>
        <v>0</v>
      </c>
      <c r="AN43" s="75">
        <f>('Instruction-4YR'!L43+'RESEARCH 4yr'!L43+'PUBLIC SERVICE 4yr'!L43+'ASptISptSSv 4yr'!L43+'PLANT OPER MAIN 4yr'!L43+'SCHOLAR FELLOW 4yr'!L43+'All Other 4yr'!L43)-L43</f>
        <v>0</v>
      </c>
      <c r="AO43" s="75">
        <f>('Instruction-4YR'!M43+'RESEARCH 4yr'!M43+'PUBLIC SERVICE 4yr'!M43+'ASptISptSSv 4yr'!M43+'PLANT OPER MAIN 4yr'!M43+'SCHOLAR FELLOW 4yr'!M43+'All Other 4yr'!M43)-M43</f>
        <v>0</v>
      </c>
      <c r="AP43" s="75">
        <f>('Instruction-4YR'!N43+'RESEARCH 4yr'!N43+'PUBLIC SERVICE 4yr'!N43+'ASptISptSSv 4yr'!N43+'PLANT OPER MAIN 4yr'!N43+'SCHOLAR FELLOW 4yr'!N43+'All Other 4yr'!N43)-N43</f>
        <v>0</v>
      </c>
      <c r="AQ43" s="75">
        <f>('Instruction-4YR'!O43+'RESEARCH 4yr'!O43+'PUBLIC SERVICE 4yr'!O43+'ASptISptSSv 4yr'!O43+'PLANT OPER MAIN 4yr'!O43+'SCHOLAR FELLOW 4yr'!O43+'All Other 4yr'!O43)-O43</f>
        <v>0</v>
      </c>
      <c r="AR43" s="75">
        <f>('Instruction-4YR'!P43+'RESEARCH 4yr'!P43+'PUBLIC SERVICE 4yr'!P43+'ASptISptSSv 4yr'!P43+'PLANT OPER MAIN 4yr'!P43+'SCHOLAR FELLOW 4yr'!P43+'All Other 4yr'!P43)-P43</f>
        <v>0</v>
      </c>
      <c r="AS43" s="75">
        <f>('Instruction-4YR'!Q43+'RESEARCH 4yr'!Q43+'PUBLIC SERVICE 4yr'!Q43+'ASptISptSSv 4yr'!Q43+'PLANT OPER MAIN 4yr'!Q43+'SCHOLAR FELLOW 4yr'!Q43+'All Other 4yr'!Q43)-Q43</f>
        <v>0</v>
      </c>
      <c r="AT43" s="75">
        <f>('Instruction-4YR'!R43+'RESEARCH 4yr'!R43+'PUBLIC SERVICE 4yr'!R43+'ASptISptSSv 4yr'!R43+'PLANT OPER MAIN 4yr'!R43+'SCHOLAR FELLOW 4yr'!R43+'All Other 4yr'!R43)-R43</f>
        <v>0</v>
      </c>
      <c r="AU43" s="75">
        <f>('Instruction-4YR'!S43+'RESEARCH 4yr'!S43+'PUBLIC SERVICE 4yr'!S43+'ASptISptSSv 4yr'!S43+'PLANT OPER MAIN 4yr'!S43+'SCHOLAR FELLOW 4yr'!S43+'All Other 4yr'!S43)-S43</f>
        <v>0</v>
      </c>
      <c r="AV43" s="75">
        <f>('Instruction-4YR'!T43+'RESEARCH 4yr'!T43+'PUBLIC SERVICE 4yr'!T43+'ASptISptSSv 4yr'!T43+'PLANT OPER MAIN 4yr'!T43+'SCHOLAR FELLOW 4yr'!T43+'All Other 4yr'!T43)-T43</f>
        <v>0</v>
      </c>
      <c r="AW43" s="75">
        <f>('Instruction-4YR'!U43+'RESEARCH 4yr'!U43+'PUBLIC SERVICE 4yr'!U43+'ASptISptSSv 4yr'!U43+'PLANT OPER MAIN 4yr'!U43+'SCHOLAR FELLOW 4yr'!U43+'All Other 4yr'!U43)-U43</f>
        <v>0</v>
      </c>
      <c r="AX43" s="75">
        <f>('Instruction-4YR'!V43+'RESEARCH 4yr'!V43+'PUBLIC SERVICE 4yr'!V43+'ASptISptSSv 4yr'!V43+'PLANT OPER MAIN 4yr'!V43+'SCHOLAR FELLOW 4yr'!V43+'All Other 4yr'!V43)-V43</f>
        <v>0</v>
      </c>
      <c r="AY43" s="75">
        <f>('Instruction-4YR'!W43+'RESEARCH 4yr'!W43+'PUBLIC SERVICE 4yr'!W43+'ASptISptSSv 4yr'!W43+'PLANT OPER MAIN 4yr'!W43+'SCHOLAR FELLOW 4yr'!W43+'All Other 4yr'!W43)-W43</f>
        <v>0</v>
      </c>
      <c r="AZ43" s="75">
        <f>('Instruction-4YR'!X43+'RESEARCH 4yr'!X43+'PUBLIC SERVICE 4yr'!X43+'ASptISptSSv 4yr'!X43+'PLANT OPER MAIN 4yr'!X43+'SCHOLAR FELLOW 4yr'!X43+'All Other 4yr'!X43)-X43</f>
        <v>0</v>
      </c>
      <c r="BA43" s="75">
        <f>('Instruction-4YR'!Y43+'RESEARCH 4yr'!Y43+'PUBLIC SERVICE 4yr'!Y43+'ASptISptSSv 4yr'!Y43+'PLANT OPER MAIN 4yr'!Y43+'SCHOLAR FELLOW 4yr'!Y43+'All Other 4yr'!Y43)-Y43</f>
        <v>0</v>
      </c>
      <c r="BB43" s="75">
        <f>('Instruction-4YR'!Z43+'RESEARCH 4yr'!Z43+'PUBLIC SERVICE 4yr'!Z43+'ASptISptSSv 4yr'!Z43+'PLANT OPER MAIN 4yr'!Z43+'SCHOLAR FELLOW 4yr'!Z43+'All Other 4yr'!Z43)-Z43</f>
        <v>0</v>
      </c>
      <c r="BC43" s="75">
        <f>('Instruction-4YR'!AA43+'RESEARCH 4yr'!AA43+'PUBLIC SERVICE 4yr'!AA43+'ASptISptSSv 4yr'!AA43+'PLANT OPER MAIN 4yr'!AA43+'SCHOLAR FELLOW 4yr'!AA43+'All Other 4yr'!AA43)-AA43</f>
        <v>0</v>
      </c>
      <c r="BD43" s="75">
        <f>('Instruction-4YR'!AB43+'RESEARCH 4yr'!AB43+'PUBLIC SERVICE 4yr'!AB43+'ASptISptSSv 4yr'!AB43+'PLANT OPER MAIN 4yr'!AB43+'SCHOLAR FELLOW 4yr'!AB43+'All Other 4yr'!AB43)-AB43</f>
        <v>0</v>
      </c>
      <c r="BE43" s="75">
        <f>('Instruction-4YR'!AC43+'RESEARCH 4yr'!AC43+'PUBLIC SERVICE 4yr'!AC43+'ASptISptSSv 4yr'!AC43+'PLANT OPER MAIN 4yr'!AC43+'SCHOLAR FELLOW 4yr'!AC43+'All Other 4yr'!AC43)-AC43</f>
        <v>0</v>
      </c>
    </row>
    <row r="44" spans="1:57">
      <c r="A44" s="1" t="s">
        <v>94</v>
      </c>
      <c r="F44" s="42">
        <v>946172.96</v>
      </c>
      <c r="I44" s="1">
        <v>1149389.013</v>
      </c>
      <c r="K44" s="1">
        <v>1254430.611</v>
      </c>
      <c r="L44" s="1">
        <v>1463689.2039999999</v>
      </c>
      <c r="M44" s="1">
        <v>1570290.828</v>
      </c>
      <c r="N44" s="1">
        <v>1713758.459</v>
      </c>
      <c r="O44" s="1">
        <v>1675450.8540000001</v>
      </c>
      <c r="P44" s="1">
        <v>1833926.564</v>
      </c>
      <c r="Q44" s="1">
        <v>1851565.48</v>
      </c>
      <c r="R44" s="1">
        <v>2038857.25</v>
      </c>
      <c r="S44" s="1">
        <v>2045673.023</v>
      </c>
      <c r="T44" s="1">
        <v>2162032.0630000001</v>
      </c>
      <c r="U44" s="1">
        <v>2307804.7420000001</v>
      </c>
      <c r="V44" s="1">
        <v>2281764.7230000002</v>
      </c>
      <c r="W44" s="1">
        <v>2335184.0389999999</v>
      </c>
      <c r="X44" s="1">
        <v>2318412.9539999999</v>
      </c>
      <c r="Y44" s="1">
        <v>2448389.5079999999</v>
      </c>
      <c r="Z44" s="1">
        <v>2543379.7790000001</v>
      </c>
      <c r="AA44" s="1">
        <v>2648438.5460000001</v>
      </c>
      <c r="AB44" s="1">
        <v>2677147.1490000002</v>
      </c>
      <c r="AC44" s="1">
        <v>2784692.5350000001</v>
      </c>
      <c r="AD44" s="75">
        <f>('Instruction-4YR'!B44+'RESEARCH 4yr'!B44+'PUBLIC SERVICE 4yr'!B44+'ASptISptSSv 4yr'!B44+'PLANT OPER MAIN 4yr'!B44+'SCHOLAR FELLOW 4yr'!B44+'All Other 4yr'!B44)-B44</f>
        <v>0</v>
      </c>
      <c r="AE44" s="75">
        <f>('Instruction-4YR'!C44+'RESEARCH 4yr'!C44+'PUBLIC SERVICE 4yr'!C44+'ASptISptSSv 4yr'!C44+'PLANT OPER MAIN 4yr'!C44+'SCHOLAR FELLOW 4yr'!C44+'All Other 4yr'!C44)-C44</f>
        <v>0</v>
      </c>
      <c r="AF44" s="75">
        <f>('Instruction-4YR'!D44+'RESEARCH 4yr'!D44+'PUBLIC SERVICE 4yr'!D44+'ASptISptSSv 4yr'!D44+'PLANT OPER MAIN 4yr'!D44+'SCHOLAR FELLOW 4yr'!D44+'All Other 4yr'!D44)-D44</f>
        <v>0</v>
      </c>
      <c r="AG44" s="75">
        <f>('Instruction-4YR'!E44+'RESEARCH 4yr'!E44+'PUBLIC SERVICE 4yr'!E44+'ASptISptSSv 4yr'!E44+'PLANT OPER MAIN 4yr'!E44+'SCHOLAR FELLOW 4yr'!E44+'All Other 4yr'!E44)-E44</f>
        <v>0</v>
      </c>
      <c r="AH44" s="75">
        <f>('Instruction-4YR'!F44+'RESEARCH 4yr'!F44+'PUBLIC SERVICE 4yr'!F44+'ASptISptSSv 4yr'!F44+'PLANT OPER MAIN 4yr'!F44+'SCHOLAR FELLOW 4yr'!F44+'All Other 4yr'!F44)-F44</f>
        <v>0</v>
      </c>
      <c r="AI44" s="75">
        <f>('Instruction-4YR'!G44+'RESEARCH 4yr'!G44+'PUBLIC SERVICE 4yr'!G44+'ASptISptSSv 4yr'!G44+'PLANT OPER MAIN 4yr'!G44+'SCHOLAR FELLOW 4yr'!G44+'All Other 4yr'!G44)-G44</f>
        <v>0</v>
      </c>
      <c r="AJ44" s="75">
        <f>('Instruction-4YR'!H44+'RESEARCH 4yr'!H44+'PUBLIC SERVICE 4yr'!H44+'ASptISptSSv 4yr'!H44+'PLANT OPER MAIN 4yr'!H44+'SCHOLAR FELLOW 4yr'!H44+'All Other 4yr'!H44)-H44</f>
        <v>0</v>
      </c>
      <c r="AK44" s="75">
        <f>('Instruction-4YR'!I44+'RESEARCH 4yr'!I44+'PUBLIC SERVICE 4yr'!I44+'ASptISptSSv 4yr'!I44+'PLANT OPER MAIN 4yr'!I44+'SCHOLAR FELLOW 4yr'!I44+'All Other 4yr'!I44)-I44</f>
        <v>0</v>
      </c>
      <c r="AL44" s="75">
        <f>('Instruction-4YR'!J44+'RESEARCH 4yr'!J44+'PUBLIC SERVICE 4yr'!J44+'ASptISptSSv 4yr'!J44+'PLANT OPER MAIN 4yr'!J44+'SCHOLAR FELLOW 4yr'!J44+'All Other 4yr'!J44)-J44</f>
        <v>0</v>
      </c>
      <c r="AM44" s="75">
        <f>('Instruction-4YR'!K44+'RESEARCH 4yr'!K44+'PUBLIC SERVICE 4yr'!K44+'ASptISptSSv 4yr'!K44+'PLANT OPER MAIN 4yr'!K44+'SCHOLAR FELLOW 4yr'!K44+'All Other 4yr'!K44)-K44</f>
        <v>0</v>
      </c>
      <c r="AN44" s="75">
        <f>('Instruction-4YR'!L44+'RESEARCH 4yr'!L44+'PUBLIC SERVICE 4yr'!L44+'ASptISptSSv 4yr'!L44+'PLANT OPER MAIN 4yr'!L44+'SCHOLAR FELLOW 4yr'!L44+'All Other 4yr'!L44)-L44</f>
        <v>0</v>
      </c>
      <c r="AO44" s="75">
        <f>('Instruction-4YR'!M44+'RESEARCH 4yr'!M44+'PUBLIC SERVICE 4yr'!M44+'ASptISptSSv 4yr'!M44+'PLANT OPER MAIN 4yr'!M44+'SCHOLAR FELLOW 4yr'!M44+'All Other 4yr'!M44)-M44</f>
        <v>0</v>
      </c>
      <c r="AP44" s="75">
        <f>('Instruction-4YR'!N44+'RESEARCH 4yr'!N44+'PUBLIC SERVICE 4yr'!N44+'ASptISptSSv 4yr'!N44+'PLANT OPER MAIN 4yr'!N44+'SCHOLAR FELLOW 4yr'!N44+'All Other 4yr'!N44)-N44</f>
        <v>0</v>
      </c>
      <c r="AQ44" s="75">
        <f>('Instruction-4YR'!O44+'RESEARCH 4yr'!O44+'PUBLIC SERVICE 4yr'!O44+'ASptISptSSv 4yr'!O44+'PLANT OPER MAIN 4yr'!O44+'SCHOLAR FELLOW 4yr'!O44+'All Other 4yr'!O44)-O44</f>
        <v>0</v>
      </c>
      <c r="AR44" s="75">
        <f>('Instruction-4YR'!P44+'RESEARCH 4yr'!P44+'PUBLIC SERVICE 4yr'!P44+'ASptISptSSv 4yr'!P44+'PLANT OPER MAIN 4yr'!P44+'SCHOLAR FELLOW 4yr'!P44+'All Other 4yr'!P44)-P44</f>
        <v>0</v>
      </c>
      <c r="AS44" s="75">
        <f>('Instruction-4YR'!Q44+'RESEARCH 4yr'!Q44+'PUBLIC SERVICE 4yr'!Q44+'ASptISptSSv 4yr'!Q44+'PLANT OPER MAIN 4yr'!Q44+'SCHOLAR FELLOW 4yr'!Q44+'All Other 4yr'!Q44)-Q44</f>
        <v>0</v>
      </c>
      <c r="AT44" s="75">
        <f>('Instruction-4YR'!R44+'RESEARCH 4yr'!R44+'PUBLIC SERVICE 4yr'!R44+'ASptISptSSv 4yr'!R44+'PLANT OPER MAIN 4yr'!R44+'SCHOLAR FELLOW 4yr'!R44+'All Other 4yr'!R44)-R44</f>
        <v>0</v>
      </c>
      <c r="AU44" s="75">
        <f>('Instruction-4YR'!S44+'RESEARCH 4yr'!S44+'PUBLIC SERVICE 4yr'!S44+'ASptISptSSv 4yr'!S44+'PLANT OPER MAIN 4yr'!S44+'SCHOLAR FELLOW 4yr'!S44+'All Other 4yr'!S44)-S44</f>
        <v>0</v>
      </c>
      <c r="AV44" s="75">
        <f>('Instruction-4YR'!T44+'RESEARCH 4yr'!T44+'PUBLIC SERVICE 4yr'!T44+'ASptISptSSv 4yr'!T44+'PLANT OPER MAIN 4yr'!T44+'SCHOLAR FELLOW 4yr'!T44+'All Other 4yr'!T44)-T44</f>
        <v>0</v>
      </c>
      <c r="AW44" s="75">
        <f>('Instruction-4YR'!U44+'RESEARCH 4yr'!U44+'PUBLIC SERVICE 4yr'!U44+'ASptISptSSv 4yr'!U44+'PLANT OPER MAIN 4yr'!U44+'SCHOLAR FELLOW 4yr'!U44+'All Other 4yr'!U44)-U44</f>
        <v>0</v>
      </c>
      <c r="AX44" s="75">
        <f>('Instruction-4YR'!V44+'RESEARCH 4yr'!V44+'PUBLIC SERVICE 4yr'!V44+'ASptISptSSv 4yr'!V44+'PLANT OPER MAIN 4yr'!V44+'SCHOLAR FELLOW 4yr'!V44+'All Other 4yr'!V44)-V44</f>
        <v>0</v>
      </c>
      <c r="AY44" s="75">
        <f>('Instruction-4YR'!W44+'RESEARCH 4yr'!W44+'PUBLIC SERVICE 4yr'!W44+'ASptISptSSv 4yr'!W44+'PLANT OPER MAIN 4yr'!W44+'SCHOLAR FELLOW 4yr'!W44+'All Other 4yr'!W44)-W44</f>
        <v>0</v>
      </c>
      <c r="AZ44" s="75">
        <f>('Instruction-4YR'!X44+'RESEARCH 4yr'!X44+'PUBLIC SERVICE 4yr'!X44+'ASptISptSSv 4yr'!X44+'PLANT OPER MAIN 4yr'!X44+'SCHOLAR FELLOW 4yr'!X44+'All Other 4yr'!X44)-X44</f>
        <v>0</v>
      </c>
      <c r="BA44" s="75">
        <f>('Instruction-4YR'!Y44+'RESEARCH 4yr'!Y44+'PUBLIC SERVICE 4yr'!Y44+'ASptISptSSv 4yr'!Y44+'PLANT OPER MAIN 4yr'!Y44+'SCHOLAR FELLOW 4yr'!Y44+'All Other 4yr'!Y44)-Y44</f>
        <v>0</v>
      </c>
      <c r="BB44" s="75">
        <f>('Instruction-4YR'!Z44+'RESEARCH 4yr'!Z44+'PUBLIC SERVICE 4yr'!Z44+'ASptISptSSv 4yr'!Z44+'PLANT OPER MAIN 4yr'!Z44+'SCHOLAR FELLOW 4yr'!Z44+'All Other 4yr'!Z44)-Z44</f>
        <v>0</v>
      </c>
      <c r="BC44" s="75">
        <f>('Instruction-4YR'!AA44+'RESEARCH 4yr'!AA44+'PUBLIC SERVICE 4yr'!AA44+'ASptISptSSv 4yr'!AA44+'PLANT OPER MAIN 4yr'!AA44+'SCHOLAR FELLOW 4yr'!AA44+'All Other 4yr'!AA44)-AA44</f>
        <v>0</v>
      </c>
      <c r="BD44" s="75">
        <f>('Instruction-4YR'!AB44+'RESEARCH 4yr'!AB44+'PUBLIC SERVICE 4yr'!AB44+'ASptISptSSv 4yr'!AB44+'PLANT OPER MAIN 4yr'!AB44+'SCHOLAR FELLOW 4yr'!AB44+'All Other 4yr'!AB44)-AB44</f>
        <v>0</v>
      </c>
      <c r="BE44" s="75">
        <f>('Instruction-4YR'!AC44+'RESEARCH 4yr'!AC44+'PUBLIC SERVICE 4yr'!AC44+'ASptISptSSv 4yr'!AC44+'PLANT OPER MAIN 4yr'!AC44+'SCHOLAR FELLOW 4yr'!AC44+'All Other 4yr'!AC44)-AC44</f>
        <v>0</v>
      </c>
    </row>
    <row r="45" spans="1:57">
      <c r="A45" s="1" t="s">
        <v>95</v>
      </c>
      <c r="F45" s="42">
        <v>832855.54</v>
      </c>
      <c r="I45" s="1">
        <v>979591.223</v>
      </c>
      <c r="K45" s="1">
        <v>1046085.1754000001</v>
      </c>
      <c r="L45" s="1">
        <v>1286750.0349999999</v>
      </c>
      <c r="M45" s="1">
        <v>1349689.8019999999</v>
      </c>
      <c r="N45" s="1">
        <v>1439247.1059999999</v>
      </c>
      <c r="O45" s="1">
        <v>1573943.3729999999</v>
      </c>
      <c r="P45" s="1">
        <v>1710057.8319999999</v>
      </c>
      <c r="Q45" s="1">
        <v>1815778.172</v>
      </c>
      <c r="R45" s="1">
        <v>1903241.9709999999</v>
      </c>
      <c r="S45" s="1">
        <v>1952888.1070000001</v>
      </c>
      <c r="T45" s="1">
        <v>1947133.8959999999</v>
      </c>
      <c r="U45" s="1">
        <v>2065011.183</v>
      </c>
      <c r="V45" s="1">
        <v>2093029.7849999999</v>
      </c>
      <c r="W45" s="1">
        <v>2192812.088</v>
      </c>
      <c r="X45" s="1">
        <v>2330766.105</v>
      </c>
      <c r="Y45" s="1">
        <v>2374205.7889999999</v>
      </c>
      <c r="Z45" s="1">
        <v>2441162.6460000002</v>
      </c>
      <c r="AA45" s="1">
        <v>2505333.807</v>
      </c>
      <c r="AB45" s="1">
        <v>2478854.0120000001</v>
      </c>
      <c r="AC45" s="1">
        <v>2528103.3059999999</v>
      </c>
      <c r="AD45" s="75">
        <f>('Instruction-4YR'!B45+'RESEARCH 4yr'!B45+'PUBLIC SERVICE 4yr'!B45+'ASptISptSSv 4yr'!B45+'PLANT OPER MAIN 4yr'!B45+'SCHOLAR FELLOW 4yr'!B45+'All Other 4yr'!B45)-B45</f>
        <v>0</v>
      </c>
      <c r="AE45" s="75">
        <f>('Instruction-4YR'!C45+'RESEARCH 4yr'!C45+'PUBLIC SERVICE 4yr'!C45+'ASptISptSSv 4yr'!C45+'PLANT OPER MAIN 4yr'!C45+'SCHOLAR FELLOW 4yr'!C45+'All Other 4yr'!C45)-C45</f>
        <v>0</v>
      </c>
      <c r="AF45" s="75">
        <f>('Instruction-4YR'!D45+'RESEARCH 4yr'!D45+'PUBLIC SERVICE 4yr'!D45+'ASptISptSSv 4yr'!D45+'PLANT OPER MAIN 4yr'!D45+'SCHOLAR FELLOW 4yr'!D45+'All Other 4yr'!D45)-D45</f>
        <v>0</v>
      </c>
      <c r="AG45" s="75">
        <f>('Instruction-4YR'!E45+'RESEARCH 4yr'!E45+'PUBLIC SERVICE 4yr'!E45+'ASptISptSSv 4yr'!E45+'PLANT OPER MAIN 4yr'!E45+'SCHOLAR FELLOW 4yr'!E45+'All Other 4yr'!E45)-E45</f>
        <v>0</v>
      </c>
      <c r="AH45" s="75">
        <f>('Instruction-4YR'!F45+'RESEARCH 4yr'!F45+'PUBLIC SERVICE 4yr'!F45+'ASptISptSSv 4yr'!F45+'PLANT OPER MAIN 4yr'!F45+'SCHOLAR FELLOW 4yr'!F45+'All Other 4yr'!F45)-F45</f>
        <v>0</v>
      </c>
      <c r="AI45" s="75">
        <f>('Instruction-4YR'!G45+'RESEARCH 4yr'!G45+'PUBLIC SERVICE 4yr'!G45+'ASptISptSSv 4yr'!G45+'PLANT OPER MAIN 4yr'!G45+'SCHOLAR FELLOW 4yr'!G45+'All Other 4yr'!G45)-G45</f>
        <v>0</v>
      </c>
      <c r="AJ45" s="75">
        <f>('Instruction-4YR'!H45+'RESEARCH 4yr'!H45+'PUBLIC SERVICE 4yr'!H45+'ASptISptSSv 4yr'!H45+'PLANT OPER MAIN 4yr'!H45+'SCHOLAR FELLOW 4yr'!H45+'All Other 4yr'!H45)-H45</f>
        <v>0</v>
      </c>
      <c r="AK45" s="75">
        <f>('Instruction-4YR'!I45+'RESEARCH 4yr'!I45+'PUBLIC SERVICE 4yr'!I45+'ASptISptSSv 4yr'!I45+'PLANT OPER MAIN 4yr'!I45+'SCHOLAR FELLOW 4yr'!I45+'All Other 4yr'!I45)-I45</f>
        <v>0</v>
      </c>
      <c r="AL45" s="75">
        <f>('Instruction-4YR'!J45+'RESEARCH 4yr'!J45+'PUBLIC SERVICE 4yr'!J45+'ASptISptSSv 4yr'!J45+'PLANT OPER MAIN 4yr'!J45+'SCHOLAR FELLOW 4yr'!J45+'All Other 4yr'!J45)-J45</f>
        <v>0</v>
      </c>
      <c r="AM45" s="75">
        <f>('Instruction-4YR'!K45+'RESEARCH 4yr'!K45+'PUBLIC SERVICE 4yr'!K45+'ASptISptSSv 4yr'!K45+'PLANT OPER MAIN 4yr'!K45+'SCHOLAR FELLOW 4yr'!K45+'All Other 4yr'!K45)-K45</f>
        <v>0</v>
      </c>
      <c r="AN45" s="75">
        <f>('Instruction-4YR'!L45+'RESEARCH 4yr'!L45+'PUBLIC SERVICE 4yr'!L45+'ASptISptSSv 4yr'!L45+'PLANT OPER MAIN 4yr'!L45+'SCHOLAR FELLOW 4yr'!L45+'All Other 4yr'!L45)-L45</f>
        <v>0</v>
      </c>
      <c r="AO45" s="75">
        <f>('Instruction-4YR'!M45+'RESEARCH 4yr'!M45+'PUBLIC SERVICE 4yr'!M45+'ASptISptSSv 4yr'!M45+'PLANT OPER MAIN 4yr'!M45+'SCHOLAR FELLOW 4yr'!M45+'All Other 4yr'!M45)-M45</f>
        <v>0</v>
      </c>
      <c r="AP45" s="75">
        <f>('Instruction-4YR'!N45+'RESEARCH 4yr'!N45+'PUBLIC SERVICE 4yr'!N45+'ASptISptSSv 4yr'!N45+'PLANT OPER MAIN 4yr'!N45+'SCHOLAR FELLOW 4yr'!N45+'All Other 4yr'!N45)-N45</f>
        <v>0</v>
      </c>
      <c r="AQ45" s="75">
        <f>('Instruction-4YR'!O45+'RESEARCH 4yr'!O45+'PUBLIC SERVICE 4yr'!O45+'ASptISptSSv 4yr'!O45+'PLANT OPER MAIN 4yr'!O45+'SCHOLAR FELLOW 4yr'!O45+'All Other 4yr'!O45)-O45</f>
        <v>0</v>
      </c>
      <c r="AR45" s="75">
        <f>('Instruction-4YR'!P45+'RESEARCH 4yr'!P45+'PUBLIC SERVICE 4yr'!P45+'ASptISptSSv 4yr'!P45+'PLANT OPER MAIN 4yr'!P45+'SCHOLAR FELLOW 4yr'!P45+'All Other 4yr'!P45)-P45</f>
        <v>0</v>
      </c>
      <c r="AS45" s="75">
        <f>('Instruction-4YR'!Q45+'RESEARCH 4yr'!Q45+'PUBLIC SERVICE 4yr'!Q45+'ASptISptSSv 4yr'!Q45+'PLANT OPER MAIN 4yr'!Q45+'SCHOLAR FELLOW 4yr'!Q45+'All Other 4yr'!Q45)-Q45</f>
        <v>0</v>
      </c>
      <c r="AT45" s="75">
        <f>('Instruction-4YR'!R45+'RESEARCH 4yr'!R45+'PUBLIC SERVICE 4yr'!R45+'ASptISptSSv 4yr'!R45+'PLANT OPER MAIN 4yr'!R45+'SCHOLAR FELLOW 4yr'!R45+'All Other 4yr'!R45)-R45</f>
        <v>0</v>
      </c>
      <c r="AU45" s="75">
        <f>('Instruction-4YR'!S45+'RESEARCH 4yr'!S45+'PUBLIC SERVICE 4yr'!S45+'ASptISptSSv 4yr'!S45+'PLANT OPER MAIN 4yr'!S45+'SCHOLAR FELLOW 4yr'!S45+'All Other 4yr'!S45)-S45</f>
        <v>0</v>
      </c>
      <c r="AV45" s="75">
        <f>('Instruction-4YR'!T45+'RESEARCH 4yr'!T45+'PUBLIC SERVICE 4yr'!T45+'ASptISptSSv 4yr'!T45+'PLANT OPER MAIN 4yr'!T45+'SCHOLAR FELLOW 4yr'!T45+'All Other 4yr'!T45)-T45</f>
        <v>0</v>
      </c>
      <c r="AW45" s="75">
        <f>('Instruction-4YR'!U45+'RESEARCH 4yr'!U45+'PUBLIC SERVICE 4yr'!U45+'ASptISptSSv 4yr'!U45+'PLANT OPER MAIN 4yr'!U45+'SCHOLAR FELLOW 4yr'!U45+'All Other 4yr'!U45)-U45</f>
        <v>0</v>
      </c>
      <c r="AX45" s="75">
        <f>('Instruction-4YR'!V45+'RESEARCH 4yr'!V45+'PUBLIC SERVICE 4yr'!V45+'ASptISptSSv 4yr'!V45+'PLANT OPER MAIN 4yr'!V45+'SCHOLAR FELLOW 4yr'!V45+'All Other 4yr'!V45)-V45</f>
        <v>0</v>
      </c>
      <c r="AY45" s="75">
        <f>('Instruction-4YR'!W45+'RESEARCH 4yr'!W45+'PUBLIC SERVICE 4yr'!W45+'ASptISptSSv 4yr'!W45+'PLANT OPER MAIN 4yr'!W45+'SCHOLAR FELLOW 4yr'!W45+'All Other 4yr'!W45)-W45</f>
        <v>0</v>
      </c>
      <c r="AZ45" s="75">
        <f>('Instruction-4YR'!X45+'RESEARCH 4yr'!X45+'PUBLIC SERVICE 4yr'!X45+'ASptISptSSv 4yr'!X45+'PLANT OPER MAIN 4yr'!X45+'SCHOLAR FELLOW 4yr'!X45+'All Other 4yr'!X45)-X45</f>
        <v>0</v>
      </c>
      <c r="BA45" s="75">
        <f>('Instruction-4YR'!Y45+'RESEARCH 4yr'!Y45+'PUBLIC SERVICE 4yr'!Y45+'ASptISptSSv 4yr'!Y45+'PLANT OPER MAIN 4yr'!Y45+'SCHOLAR FELLOW 4yr'!Y45+'All Other 4yr'!Y45)-Y45</f>
        <v>0</v>
      </c>
      <c r="BB45" s="75">
        <f>('Instruction-4YR'!Z45+'RESEARCH 4yr'!Z45+'PUBLIC SERVICE 4yr'!Z45+'ASptISptSSv 4yr'!Z45+'PLANT OPER MAIN 4yr'!Z45+'SCHOLAR FELLOW 4yr'!Z45+'All Other 4yr'!Z45)-Z45</f>
        <v>0</v>
      </c>
      <c r="BC45" s="75">
        <f>('Instruction-4YR'!AA45+'RESEARCH 4yr'!AA45+'PUBLIC SERVICE 4yr'!AA45+'ASptISptSSv 4yr'!AA45+'PLANT OPER MAIN 4yr'!AA45+'SCHOLAR FELLOW 4yr'!AA45+'All Other 4yr'!AA45)-AA45</f>
        <v>0</v>
      </c>
      <c r="BD45" s="75">
        <f>('Instruction-4YR'!AB45+'RESEARCH 4yr'!AB45+'PUBLIC SERVICE 4yr'!AB45+'ASptISptSSv 4yr'!AB45+'PLANT OPER MAIN 4yr'!AB45+'SCHOLAR FELLOW 4yr'!AB45+'All Other 4yr'!AB45)-AB45</f>
        <v>0</v>
      </c>
      <c r="BE45" s="75">
        <f>('Instruction-4YR'!AC45+'RESEARCH 4yr'!AC45+'PUBLIC SERVICE 4yr'!AC45+'ASptISptSSv 4yr'!AC45+'PLANT OPER MAIN 4yr'!AC45+'SCHOLAR FELLOW 4yr'!AC45+'All Other 4yr'!AC45)-AC45</f>
        <v>0</v>
      </c>
    </row>
    <row r="46" spans="1:57">
      <c r="A46" s="1" t="s">
        <v>98</v>
      </c>
      <c r="F46" s="42">
        <v>3074031.9049999998</v>
      </c>
      <c r="I46" s="1">
        <v>3466417.199</v>
      </c>
      <c r="K46" s="1">
        <v>3933087.9780000001</v>
      </c>
      <c r="L46" s="1">
        <v>4622151.1830000002</v>
      </c>
      <c r="M46" s="1">
        <v>5239066.5140000004</v>
      </c>
      <c r="N46" s="1">
        <v>5601317.807</v>
      </c>
      <c r="O46" s="1">
        <v>5913497.6979999999</v>
      </c>
      <c r="P46" s="1">
        <v>6024773.7879999997</v>
      </c>
      <c r="Q46" s="1">
        <v>6230916.0810000002</v>
      </c>
      <c r="R46" s="1">
        <v>6562079.1560000004</v>
      </c>
      <c r="S46" s="1">
        <v>6882191.7139999997</v>
      </c>
      <c r="T46" s="1">
        <v>8521062.7620000001</v>
      </c>
      <c r="U46" s="1">
        <v>7475954.2209999999</v>
      </c>
      <c r="V46" s="1">
        <v>7817620.1330000004</v>
      </c>
      <c r="W46" s="1">
        <v>8090990.9979999997</v>
      </c>
      <c r="X46" s="1">
        <v>8352085.4249999998</v>
      </c>
      <c r="Y46" s="1">
        <v>8629633.9700000007</v>
      </c>
      <c r="Z46" s="1">
        <v>8809804.432</v>
      </c>
      <c r="AA46" s="1">
        <v>9114180.3619999997</v>
      </c>
      <c r="AB46" s="1">
        <v>9735845.0580000002</v>
      </c>
      <c r="AC46" s="1">
        <v>10151945.436000001</v>
      </c>
      <c r="AD46" s="75">
        <f>('Instruction-4YR'!B46+'RESEARCH 4yr'!B46+'PUBLIC SERVICE 4yr'!B46+'ASptISptSSv 4yr'!B46+'PLANT OPER MAIN 4yr'!B46+'SCHOLAR FELLOW 4yr'!B46+'All Other 4yr'!B46)-B46</f>
        <v>0</v>
      </c>
      <c r="AE46" s="75">
        <f>('Instruction-4YR'!C46+'RESEARCH 4yr'!C46+'PUBLIC SERVICE 4yr'!C46+'ASptISptSSv 4yr'!C46+'PLANT OPER MAIN 4yr'!C46+'SCHOLAR FELLOW 4yr'!C46+'All Other 4yr'!C46)-C46</f>
        <v>0</v>
      </c>
      <c r="AF46" s="75">
        <f>('Instruction-4YR'!D46+'RESEARCH 4yr'!D46+'PUBLIC SERVICE 4yr'!D46+'ASptISptSSv 4yr'!D46+'PLANT OPER MAIN 4yr'!D46+'SCHOLAR FELLOW 4yr'!D46+'All Other 4yr'!D46)-D46</f>
        <v>0</v>
      </c>
      <c r="AG46" s="75">
        <f>('Instruction-4YR'!E46+'RESEARCH 4yr'!E46+'PUBLIC SERVICE 4yr'!E46+'ASptISptSSv 4yr'!E46+'PLANT OPER MAIN 4yr'!E46+'SCHOLAR FELLOW 4yr'!E46+'All Other 4yr'!E46)-E46</f>
        <v>0</v>
      </c>
      <c r="AH46" s="75">
        <f>('Instruction-4YR'!F46+'RESEARCH 4yr'!F46+'PUBLIC SERVICE 4yr'!F46+'ASptISptSSv 4yr'!F46+'PLANT OPER MAIN 4yr'!F46+'SCHOLAR FELLOW 4yr'!F46+'All Other 4yr'!F46)-F46</f>
        <v>0</v>
      </c>
      <c r="AI46" s="75">
        <f>('Instruction-4YR'!G46+'RESEARCH 4yr'!G46+'PUBLIC SERVICE 4yr'!G46+'ASptISptSSv 4yr'!G46+'PLANT OPER MAIN 4yr'!G46+'SCHOLAR FELLOW 4yr'!G46+'All Other 4yr'!G46)-G46</f>
        <v>0</v>
      </c>
      <c r="AJ46" s="75">
        <f>('Instruction-4YR'!H46+'RESEARCH 4yr'!H46+'PUBLIC SERVICE 4yr'!H46+'ASptISptSSv 4yr'!H46+'PLANT OPER MAIN 4yr'!H46+'SCHOLAR FELLOW 4yr'!H46+'All Other 4yr'!H46)-H46</f>
        <v>0</v>
      </c>
      <c r="AK46" s="75">
        <f>('Instruction-4YR'!I46+'RESEARCH 4yr'!I46+'PUBLIC SERVICE 4yr'!I46+'ASptISptSSv 4yr'!I46+'PLANT OPER MAIN 4yr'!I46+'SCHOLAR FELLOW 4yr'!I46+'All Other 4yr'!I46)-I46</f>
        <v>0</v>
      </c>
      <c r="AL46" s="75">
        <f>('Instruction-4YR'!J46+'RESEARCH 4yr'!J46+'PUBLIC SERVICE 4yr'!J46+'ASptISptSSv 4yr'!J46+'PLANT OPER MAIN 4yr'!J46+'SCHOLAR FELLOW 4yr'!J46+'All Other 4yr'!J46)-J46</f>
        <v>0</v>
      </c>
      <c r="AM46" s="75">
        <f>('Instruction-4YR'!K46+'RESEARCH 4yr'!K46+'PUBLIC SERVICE 4yr'!K46+'ASptISptSSv 4yr'!K46+'PLANT OPER MAIN 4yr'!K46+'SCHOLAR FELLOW 4yr'!K46+'All Other 4yr'!K46)-K46</f>
        <v>0</v>
      </c>
      <c r="AN46" s="75">
        <f>('Instruction-4YR'!L46+'RESEARCH 4yr'!L46+'PUBLIC SERVICE 4yr'!L46+'ASptISptSSv 4yr'!L46+'PLANT OPER MAIN 4yr'!L46+'SCHOLAR FELLOW 4yr'!L46+'All Other 4yr'!L46)-L46</f>
        <v>0</v>
      </c>
      <c r="AO46" s="75">
        <f>('Instruction-4YR'!M46+'RESEARCH 4yr'!M46+'PUBLIC SERVICE 4yr'!M46+'ASptISptSSv 4yr'!M46+'PLANT OPER MAIN 4yr'!M46+'SCHOLAR FELLOW 4yr'!M46+'All Other 4yr'!M46)-M46</f>
        <v>0</v>
      </c>
      <c r="AP46" s="75">
        <f>('Instruction-4YR'!N46+'RESEARCH 4yr'!N46+'PUBLIC SERVICE 4yr'!N46+'ASptISptSSv 4yr'!N46+'PLANT OPER MAIN 4yr'!N46+'SCHOLAR FELLOW 4yr'!N46+'All Other 4yr'!N46)-N46</f>
        <v>0</v>
      </c>
      <c r="AQ46" s="75">
        <f>('Instruction-4YR'!O46+'RESEARCH 4yr'!O46+'PUBLIC SERVICE 4yr'!O46+'ASptISptSSv 4yr'!O46+'PLANT OPER MAIN 4yr'!O46+'SCHOLAR FELLOW 4yr'!O46+'All Other 4yr'!O46)-O46</f>
        <v>0</v>
      </c>
      <c r="AR46" s="75">
        <f>('Instruction-4YR'!P46+'RESEARCH 4yr'!P46+'PUBLIC SERVICE 4yr'!P46+'ASptISptSSv 4yr'!P46+'PLANT OPER MAIN 4yr'!P46+'SCHOLAR FELLOW 4yr'!P46+'All Other 4yr'!P46)-P46</f>
        <v>0</v>
      </c>
      <c r="AS46" s="75">
        <f>('Instruction-4YR'!Q46+'RESEARCH 4yr'!Q46+'PUBLIC SERVICE 4yr'!Q46+'ASptISptSSv 4yr'!Q46+'PLANT OPER MAIN 4yr'!Q46+'SCHOLAR FELLOW 4yr'!Q46+'All Other 4yr'!Q46)-Q46</f>
        <v>0</v>
      </c>
      <c r="AT46" s="75">
        <f>('Instruction-4YR'!R46+'RESEARCH 4yr'!R46+'PUBLIC SERVICE 4yr'!R46+'ASptISptSSv 4yr'!R46+'PLANT OPER MAIN 4yr'!R46+'SCHOLAR FELLOW 4yr'!R46+'All Other 4yr'!R46)-R46</f>
        <v>0</v>
      </c>
      <c r="AU46" s="75">
        <f>('Instruction-4YR'!S46+'RESEARCH 4yr'!S46+'PUBLIC SERVICE 4yr'!S46+'ASptISptSSv 4yr'!S46+'PLANT OPER MAIN 4yr'!S46+'SCHOLAR FELLOW 4yr'!S46+'All Other 4yr'!S46)-S46</f>
        <v>0</v>
      </c>
      <c r="AV46" s="75">
        <f>('Instruction-4YR'!T46+'RESEARCH 4yr'!T46+'PUBLIC SERVICE 4yr'!T46+'ASptISptSSv 4yr'!T46+'PLANT OPER MAIN 4yr'!T46+'SCHOLAR FELLOW 4yr'!T46+'All Other 4yr'!T46)-T46</f>
        <v>0</v>
      </c>
      <c r="AW46" s="75">
        <f>('Instruction-4YR'!U46+'RESEARCH 4yr'!U46+'PUBLIC SERVICE 4yr'!U46+'ASptISptSSv 4yr'!U46+'PLANT OPER MAIN 4yr'!U46+'SCHOLAR FELLOW 4yr'!U46+'All Other 4yr'!U46)-U46</f>
        <v>0</v>
      </c>
      <c r="AX46" s="75">
        <f>('Instruction-4YR'!V46+'RESEARCH 4yr'!V46+'PUBLIC SERVICE 4yr'!V46+'ASptISptSSv 4yr'!V46+'PLANT OPER MAIN 4yr'!V46+'SCHOLAR FELLOW 4yr'!V46+'All Other 4yr'!V46)-V46</f>
        <v>0</v>
      </c>
      <c r="AY46" s="75">
        <f>('Instruction-4YR'!W46+'RESEARCH 4yr'!W46+'PUBLIC SERVICE 4yr'!W46+'ASptISptSSv 4yr'!W46+'PLANT OPER MAIN 4yr'!W46+'SCHOLAR FELLOW 4yr'!W46+'All Other 4yr'!W46)-W46</f>
        <v>0</v>
      </c>
      <c r="AZ46" s="75">
        <f>('Instruction-4YR'!X46+'RESEARCH 4yr'!X46+'PUBLIC SERVICE 4yr'!X46+'ASptISptSSv 4yr'!X46+'PLANT OPER MAIN 4yr'!X46+'SCHOLAR FELLOW 4yr'!X46+'All Other 4yr'!X46)-X46</f>
        <v>0</v>
      </c>
      <c r="BA46" s="75">
        <f>('Instruction-4YR'!Y46+'RESEARCH 4yr'!Y46+'PUBLIC SERVICE 4yr'!Y46+'ASptISptSSv 4yr'!Y46+'PLANT OPER MAIN 4yr'!Y46+'SCHOLAR FELLOW 4yr'!Y46+'All Other 4yr'!Y46)-Y46</f>
        <v>0</v>
      </c>
      <c r="BB46" s="75">
        <f>('Instruction-4YR'!Z46+'RESEARCH 4yr'!Z46+'PUBLIC SERVICE 4yr'!Z46+'ASptISptSSv 4yr'!Z46+'PLANT OPER MAIN 4yr'!Z46+'SCHOLAR FELLOW 4yr'!Z46+'All Other 4yr'!Z46)-Z46</f>
        <v>0</v>
      </c>
      <c r="BC46" s="75">
        <f>('Instruction-4YR'!AA46+'RESEARCH 4yr'!AA46+'PUBLIC SERVICE 4yr'!AA46+'ASptISptSSv 4yr'!AA46+'PLANT OPER MAIN 4yr'!AA46+'SCHOLAR FELLOW 4yr'!AA46+'All Other 4yr'!AA46)-AA46</f>
        <v>0</v>
      </c>
      <c r="BD46" s="75">
        <f>('Instruction-4YR'!AB46+'RESEARCH 4yr'!AB46+'PUBLIC SERVICE 4yr'!AB46+'ASptISptSSv 4yr'!AB46+'PLANT OPER MAIN 4yr'!AB46+'SCHOLAR FELLOW 4yr'!AB46+'All Other 4yr'!AB46)-AB46</f>
        <v>0</v>
      </c>
      <c r="BE46" s="75">
        <f>('Instruction-4YR'!AC46+'RESEARCH 4yr'!AC46+'PUBLIC SERVICE 4yr'!AC46+'ASptISptSSv 4yr'!AC46+'PLANT OPER MAIN 4yr'!AC46+'SCHOLAR FELLOW 4yr'!AC46+'All Other 4yr'!AC46)-AC46</f>
        <v>0</v>
      </c>
    </row>
    <row r="47" spans="1:57">
      <c r="A47" s="1" t="s">
        <v>99</v>
      </c>
      <c r="F47" s="42">
        <v>1853185.45</v>
      </c>
      <c r="I47" s="1">
        <v>1618184.8859999999</v>
      </c>
      <c r="K47" s="1">
        <v>1758342.0889999999</v>
      </c>
      <c r="L47" s="1">
        <v>2068976.4069999999</v>
      </c>
      <c r="M47" s="1">
        <v>2254447.764</v>
      </c>
      <c r="N47" s="1">
        <v>2481018.2990000001</v>
      </c>
      <c r="O47" s="1">
        <v>2675890.577</v>
      </c>
      <c r="P47" s="1">
        <v>2650104.415</v>
      </c>
      <c r="Q47" s="1">
        <v>2803970.7620000001</v>
      </c>
      <c r="R47" s="1">
        <v>2985764.0040000002</v>
      </c>
      <c r="S47" s="1">
        <v>3184919.449</v>
      </c>
      <c r="T47" s="1">
        <v>3528636.2910000002</v>
      </c>
      <c r="U47" s="1">
        <v>3532233.071</v>
      </c>
      <c r="V47" s="1">
        <v>3684748.852</v>
      </c>
      <c r="W47" s="1">
        <v>3658269.6669999999</v>
      </c>
      <c r="X47" s="1">
        <v>3656549.531</v>
      </c>
      <c r="Y47" s="1">
        <v>3819642.4649999999</v>
      </c>
      <c r="Z47" s="1">
        <v>4051722.0469999998</v>
      </c>
      <c r="AA47" s="1">
        <v>4014897.7579999999</v>
      </c>
      <c r="AB47" s="1">
        <v>4109744.2880000002</v>
      </c>
      <c r="AC47" s="1">
        <v>4581959.1849999996</v>
      </c>
      <c r="AD47" s="75">
        <f>('Instruction-4YR'!B47+'RESEARCH 4yr'!B47+'PUBLIC SERVICE 4yr'!B47+'ASptISptSSv 4yr'!B47+'PLANT OPER MAIN 4yr'!B47+'SCHOLAR FELLOW 4yr'!B47+'All Other 4yr'!B47)-B47</f>
        <v>0</v>
      </c>
      <c r="AE47" s="75">
        <f>('Instruction-4YR'!C47+'RESEARCH 4yr'!C47+'PUBLIC SERVICE 4yr'!C47+'ASptISptSSv 4yr'!C47+'PLANT OPER MAIN 4yr'!C47+'SCHOLAR FELLOW 4yr'!C47+'All Other 4yr'!C47)-C47</f>
        <v>0</v>
      </c>
      <c r="AF47" s="75">
        <f>('Instruction-4YR'!D47+'RESEARCH 4yr'!D47+'PUBLIC SERVICE 4yr'!D47+'ASptISptSSv 4yr'!D47+'PLANT OPER MAIN 4yr'!D47+'SCHOLAR FELLOW 4yr'!D47+'All Other 4yr'!D47)-D47</f>
        <v>0</v>
      </c>
      <c r="AG47" s="75">
        <f>('Instruction-4YR'!E47+'RESEARCH 4yr'!E47+'PUBLIC SERVICE 4yr'!E47+'ASptISptSSv 4yr'!E47+'PLANT OPER MAIN 4yr'!E47+'SCHOLAR FELLOW 4yr'!E47+'All Other 4yr'!E47)-E47</f>
        <v>0</v>
      </c>
      <c r="AH47" s="75">
        <f>('Instruction-4YR'!F47+'RESEARCH 4yr'!F47+'PUBLIC SERVICE 4yr'!F47+'ASptISptSSv 4yr'!F47+'PLANT OPER MAIN 4yr'!F47+'SCHOLAR FELLOW 4yr'!F47+'All Other 4yr'!F47)-F47</f>
        <v>0</v>
      </c>
      <c r="AI47" s="75">
        <f>('Instruction-4YR'!G47+'RESEARCH 4yr'!G47+'PUBLIC SERVICE 4yr'!G47+'ASptISptSSv 4yr'!G47+'PLANT OPER MAIN 4yr'!G47+'SCHOLAR FELLOW 4yr'!G47+'All Other 4yr'!G47)-G47</f>
        <v>0</v>
      </c>
      <c r="AJ47" s="75">
        <f>('Instruction-4YR'!H47+'RESEARCH 4yr'!H47+'PUBLIC SERVICE 4yr'!H47+'ASptISptSSv 4yr'!H47+'PLANT OPER MAIN 4yr'!H47+'SCHOLAR FELLOW 4yr'!H47+'All Other 4yr'!H47)-H47</f>
        <v>0</v>
      </c>
      <c r="AK47" s="75">
        <f>('Instruction-4YR'!I47+'RESEARCH 4yr'!I47+'PUBLIC SERVICE 4yr'!I47+'ASptISptSSv 4yr'!I47+'PLANT OPER MAIN 4yr'!I47+'SCHOLAR FELLOW 4yr'!I47+'All Other 4yr'!I47)-I47</f>
        <v>0</v>
      </c>
      <c r="AL47" s="75">
        <f>('Instruction-4YR'!J47+'RESEARCH 4yr'!J47+'PUBLIC SERVICE 4yr'!J47+'ASptISptSSv 4yr'!J47+'PLANT OPER MAIN 4yr'!J47+'SCHOLAR FELLOW 4yr'!J47+'All Other 4yr'!J47)-J47</f>
        <v>0</v>
      </c>
      <c r="AM47" s="75">
        <f>('Instruction-4YR'!K47+'RESEARCH 4yr'!K47+'PUBLIC SERVICE 4yr'!K47+'ASptISptSSv 4yr'!K47+'PLANT OPER MAIN 4yr'!K47+'SCHOLAR FELLOW 4yr'!K47+'All Other 4yr'!K47)-K47</f>
        <v>0</v>
      </c>
      <c r="AN47" s="75">
        <f>('Instruction-4YR'!L47+'RESEARCH 4yr'!L47+'PUBLIC SERVICE 4yr'!L47+'ASptISptSSv 4yr'!L47+'PLANT OPER MAIN 4yr'!L47+'SCHOLAR FELLOW 4yr'!L47+'All Other 4yr'!L47)-L47</f>
        <v>0</v>
      </c>
      <c r="AO47" s="75">
        <f>('Instruction-4YR'!M47+'RESEARCH 4yr'!M47+'PUBLIC SERVICE 4yr'!M47+'ASptISptSSv 4yr'!M47+'PLANT OPER MAIN 4yr'!M47+'SCHOLAR FELLOW 4yr'!M47+'All Other 4yr'!M47)-M47</f>
        <v>0</v>
      </c>
      <c r="AP47" s="75">
        <f>('Instruction-4YR'!N47+'RESEARCH 4yr'!N47+'PUBLIC SERVICE 4yr'!N47+'ASptISptSSv 4yr'!N47+'PLANT OPER MAIN 4yr'!N47+'SCHOLAR FELLOW 4yr'!N47+'All Other 4yr'!N47)-N47</f>
        <v>0</v>
      </c>
      <c r="AQ47" s="75">
        <f>('Instruction-4YR'!O47+'RESEARCH 4yr'!O47+'PUBLIC SERVICE 4yr'!O47+'ASptISptSSv 4yr'!O47+'PLANT OPER MAIN 4yr'!O47+'SCHOLAR FELLOW 4yr'!O47+'All Other 4yr'!O47)-O47</f>
        <v>0</v>
      </c>
      <c r="AR47" s="75">
        <f>('Instruction-4YR'!P47+'RESEARCH 4yr'!P47+'PUBLIC SERVICE 4yr'!P47+'ASptISptSSv 4yr'!P47+'PLANT OPER MAIN 4yr'!P47+'SCHOLAR FELLOW 4yr'!P47+'All Other 4yr'!P47)-P47</f>
        <v>0</v>
      </c>
      <c r="AS47" s="75">
        <f>('Instruction-4YR'!Q47+'RESEARCH 4yr'!Q47+'PUBLIC SERVICE 4yr'!Q47+'ASptISptSSv 4yr'!Q47+'PLANT OPER MAIN 4yr'!Q47+'SCHOLAR FELLOW 4yr'!Q47+'All Other 4yr'!Q47)-Q47</f>
        <v>0</v>
      </c>
      <c r="AT47" s="75">
        <f>('Instruction-4YR'!R47+'RESEARCH 4yr'!R47+'PUBLIC SERVICE 4yr'!R47+'ASptISptSSv 4yr'!R47+'PLANT OPER MAIN 4yr'!R47+'SCHOLAR FELLOW 4yr'!R47+'All Other 4yr'!R47)-R47</f>
        <v>0</v>
      </c>
      <c r="AU47" s="75">
        <f>('Instruction-4YR'!S47+'RESEARCH 4yr'!S47+'PUBLIC SERVICE 4yr'!S47+'ASptISptSSv 4yr'!S47+'PLANT OPER MAIN 4yr'!S47+'SCHOLAR FELLOW 4yr'!S47+'All Other 4yr'!S47)-S47</f>
        <v>0</v>
      </c>
      <c r="AV47" s="75">
        <f>('Instruction-4YR'!T47+'RESEARCH 4yr'!T47+'PUBLIC SERVICE 4yr'!T47+'ASptISptSSv 4yr'!T47+'PLANT OPER MAIN 4yr'!T47+'SCHOLAR FELLOW 4yr'!T47+'All Other 4yr'!T47)-T47</f>
        <v>0</v>
      </c>
      <c r="AW47" s="75">
        <f>('Instruction-4YR'!U47+'RESEARCH 4yr'!U47+'PUBLIC SERVICE 4yr'!U47+'ASptISptSSv 4yr'!U47+'PLANT OPER MAIN 4yr'!U47+'SCHOLAR FELLOW 4yr'!U47+'All Other 4yr'!U47)-U47</f>
        <v>0</v>
      </c>
      <c r="AX47" s="75">
        <f>('Instruction-4YR'!V47+'RESEARCH 4yr'!V47+'PUBLIC SERVICE 4yr'!V47+'ASptISptSSv 4yr'!V47+'PLANT OPER MAIN 4yr'!V47+'SCHOLAR FELLOW 4yr'!V47+'All Other 4yr'!V47)-V47</f>
        <v>0</v>
      </c>
      <c r="AY47" s="75">
        <f>('Instruction-4YR'!W47+'RESEARCH 4yr'!W47+'PUBLIC SERVICE 4yr'!W47+'ASptISptSSv 4yr'!W47+'PLANT OPER MAIN 4yr'!W47+'SCHOLAR FELLOW 4yr'!W47+'All Other 4yr'!W47)-W47</f>
        <v>0</v>
      </c>
      <c r="AZ47" s="75">
        <f>('Instruction-4YR'!X47+'RESEARCH 4yr'!X47+'PUBLIC SERVICE 4yr'!X47+'ASptISptSSv 4yr'!X47+'PLANT OPER MAIN 4yr'!X47+'SCHOLAR FELLOW 4yr'!X47+'All Other 4yr'!X47)-X47</f>
        <v>0</v>
      </c>
      <c r="BA47" s="75">
        <f>('Instruction-4YR'!Y47+'RESEARCH 4yr'!Y47+'PUBLIC SERVICE 4yr'!Y47+'ASptISptSSv 4yr'!Y47+'PLANT OPER MAIN 4yr'!Y47+'SCHOLAR FELLOW 4yr'!Y47+'All Other 4yr'!Y47)-Y47</f>
        <v>0</v>
      </c>
      <c r="BB47" s="75">
        <f>('Instruction-4YR'!Z47+'RESEARCH 4yr'!Z47+'PUBLIC SERVICE 4yr'!Z47+'ASptISptSSv 4yr'!Z47+'PLANT OPER MAIN 4yr'!Z47+'SCHOLAR FELLOW 4yr'!Z47+'All Other 4yr'!Z47)-Z47</f>
        <v>0</v>
      </c>
      <c r="BC47" s="75">
        <f>('Instruction-4YR'!AA47+'RESEARCH 4yr'!AA47+'PUBLIC SERVICE 4yr'!AA47+'ASptISptSSv 4yr'!AA47+'PLANT OPER MAIN 4yr'!AA47+'SCHOLAR FELLOW 4yr'!AA47+'All Other 4yr'!AA47)-AA47</f>
        <v>0</v>
      </c>
      <c r="BD47" s="75">
        <f>('Instruction-4YR'!AB47+'RESEARCH 4yr'!AB47+'PUBLIC SERVICE 4yr'!AB47+'ASptISptSSv 4yr'!AB47+'PLANT OPER MAIN 4yr'!AB47+'SCHOLAR FELLOW 4yr'!AB47+'All Other 4yr'!AB47)-AB47</f>
        <v>0</v>
      </c>
      <c r="BE47" s="75">
        <f>('Instruction-4YR'!AC47+'RESEARCH 4yr'!AC47+'PUBLIC SERVICE 4yr'!AC47+'ASptISptSSv 4yr'!AC47+'PLANT OPER MAIN 4yr'!AC47+'SCHOLAR FELLOW 4yr'!AC47+'All Other 4yr'!AC47)-AC47</f>
        <v>0</v>
      </c>
    </row>
    <row r="48" spans="1:57">
      <c r="A48" s="1" t="s">
        <v>59</v>
      </c>
      <c r="F48" s="42">
        <v>1017731.035</v>
      </c>
      <c r="I48" s="1">
        <v>1206207.0160000001</v>
      </c>
      <c r="K48" s="1">
        <v>1484710.3149999999</v>
      </c>
      <c r="L48" s="1">
        <v>1647179.7220000001</v>
      </c>
      <c r="M48" s="1">
        <v>2277009.358</v>
      </c>
      <c r="N48" s="1">
        <v>1918668.7</v>
      </c>
      <c r="O48" s="1">
        <v>1874746.426</v>
      </c>
      <c r="P48" s="1">
        <v>1961847.196</v>
      </c>
      <c r="Q48" s="1">
        <v>2144713.4920000001</v>
      </c>
      <c r="R48" s="1">
        <v>2240937.8250000002</v>
      </c>
      <c r="S48" s="1">
        <v>2310346.8930000002</v>
      </c>
      <c r="T48" s="1">
        <v>2376849.7919999999</v>
      </c>
      <c r="U48" s="1">
        <v>2435136.7689999999</v>
      </c>
      <c r="V48" s="1">
        <v>2474062.389</v>
      </c>
      <c r="W48" s="1">
        <v>2524357.1030000001</v>
      </c>
      <c r="X48" s="1">
        <v>2657813.2889999999</v>
      </c>
      <c r="Y48" s="1">
        <v>2693548.872</v>
      </c>
      <c r="Z48" s="1">
        <v>2812924.61</v>
      </c>
      <c r="AA48" s="1">
        <v>2914369.5980000002</v>
      </c>
      <c r="AB48" s="1">
        <v>2967587.0410000002</v>
      </c>
      <c r="AC48" s="1">
        <v>3052711.69</v>
      </c>
      <c r="AD48" s="75">
        <f>('Instruction-4YR'!B48+'RESEARCH 4yr'!B48+'PUBLIC SERVICE 4yr'!B48+'ASptISptSSv 4yr'!B48+'PLANT OPER MAIN 4yr'!B48+'SCHOLAR FELLOW 4yr'!B48+'All Other 4yr'!B48)-B48</f>
        <v>0</v>
      </c>
      <c r="AE48" s="75">
        <f>('Instruction-4YR'!C48+'RESEARCH 4yr'!C48+'PUBLIC SERVICE 4yr'!C48+'ASptISptSSv 4yr'!C48+'PLANT OPER MAIN 4yr'!C48+'SCHOLAR FELLOW 4yr'!C48+'All Other 4yr'!C48)-C48</f>
        <v>0</v>
      </c>
      <c r="AF48" s="75">
        <f>('Instruction-4YR'!D48+'RESEARCH 4yr'!D48+'PUBLIC SERVICE 4yr'!D48+'ASptISptSSv 4yr'!D48+'PLANT OPER MAIN 4yr'!D48+'SCHOLAR FELLOW 4yr'!D48+'All Other 4yr'!D48)-D48</f>
        <v>0</v>
      </c>
      <c r="AG48" s="75">
        <f>('Instruction-4YR'!E48+'RESEARCH 4yr'!E48+'PUBLIC SERVICE 4yr'!E48+'ASptISptSSv 4yr'!E48+'PLANT OPER MAIN 4yr'!E48+'SCHOLAR FELLOW 4yr'!E48+'All Other 4yr'!E48)-E48</f>
        <v>0</v>
      </c>
      <c r="AH48" s="75">
        <f>('Instruction-4YR'!F48+'RESEARCH 4yr'!F48+'PUBLIC SERVICE 4yr'!F48+'ASptISptSSv 4yr'!F48+'PLANT OPER MAIN 4yr'!F48+'SCHOLAR FELLOW 4yr'!F48+'All Other 4yr'!F48)-F48</f>
        <v>0</v>
      </c>
      <c r="AI48" s="75">
        <f>('Instruction-4YR'!G48+'RESEARCH 4yr'!G48+'PUBLIC SERVICE 4yr'!G48+'ASptISptSSv 4yr'!G48+'PLANT OPER MAIN 4yr'!G48+'SCHOLAR FELLOW 4yr'!G48+'All Other 4yr'!G48)-G48</f>
        <v>0</v>
      </c>
      <c r="AJ48" s="75">
        <f>('Instruction-4YR'!H48+'RESEARCH 4yr'!H48+'PUBLIC SERVICE 4yr'!H48+'ASptISptSSv 4yr'!H48+'PLANT OPER MAIN 4yr'!H48+'SCHOLAR FELLOW 4yr'!H48+'All Other 4yr'!H48)-H48</f>
        <v>0</v>
      </c>
      <c r="AK48" s="75">
        <f>('Instruction-4YR'!I48+'RESEARCH 4yr'!I48+'PUBLIC SERVICE 4yr'!I48+'ASptISptSSv 4yr'!I48+'PLANT OPER MAIN 4yr'!I48+'SCHOLAR FELLOW 4yr'!I48+'All Other 4yr'!I48)-I48</f>
        <v>0</v>
      </c>
      <c r="AL48" s="75">
        <f>('Instruction-4YR'!J48+'RESEARCH 4yr'!J48+'PUBLIC SERVICE 4yr'!J48+'ASptISptSSv 4yr'!J48+'PLANT OPER MAIN 4yr'!J48+'SCHOLAR FELLOW 4yr'!J48+'All Other 4yr'!J48)-J48</f>
        <v>0</v>
      </c>
      <c r="AM48" s="75">
        <f>('Instruction-4YR'!K48+'RESEARCH 4yr'!K48+'PUBLIC SERVICE 4yr'!K48+'ASptISptSSv 4yr'!K48+'PLANT OPER MAIN 4yr'!K48+'SCHOLAR FELLOW 4yr'!K48+'All Other 4yr'!K48)-K48</f>
        <v>0</v>
      </c>
      <c r="AN48" s="75">
        <f>('Instruction-4YR'!L48+'RESEARCH 4yr'!L48+'PUBLIC SERVICE 4yr'!L48+'ASptISptSSv 4yr'!L48+'PLANT OPER MAIN 4yr'!L48+'SCHOLAR FELLOW 4yr'!L48+'All Other 4yr'!L48)-L48</f>
        <v>0</v>
      </c>
      <c r="AO48" s="75">
        <f>('Instruction-4YR'!M48+'RESEARCH 4yr'!M48+'PUBLIC SERVICE 4yr'!M48+'ASptISptSSv 4yr'!M48+'PLANT OPER MAIN 4yr'!M48+'SCHOLAR FELLOW 4yr'!M48+'All Other 4yr'!M48)-M48</f>
        <v>0</v>
      </c>
      <c r="AP48" s="75">
        <f>('Instruction-4YR'!N48+'RESEARCH 4yr'!N48+'PUBLIC SERVICE 4yr'!N48+'ASptISptSSv 4yr'!N48+'PLANT OPER MAIN 4yr'!N48+'SCHOLAR FELLOW 4yr'!N48+'All Other 4yr'!N48)-N48</f>
        <v>0</v>
      </c>
      <c r="AQ48" s="75">
        <f>('Instruction-4YR'!O48+'RESEARCH 4yr'!O48+'PUBLIC SERVICE 4yr'!O48+'ASptISptSSv 4yr'!O48+'PLANT OPER MAIN 4yr'!O48+'SCHOLAR FELLOW 4yr'!O48+'All Other 4yr'!O48)-O48</f>
        <v>0</v>
      </c>
      <c r="AR48" s="75">
        <f>('Instruction-4YR'!P48+'RESEARCH 4yr'!P48+'PUBLIC SERVICE 4yr'!P48+'ASptISptSSv 4yr'!P48+'PLANT OPER MAIN 4yr'!P48+'SCHOLAR FELLOW 4yr'!P48+'All Other 4yr'!P48)-P48</f>
        <v>0</v>
      </c>
      <c r="AS48" s="75">
        <f>('Instruction-4YR'!Q48+'RESEARCH 4yr'!Q48+'PUBLIC SERVICE 4yr'!Q48+'ASptISptSSv 4yr'!Q48+'PLANT OPER MAIN 4yr'!Q48+'SCHOLAR FELLOW 4yr'!Q48+'All Other 4yr'!Q48)-Q48</f>
        <v>0</v>
      </c>
      <c r="AT48" s="75">
        <f>('Instruction-4YR'!R48+'RESEARCH 4yr'!R48+'PUBLIC SERVICE 4yr'!R48+'ASptISptSSv 4yr'!R48+'PLANT OPER MAIN 4yr'!R48+'SCHOLAR FELLOW 4yr'!R48+'All Other 4yr'!R48)-R48</f>
        <v>0</v>
      </c>
      <c r="AU48" s="75">
        <f>('Instruction-4YR'!S48+'RESEARCH 4yr'!S48+'PUBLIC SERVICE 4yr'!S48+'ASptISptSSv 4yr'!S48+'PLANT OPER MAIN 4yr'!S48+'SCHOLAR FELLOW 4yr'!S48+'All Other 4yr'!S48)-S48</f>
        <v>0</v>
      </c>
      <c r="AV48" s="75">
        <f>('Instruction-4YR'!T48+'RESEARCH 4yr'!T48+'PUBLIC SERVICE 4yr'!T48+'ASptISptSSv 4yr'!T48+'PLANT OPER MAIN 4yr'!T48+'SCHOLAR FELLOW 4yr'!T48+'All Other 4yr'!T48)-T48</f>
        <v>0</v>
      </c>
      <c r="AW48" s="75">
        <f>('Instruction-4YR'!U48+'RESEARCH 4yr'!U48+'PUBLIC SERVICE 4yr'!U48+'ASptISptSSv 4yr'!U48+'PLANT OPER MAIN 4yr'!U48+'SCHOLAR FELLOW 4yr'!U48+'All Other 4yr'!U48)-U48</f>
        <v>0</v>
      </c>
      <c r="AX48" s="75">
        <f>('Instruction-4YR'!V48+'RESEARCH 4yr'!V48+'PUBLIC SERVICE 4yr'!V48+'ASptISptSSv 4yr'!V48+'PLANT OPER MAIN 4yr'!V48+'SCHOLAR FELLOW 4yr'!V48+'All Other 4yr'!V48)-V48</f>
        <v>0</v>
      </c>
      <c r="AY48" s="75">
        <f>('Instruction-4YR'!W48+'RESEARCH 4yr'!W48+'PUBLIC SERVICE 4yr'!W48+'ASptISptSSv 4yr'!W48+'PLANT OPER MAIN 4yr'!W48+'SCHOLAR FELLOW 4yr'!W48+'All Other 4yr'!W48)-W48</f>
        <v>0</v>
      </c>
      <c r="AZ48" s="75">
        <f>('Instruction-4YR'!X48+'RESEARCH 4yr'!X48+'PUBLIC SERVICE 4yr'!X48+'ASptISptSSv 4yr'!X48+'PLANT OPER MAIN 4yr'!X48+'SCHOLAR FELLOW 4yr'!X48+'All Other 4yr'!X48)-X48</f>
        <v>0</v>
      </c>
      <c r="BA48" s="75">
        <f>('Instruction-4YR'!Y48+'RESEARCH 4yr'!Y48+'PUBLIC SERVICE 4yr'!Y48+'ASptISptSSv 4yr'!Y48+'PLANT OPER MAIN 4yr'!Y48+'SCHOLAR FELLOW 4yr'!Y48+'All Other 4yr'!Y48)-Y48</f>
        <v>0</v>
      </c>
      <c r="BB48" s="75">
        <f>('Instruction-4YR'!Z48+'RESEARCH 4yr'!Z48+'PUBLIC SERVICE 4yr'!Z48+'ASptISptSSv 4yr'!Z48+'PLANT OPER MAIN 4yr'!Z48+'SCHOLAR FELLOW 4yr'!Z48+'All Other 4yr'!Z48)-Z48</f>
        <v>0</v>
      </c>
      <c r="BC48" s="75">
        <f>('Instruction-4YR'!AA48+'RESEARCH 4yr'!AA48+'PUBLIC SERVICE 4yr'!AA48+'ASptISptSSv 4yr'!AA48+'PLANT OPER MAIN 4yr'!AA48+'SCHOLAR FELLOW 4yr'!AA48+'All Other 4yr'!AA48)-AA48</f>
        <v>0</v>
      </c>
      <c r="BD48" s="75">
        <f>('Instruction-4YR'!AB48+'RESEARCH 4yr'!AB48+'PUBLIC SERVICE 4yr'!AB48+'ASptISptSSv 4yr'!AB48+'PLANT OPER MAIN 4yr'!AB48+'SCHOLAR FELLOW 4yr'!AB48+'All Other 4yr'!AB48)-AB48</f>
        <v>0</v>
      </c>
      <c r="BE48" s="75">
        <f>('Instruction-4YR'!AC48+'RESEARCH 4yr'!AC48+'PUBLIC SERVICE 4yr'!AC48+'ASptISptSSv 4yr'!AC48+'PLANT OPER MAIN 4yr'!AC48+'SCHOLAR FELLOW 4yr'!AC48+'All Other 4yr'!AC48)-AC48</f>
        <v>0</v>
      </c>
    </row>
    <row r="49" spans="1:57">
      <c r="A49" s="1" t="s">
        <v>101</v>
      </c>
      <c r="F49" s="42">
        <v>566476.52599999995</v>
      </c>
      <c r="I49" s="1">
        <v>630681.66599999997</v>
      </c>
      <c r="K49" s="1">
        <v>690830.30599999998</v>
      </c>
      <c r="L49" s="1">
        <v>790152.13300000003</v>
      </c>
      <c r="M49" s="1">
        <v>845523.28300000005</v>
      </c>
      <c r="N49" s="1">
        <v>992118.01300000004</v>
      </c>
      <c r="O49" s="1">
        <v>1032591.012</v>
      </c>
      <c r="P49" s="1">
        <v>1062535.0919999999</v>
      </c>
      <c r="Q49" s="1">
        <v>1149462.8119999999</v>
      </c>
      <c r="R49" s="1">
        <v>1216792.0630000001</v>
      </c>
      <c r="S49" s="1">
        <v>1281235.4820000001</v>
      </c>
      <c r="T49" s="1">
        <v>1352417.598</v>
      </c>
      <c r="U49" s="1">
        <v>1042731.888</v>
      </c>
      <c r="V49" s="1">
        <v>1437980.7120000001</v>
      </c>
      <c r="W49" s="1">
        <v>1486258.89</v>
      </c>
      <c r="X49" s="1">
        <v>1523948.946</v>
      </c>
      <c r="Y49" s="1">
        <v>1563094.8370000001</v>
      </c>
      <c r="Z49" s="1">
        <v>1627195.2760000001</v>
      </c>
      <c r="AA49" s="1">
        <v>1692451.2379999999</v>
      </c>
      <c r="AB49" s="1">
        <v>1751033.3970000001</v>
      </c>
      <c r="AC49" s="1">
        <v>1852974.183</v>
      </c>
      <c r="AD49" s="75">
        <f>('Instruction-4YR'!B49+'RESEARCH 4yr'!B49+'PUBLIC SERVICE 4yr'!B49+'ASptISptSSv 4yr'!B49+'PLANT OPER MAIN 4yr'!B49+'SCHOLAR FELLOW 4yr'!B49+'All Other 4yr'!B49)-B49</f>
        <v>0</v>
      </c>
      <c r="AE49" s="75">
        <f>('Instruction-4YR'!C49+'RESEARCH 4yr'!C49+'PUBLIC SERVICE 4yr'!C49+'ASptISptSSv 4yr'!C49+'PLANT OPER MAIN 4yr'!C49+'SCHOLAR FELLOW 4yr'!C49+'All Other 4yr'!C49)-C49</f>
        <v>0</v>
      </c>
      <c r="AF49" s="75">
        <f>('Instruction-4YR'!D49+'RESEARCH 4yr'!D49+'PUBLIC SERVICE 4yr'!D49+'ASptISptSSv 4yr'!D49+'PLANT OPER MAIN 4yr'!D49+'SCHOLAR FELLOW 4yr'!D49+'All Other 4yr'!D49)-D49</f>
        <v>0</v>
      </c>
      <c r="AG49" s="75">
        <f>('Instruction-4YR'!E49+'RESEARCH 4yr'!E49+'PUBLIC SERVICE 4yr'!E49+'ASptISptSSv 4yr'!E49+'PLANT OPER MAIN 4yr'!E49+'SCHOLAR FELLOW 4yr'!E49+'All Other 4yr'!E49)-E49</f>
        <v>0</v>
      </c>
      <c r="AH49" s="75">
        <f>('Instruction-4YR'!F49+'RESEARCH 4yr'!F49+'PUBLIC SERVICE 4yr'!F49+'ASptISptSSv 4yr'!F49+'PLANT OPER MAIN 4yr'!F49+'SCHOLAR FELLOW 4yr'!F49+'All Other 4yr'!F49)-F49</f>
        <v>0</v>
      </c>
      <c r="AI49" s="75">
        <f>('Instruction-4YR'!G49+'RESEARCH 4yr'!G49+'PUBLIC SERVICE 4yr'!G49+'ASptISptSSv 4yr'!G49+'PLANT OPER MAIN 4yr'!G49+'SCHOLAR FELLOW 4yr'!G49+'All Other 4yr'!G49)-G49</f>
        <v>0</v>
      </c>
      <c r="AJ49" s="75">
        <f>('Instruction-4YR'!H49+'RESEARCH 4yr'!H49+'PUBLIC SERVICE 4yr'!H49+'ASptISptSSv 4yr'!H49+'PLANT OPER MAIN 4yr'!H49+'SCHOLAR FELLOW 4yr'!H49+'All Other 4yr'!H49)-H49</f>
        <v>0</v>
      </c>
      <c r="AK49" s="75">
        <f>('Instruction-4YR'!I49+'RESEARCH 4yr'!I49+'PUBLIC SERVICE 4yr'!I49+'ASptISptSSv 4yr'!I49+'PLANT OPER MAIN 4yr'!I49+'SCHOLAR FELLOW 4yr'!I49+'All Other 4yr'!I49)-I49</f>
        <v>0</v>
      </c>
      <c r="AL49" s="75">
        <f>('Instruction-4YR'!J49+'RESEARCH 4yr'!J49+'PUBLIC SERVICE 4yr'!J49+'ASptISptSSv 4yr'!J49+'PLANT OPER MAIN 4yr'!J49+'SCHOLAR FELLOW 4yr'!J49+'All Other 4yr'!J49)-J49</f>
        <v>0</v>
      </c>
      <c r="AM49" s="75">
        <f>('Instruction-4YR'!K49+'RESEARCH 4yr'!K49+'PUBLIC SERVICE 4yr'!K49+'ASptISptSSv 4yr'!K49+'PLANT OPER MAIN 4yr'!K49+'SCHOLAR FELLOW 4yr'!K49+'All Other 4yr'!K49)-K49</f>
        <v>0</v>
      </c>
      <c r="AN49" s="75">
        <f>('Instruction-4YR'!L49+'RESEARCH 4yr'!L49+'PUBLIC SERVICE 4yr'!L49+'ASptISptSSv 4yr'!L49+'PLANT OPER MAIN 4yr'!L49+'SCHOLAR FELLOW 4yr'!L49+'All Other 4yr'!L49)-L49</f>
        <v>0</v>
      </c>
      <c r="AO49" s="75">
        <f>('Instruction-4YR'!M49+'RESEARCH 4yr'!M49+'PUBLIC SERVICE 4yr'!M49+'ASptISptSSv 4yr'!M49+'PLANT OPER MAIN 4yr'!M49+'SCHOLAR FELLOW 4yr'!M49+'All Other 4yr'!M49)-M49</f>
        <v>0</v>
      </c>
      <c r="AP49" s="75">
        <f>('Instruction-4YR'!N49+'RESEARCH 4yr'!N49+'PUBLIC SERVICE 4yr'!N49+'ASptISptSSv 4yr'!N49+'PLANT OPER MAIN 4yr'!N49+'SCHOLAR FELLOW 4yr'!N49+'All Other 4yr'!N49)-N49</f>
        <v>0</v>
      </c>
      <c r="AQ49" s="75">
        <f>('Instruction-4YR'!O49+'RESEARCH 4yr'!O49+'PUBLIC SERVICE 4yr'!O49+'ASptISptSSv 4yr'!O49+'PLANT OPER MAIN 4yr'!O49+'SCHOLAR FELLOW 4yr'!O49+'All Other 4yr'!O49)-O49</f>
        <v>0</v>
      </c>
      <c r="AR49" s="75">
        <f>('Instruction-4YR'!P49+'RESEARCH 4yr'!P49+'PUBLIC SERVICE 4yr'!P49+'ASptISptSSv 4yr'!P49+'PLANT OPER MAIN 4yr'!P49+'SCHOLAR FELLOW 4yr'!P49+'All Other 4yr'!P49)-P49</f>
        <v>0</v>
      </c>
      <c r="AS49" s="75">
        <f>('Instruction-4YR'!Q49+'RESEARCH 4yr'!Q49+'PUBLIC SERVICE 4yr'!Q49+'ASptISptSSv 4yr'!Q49+'PLANT OPER MAIN 4yr'!Q49+'SCHOLAR FELLOW 4yr'!Q49+'All Other 4yr'!Q49)-Q49</f>
        <v>0</v>
      </c>
      <c r="AT49" s="75">
        <f>('Instruction-4YR'!R49+'RESEARCH 4yr'!R49+'PUBLIC SERVICE 4yr'!R49+'ASptISptSSv 4yr'!R49+'PLANT OPER MAIN 4yr'!R49+'SCHOLAR FELLOW 4yr'!R49+'All Other 4yr'!R49)-R49</f>
        <v>0</v>
      </c>
      <c r="AU49" s="75">
        <f>('Instruction-4YR'!S49+'RESEARCH 4yr'!S49+'PUBLIC SERVICE 4yr'!S49+'ASptISptSSv 4yr'!S49+'PLANT OPER MAIN 4yr'!S49+'SCHOLAR FELLOW 4yr'!S49+'All Other 4yr'!S49)-S49</f>
        <v>0</v>
      </c>
      <c r="AV49" s="75">
        <f>('Instruction-4YR'!T49+'RESEARCH 4yr'!T49+'PUBLIC SERVICE 4yr'!T49+'ASptISptSSv 4yr'!T49+'PLANT OPER MAIN 4yr'!T49+'SCHOLAR FELLOW 4yr'!T49+'All Other 4yr'!T49)-T49</f>
        <v>0</v>
      </c>
      <c r="AW49" s="75">
        <f>('Instruction-4YR'!U49+'RESEARCH 4yr'!U49+'PUBLIC SERVICE 4yr'!U49+'ASptISptSSv 4yr'!U49+'PLANT OPER MAIN 4yr'!U49+'SCHOLAR FELLOW 4yr'!U49+'All Other 4yr'!U49)-U49</f>
        <v>0</v>
      </c>
      <c r="AX49" s="75">
        <f>('Instruction-4YR'!V49+'RESEARCH 4yr'!V49+'PUBLIC SERVICE 4yr'!V49+'ASptISptSSv 4yr'!V49+'PLANT OPER MAIN 4yr'!V49+'SCHOLAR FELLOW 4yr'!V49+'All Other 4yr'!V49)-V49</f>
        <v>0</v>
      </c>
      <c r="AY49" s="75">
        <f>('Instruction-4YR'!W49+'RESEARCH 4yr'!W49+'PUBLIC SERVICE 4yr'!W49+'ASptISptSSv 4yr'!W49+'PLANT OPER MAIN 4yr'!W49+'SCHOLAR FELLOW 4yr'!W49+'All Other 4yr'!W49)-W49</f>
        <v>0</v>
      </c>
      <c r="AZ49" s="75">
        <f>('Instruction-4YR'!X49+'RESEARCH 4yr'!X49+'PUBLIC SERVICE 4yr'!X49+'ASptISptSSv 4yr'!X49+'PLANT OPER MAIN 4yr'!X49+'SCHOLAR FELLOW 4yr'!X49+'All Other 4yr'!X49)-X49</f>
        <v>0</v>
      </c>
      <c r="BA49" s="75">
        <f>('Instruction-4YR'!Y49+'RESEARCH 4yr'!Y49+'PUBLIC SERVICE 4yr'!Y49+'ASptISptSSv 4yr'!Y49+'PLANT OPER MAIN 4yr'!Y49+'SCHOLAR FELLOW 4yr'!Y49+'All Other 4yr'!Y49)-Y49</f>
        <v>0</v>
      </c>
      <c r="BB49" s="75">
        <f>('Instruction-4YR'!Z49+'RESEARCH 4yr'!Z49+'PUBLIC SERVICE 4yr'!Z49+'ASptISptSSv 4yr'!Z49+'PLANT OPER MAIN 4yr'!Z49+'SCHOLAR FELLOW 4yr'!Z49+'All Other 4yr'!Z49)-Z49</f>
        <v>0</v>
      </c>
      <c r="BC49" s="75">
        <f>('Instruction-4YR'!AA49+'RESEARCH 4yr'!AA49+'PUBLIC SERVICE 4yr'!AA49+'ASptISptSSv 4yr'!AA49+'PLANT OPER MAIN 4yr'!AA49+'SCHOLAR FELLOW 4yr'!AA49+'All Other 4yr'!AA49)-AA49</f>
        <v>0</v>
      </c>
      <c r="BD49" s="75">
        <f>('Instruction-4YR'!AB49+'RESEARCH 4yr'!AB49+'PUBLIC SERVICE 4yr'!AB49+'ASptISptSSv 4yr'!AB49+'PLANT OPER MAIN 4yr'!AB49+'SCHOLAR FELLOW 4yr'!AB49+'All Other 4yr'!AB49)-AB49</f>
        <v>0</v>
      </c>
      <c r="BE49" s="75">
        <f>('Instruction-4YR'!AC49+'RESEARCH 4yr'!AC49+'PUBLIC SERVICE 4yr'!AC49+'ASptISptSSv 4yr'!AC49+'PLANT OPER MAIN 4yr'!AC49+'SCHOLAR FELLOW 4yr'!AC49+'All Other 4yr'!AC49)-AC49</f>
        <v>0</v>
      </c>
    </row>
    <row r="50" spans="1:57">
      <c r="A50" s="1" t="s">
        <v>107</v>
      </c>
      <c r="F50" s="42">
        <v>305492.96899999998</v>
      </c>
      <c r="I50" s="1">
        <v>330725.745</v>
      </c>
      <c r="K50" s="1">
        <v>346246.272</v>
      </c>
      <c r="L50" s="1">
        <v>370604.78</v>
      </c>
      <c r="M50" s="1">
        <v>403884.685</v>
      </c>
      <c r="N50" s="1">
        <v>470537.82699999999</v>
      </c>
      <c r="O50" s="1">
        <v>502522.696</v>
      </c>
      <c r="P50" s="1">
        <v>552986.36300000001</v>
      </c>
      <c r="Q50" s="1">
        <v>585124.84299999999</v>
      </c>
      <c r="R50" s="1">
        <v>615502.49300000002</v>
      </c>
      <c r="S50" s="1">
        <v>644290.16099999996</v>
      </c>
      <c r="T50" s="1">
        <v>716527.14800000004</v>
      </c>
      <c r="U50" s="1">
        <v>727335.92</v>
      </c>
      <c r="V50" s="1">
        <v>785252.95200000005</v>
      </c>
      <c r="W50" s="1">
        <v>803142.79299999995</v>
      </c>
      <c r="X50" s="1">
        <v>831014.38399999996</v>
      </c>
      <c r="Y50" s="1">
        <v>853159.98800000001</v>
      </c>
      <c r="Z50" s="1">
        <v>901676.70700000005</v>
      </c>
      <c r="AA50" s="1">
        <v>939408.29099999997</v>
      </c>
      <c r="AB50" s="1">
        <v>973160.647</v>
      </c>
      <c r="AC50" s="1">
        <v>974984.31599999999</v>
      </c>
      <c r="AD50" s="75">
        <f>('Instruction-4YR'!B50+'RESEARCH 4yr'!B50+'PUBLIC SERVICE 4yr'!B50+'ASptISptSSv 4yr'!B50+'PLANT OPER MAIN 4yr'!B50+'SCHOLAR FELLOW 4yr'!B50+'All Other 4yr'!B50)-B50</f>
        <v>0</v>
      </c>
      <c r="AE50" s="75">
        <f>('Instruction-4YR'!C50+'RESEARCH 4yr'!C50+'PUBLIC SERVICE 4yr'!C50+'ASptISptSSv 4yr'!C50+'PLANT OPER MAIN 4yr'!C50+'SCHOLAR FELLOW 4yr'!C50+'All Other 4yr'!C50)-C50</f>
        <v>0</v>
      </c>
      <c r="AF50" s="75">
        <f>('Instruction-4YR'!D50+'RESEARCH 4yr'!D50+'PUBLIC SERVICE 4yr'!D50+'ASptISptSSv 4yr'!D50+'PLANT OPER MAIN 4yr'!D50+'SCHOLAR FELLOW 4yr'!D50+'All Other 4yr'!D50)-D50</f>
        <v>0</v>
      </c>
      <c r="AG50" s="75">
        <f>('Instruction-4YR'!E50+'RESEARCH 4yr'!E50+'PUBLIC SERVICE 4yr'!E50+'ASptISptSSv 4yr'!E50+'PLANT OPER MAIN 4yr'!E50+'SCHOLAR FELLOW 4yr'!E50+'All Other 4yr'!E50)-E50</f>
        <v>0</v>
      </c>
      <c r="AH50" s="75">
        <f>('Instruction-4YR'!F50+'RESEARCH 4yr'!F50+'PUBLIC SERVICE 4yr'!F50+'ASptISptSSv 4yr'!F50+'PLANT OPER MAIN 4yr'!F50+'SCHOLAR FELLOW 4yr'!F50+'All Other 4yr'!F50)-F50</f>
        <v>0</v>
      </c>
      <c r="AI50" s="75">
        <f>('Instruction-4YR'!G50+'RESEARCH 4yr'!G50+'PUBLIC SERVICE 4yr'!G50+'ASptISptSSv 4yr'!G50+'PLANT OPER MAIN 4yr'!G50+'SCHOLAR FELLOW 4yr'!G50+'All Other 4yr'!G50)-G50</f>
        <v>0</v>
      </c>
      <c r="AJ50" s="75">
        <f>('Instruction-4YR'!H50+'RESEARCH 4yr'!H50+'PUBLIC SERVICE 4yr'!H50+'ASptISptSSv 4yr'!H50+'PLANT OPER MAIN 4yr'!H50+'SCHOLAR FELLOW 4yr'!H50+'All Other 4yr'!H50)-H50</f>
        <v>0</v>
      </c>
      <c r="AK50" s="75">
        <f>('Instruction-4YR'!I50+'RESEARCH 4yr'!I50+'PUBLIC SERVICE 4yr'!I50+'ASptISptSSv 4yr'!I50+'PLANT OPER MAIN 4yr'!I50+'SCHOLAR FELLOW 4yr'!I50+'All Other 4yr'!I50)-I50</f>
        <v>0</v>
      </c>
      <c r="AL50" s="75">
        <f>('Instruction-4YR'!J50+'RESEARCH 4yr'!J50+'PUBLIC SERVICE 4yr'!J50+'ASptISptSSv 4yr'!J50+'PLANT OPER MAIN 4yr'!J50+'SCHOLAR FELLOW 4yr'!J50+'All Other 4yr'!J50)-J50</f>
        <v>0</v>
      </c>
      <c r="AM50" s="75">
        <f>('Instruction-4YR'!K50+'RESEARCH 4yr'!K50+'PUBLIC SERVICE 4yr'!K50+'ASptISptSSv 4yr'!K50+'PLANT OPER MAIN 4yr'!K50+'SCHOLAR FELLOW 4yr'!K50+'All Other 4yr'!K50)-K50</f>
        <v>0</v>
      </c>
      <c r="AN50" s="75">
        <f>('Instruction-4YR'!L50+'RESEARCH 4yr'!L50+'PUBLIC SERVICE 4yr'!L50+'ASptISptSSv 4yr'!L50+'PLANT OPER MAIN 4yr'!L50+'SCHOLAR FELLOW 4yr'!L50+'All Other 4yr'!L50)-L50</f>
        <v>0</v>
      </c>
      <c r="AO50" s="75">
        <f>('Instruction-4YR'!M50+'RESEARCH 4yr'!M50+'PUBLIC SERVICE 4yr'!M50+'ASptISptSSv 4yr'!M50+'PLANT OPER MAIN 4yr'!M50+'SCHOLAR FELLOW 4yr'!M50+'All Other 4yr'!M50)-M50</f>
        <v>0</v>
      </c>
      <c r="AP50" s="75">
        <f>('Instruction-4YR'!N50+'RESEARCH 4yr'!N50+'PUBLIC SERVICE 4yr'!N50+'ASptISptSSv 4yr'!N50+'PLANT OPER MAIN 4yr'!N50+'SCHOLAR FELLOW 4yr'!N50+'All Other 4yr'!N50)-N50</f>
        <v>0</v>
      </c>
      <c r="AQ50" s="75">
        <f>('Instruction-4YR'!O50+'RESEARCH 4yr'!O50+'PUBLIC SERVICE 4yr'!O50+'ASptISptSSv 4yr'!O50+'PLANT OPER MAIN 4yr'!O50+'SCHOLAR FELLOW 4yr'!O50+'All Other 4yr'!O50)-O50</f>
        <v>0</v>
      </c>
      <c r="AR50" s="75">
        <f>('Instruction-4YR'!P50+'RESEARCH 4yr'!P50+'PUBLIC SERVICE 4yr'!P50+'ASptISptSSv 4yr'!P50+'PLANT OPER MAIN 4yr'!P50+'SCHOLAR FELLOW 4yr'!P50+'All Other 4yr'!P50)-P50</f>
        <v>0</v>
      </c>
      <c r="AS50" s="75">
        <f>('Instruction-4YR'!Q50+'RESEARCH 4yr'!Q50+'PUBLIC SERVICE 4yr'!Q50+'ASptISptSSv 4yr'!Q50+'PLANT OPER MAIN 4yr'!Q50+'SCHOLAR FELLOW 4yr'!Q50+'All Other 4yr'!Q50)-Q50</f>
        <v>0</v>
      </c>
      <c r="AT50" s="75">
        <f>('Instruction-4YR'!R50+'RESEARCH 4yr'!R50+'PUBLIC SERVICE 4yr'!R50+'ASptISptSSv 4yr'!R50+'PLANT OPER MAIN 4yr'!R50+'SCHOLAR FELLOW 4yr'!R50+'All Other 4yr'!R50)-R50</f>
        <v>0</v>
      </c>
      <c r="AU50" s="75">
        <f>('Instruction-4YR'!S50+'RESEARCH 4yr'!S50+'PUBLIC SERVICE 4yr'!S50+'ASptISptSSv 4yr'!S50+'PLANT OPER MAIN 4yr'!S50+'SCHOLAR FELLOW 4yr'!S50+'All Other 4yr'!S50)-S50</f>
        <v>0</v>
      </c>
      <c r="AV50" s="75">
        <f>('Instruction-4YR'!T50+'RESEARCH 4yr'!T50+'PUBLIC SERVICE 4yr'!T50+'ASptISptSSv 4yr'!T50+'PLANT OPER MAIN 4yr'!T50+'SCHOLAR FELLOW 4yr'!T50+'All Other 4yr'!T50)-T50</f>
        <v>0</v>
      </c>
      <c r="AW50" s="75">
        <f>('Instruction-4YR'!U50+'RESEARCH 4yr'!U50+'PUBLIC SERVICE 4yr'!U50+'ASptISptSSv 4yr'!U50+'PLANT OPER MAIN 4yr'!U50+'SCHOLAR FELLOW 4yr'!U50+'All Other 4yr'!U50)-U50</f>
        <v>0</v>
      </c>
      <c r="AX50" s="75">
        <f>('Instruction-4YR'!V50+'RESEARCH 4yr'!V50+'PUBLIC SERVICE 4yr'!V50+'ASptISptSSv 4yr'!V50+'PLANT OPER MAIN 4yr'!V50+'SCHOLAR FELLOW 4yr'!V50+'All Other 4yr'!V50)-V50</f>
        <v>0</v>
      </c>
      <c r="AY50" s="75">
        <f>('Instruction-4YR'!W50+'RESEARCH 4yr'!W50+'PUBLIC SERVICE 4yr'!W50+'ASptISptSSv 4yr'!W50+'PLANT OPER MAIN 4yr'!W50+'SCHOLAR FELLOW 4yr'!W50+'All Other 4yr'!W50)-W50</f>
        <v>0</v>
      </c>
      <c r="AZ50" s="75">
        <f>('Instruction-4YR'!X50+'RESEARCH 4yr'!X50+'PUBLIC SERVICE 4yr'!X50+'ASptISptSSv 4yr'!X50+'PLANT OPER MAIN 4yr'!X50+'SCHOLAR FELLOW 4yr'!X50+'All Other 4yr'!X50)-X50</f>
        <v>0</v>
      </c>
      <c r="BA50" s="75">
        <f>('Instruction-4YR'!Y50+'RESEARCH 4yr'!Y50+'PUBLIC SERVICE 4yr'!Y50+'ASptISptSSv 4yr'!Y50+'PLANT OPER MAIN 4yr'!Y50+'SCHOLAR FELLOW 4yr'!Y50+'All Other 4yr'!Y50)-Y50</f>
        <v>0</v>
      </c>
      <c r="BB50" s="75">
        <f>('Instruction-4YR'!Z50+'RESEARCH 4yr'!Z50+'PUBLIC SERVICE 4yr'!Z50+'ASptISptSSv 4yr'!Z50+'PLANT OPER MAIN 4yr'!Z50+'SCHOLAR FELLOW 4yr'!Z50+'All Other 4yr'!Z50)-Z50</f>
        <v>0</v>
      </c>
      <c r="BC50" s="75">
        <f>('Instruction-4YR'!AA50+'RESEARCH 4yr'!AA50+'PUBLIC SERVICE 4yr'!AA50+'ASptISptSSv 4yr'!AA50+'PLANT OPER MAIN 4yr'!AA50+'SCHOLAR FELLOW 4yr'!AA50+'All Other 4yr'!AA50)-AA50</f>
        <v>0</v>
      </c>
      <c r="BD50" s="75">
        <f>('Instruction-4YR'!AB50+'RESEARCH 4yr'!AB50+'PUBLIC SERVICE 4yr'!AB50+'ASptISptSSv 4yr'!AB50+'PLANT OPER MAIN 4yr'!AB50+'SCHOLAR FELLOW 4yr'!AB50+'All Other 4yr'!AB50)-AB50</f>
        <v>0</v>
      </c>
      <c r="BE50" s="75">
        <f>('Instruction-4YR'!AC50+'RESEARCH 4yr'!AC50+'PUBLIC SERVICE 4yr'!AC50+'ASptISptSSv 4yr'!AC50+'PLANT OPER MAIN 4yr'!AC50+'SCHOLAR FELLOW 4yr'!AC50+'All Other 4yr'!AC50)-AC50</f>
        <v>0</v>
      </c>
    </row>
    <row r="51" spans="1:57">
      <c r="A51" s="1" t="s">
        <v>108</v>
      </c>
      <c r="F51" s="42">
        <v>2902349.2069999999</v>
      </c>
      <c r="I51" s="1">
        <v>3164579.53</v>
      </c>
      <c r="K51" s="1">
        <v>3447829.8909999998</v>
      </c>
      <c r="L51" s="1">
        <v>3948677.9730000002</v>
      </c>
      <c r="M51" s="1">
        <v>4202145.47</v>
      </c>
      <c r="N51" s="1">
        <v>4788760.625</v>
      </c>
      <c r="O51" s="1">
        <v>5103917.6380000003</v>
      </c>
      <c r="P51" s="1">
        <v>5380408.6380000003</v>
      </c>
      <c r="Q51" s="1">
        <v>5797300.0180000002</v>
      </c>
      <c r="R51" s="1">
        <v>6236871.4139999999</v>
      </c>
      <c r="S51" s="1">
        <v>6582437.2180000003</v>
      </c>
      <c r="T51" s="1">
        <v>6954346.9879999999</v>
      </c>
      <c r="U51" s="1">
        <v>6634363.6469999999</v>
      </c>
      <c r="V51" s="1">
        <v>6803909.8310000002</v>
      </c>
      <c r="W51" s="1">
        <v>7129796.5810000002</v>
      </c>
      <c r="X51" s="1">
        <v>7105463.176</v>
      </c>
      <c r="Y51" s="1">
        <v>7262371.1330000004</v>
      </c>
      <c r="Z51" s="1">
        <v>7410239.1519999998</v>
      </c>
      <c r="AA51" s="1">
        <v>7457250.0460000001</v>
      </c>
      <c r="AB51" s="1">
        <v>7911820.4230000004</v>
      </c>
      <c r="AC51" s="1">
        <v>8437703.25</v>
      </c>
      <c r="AD51" s="75">
        <f>('Instruction-4YR'!B51+'RESEARCH 4yr'!B51+'PUBLIC SERVICE 4yr'!B51+'ASptISptSSv 4yr'!B51+'PLANT OPER MAIN 4yr'!B51+'SCHOLAR FELLOW 4yr'!B51+'All Other 4yr'!B51)-B51</f>
        <v>0</v>
      </c>
      <c r="AE51" s="75">
        <f>('Instruction-4YR'!C51+'RESEARCH 4yr'!C51+'PUBLIC SERVICE 4yr'!C51+'ASptISptSSv 4yr'!C51+'PLANT OPER MAIN 4yr'!C51+'SCHOLAR FELLOW 4yr'!C51+'All Other 4yr'!C51)-C51</f>
        <v>0</v>
      </c>
      <c r="AF51" s="75">
        <f>('Instruction-4YR'!D51+'RESEARCH 4yr'!D51+'PUBLIC SERVICE 4yr'!D51+'ASptISptSSv 4yr'!D51+'PLANT OPER MAIN 4yr'!D51+'SCHOLAR FELLOW 4yr'!D51+'All Other 4yr'!D51)-D51</f>
        <v>0</v>
      </c>
      <c r="AG51" s="75">
        <f>('Instruction-4YR'!E51+'RESEARCH 4yr'!E51+'PUBLIC SERVICE 4yr'!E51+'ASptISptSSv 4yr'!E51+'PLANT OPER MAIN 4yr'!E51+'SCHOLAR FELLOW 4yr'!E51+'All Other 4yr'!E51)-E51</f>
        <v>0</v>
      </c>
      <c r="AH51" s="75">
        <f>('Instruction-4YR'!F51+'RESEARCH 4yr'!F51+'PUBLIC SERVICE 4yr'!F51+'ASptISptSSv 4yr'!F51+'PLANT OPER MAIN 4yr'!F51+'SCHOLAR FELLOW 4yr'!F51+'All Other 4yr'!F51)-F51</f>
        <v>0</v>
      </c>
      <c r="AI51" s="75">
        <f>('Instruction-4YR'!G51+'RESEARCH 4yr'!G51+'PUBLIC SERVICE 4yr'!G51+'ASptISptSSv 4yr'!G51+'PLANT OPER MAIN 4yr'!G51+'SCHOLAR FELLOW 4yr'!G51+'All Other 4yr'!G51)-G51</f>
        <v>0</v>
      </c>
      <c r="AJ51" s="75">
        <f>('Instruction-4YR'!H51+'RESEARCH 4yr'!H51+'PUBLIC SERVICE 4yr'!H51+'ASptISptSSv 4yr'!H51+'PLANT OPER MAIN 4yr'!H51+'SCHOLAR FELLOW 4yr'!H51+'All Other 4yr'!H51)-H51</f>
        <v>0</v>
      </c>
      <c r="AK51" s="75">
        <f>('Instruction-4YR'!I51+'RESEARCH 4yr'!I51+'PUBLIC SERVICE 4yr'!I51+'ASptISptSSv 4yr'!I51+'PLANT OPER MAIN 4yr'!I51+'SCHOLAR FELLOW 4yr'!I51+'All Other 4yr'!I51)-I51</f>
        <v>0</v>
      </c>
      <c r="AL51" s="75">
        <f>('Instruction-4YR'!J51+'RESEARCH 4yr'!J51+'PUBLIC SERVICE 4yr'!J51+'ASptISptSSv 4yr'!J51+'PLANT OPER MAIN 4yr'!J51+'SCHOLAR FELLOW 4yr'!J51+'All Other 4yr'!J51)-J51</f>
        <v>0</v>
      </c>
      <c r="AM51" s="75">
        <f>('Instruction-4YR'!K51+'RESEARCH 4yr'!K51+'PUBLIC SERVICE 4yr'!K51+'ASptISptSSv 4yr'!K51+'PLANT OPER MAIN 4yr'!K51+'SCHOLAR FELLOW 4yr'!K51+'All Other 4yr'!K51)-K51</f>
        <v>0</v>
      </c>
      <c r="AN51" s="75">
        <f>('Instruction-4YR'!L51+'RESEARCH 4yr'!L51+'PUBLIC SERVICE 4yr'!L51+'ASptISptSSv 4yr'!L51+'PLANT OPER MAIN 4yr'!L51+'SCHOLAR FELLOW 4yr'!L51+'All Other 4yr'!L51)-L51</f>
        <v>0</v>
      </c>
      <c r="AO51" s="75">
        <f>('Instruction-4YR'!M51+'RESEARCH 4yr'!M51+'PUBLIC SERVICE 4yr'!M51+'ASptISptSSv 4yr'!M51+'PLANT OPER MAIN 4yr'!M51+'SCHOLAR FELLOW 4yr'!M51+'All Other 4yr'!M51)-M51</f>
        <v>0</v>
      </c>
      <c r="AP51" s="75">
        <f>('Instruction-4YR'!N51+'RESEARCH 4yr'!N51+'PUBLIC SERVICE 4yr'!N51+'ASptISptSSv 4yr'!N51+'PLANT OPER MAIN 4yr'!N51+'SCHOLAR FELLOW 4yr'!N51+'All Other 4yr'!N51)-N51</f>
        <v>0</v>
      </c>
      <c r="AQ51" s="75">
        <f>('Instruction-4YR'!O51+'RESEARCH 4yr'!O51+'PUBLIC SERVICE 4yr'!O51+'ASptISptSSv 4yr'!O51+'PLANT OPER MAIN 4yr'!O51+'SCHOLAR FELLOW 4yr'!O51+'All Other 4yr'!O51)-O51</f>
        <v>0</v>
      </c>
      <c r="AR51" s="75">
        <f>('Instruction-4YR'!P51+'RESEARCH 4yr'!P51+'PUBLIC SERVICE 4yr'!P51+'ASptISptSSv 4yr'!P51+'PLANT OPER MAIN 4yr'!P51+'SCHOLAR FELLOW 4yr'!P51+'All Other 4yr'!P51)-P51</f>
        <v>0</v>
      </c>
      <c r="AS51" s="75">
        <f>('Instruction-4YR'!Q51+'RESEARCH 4yr'!Q51+'PUBLIC SERVICE 4yr'!Q51+'ASptISptSSv 4yr'!Q51+'PLANT OPER MAIN 4yr'!Q51+'SCHOLAR FELLOW 4yr'!Q51+'All Other 4yr'!Q51)-Q51</f>
        <v>0</v>
      </c>
      <c r="AT51" s="75">
        <f>('Instruction-4YR'!R51+'RESEARCH 4yr'!R51+'PUBLIC SERVICE 4yr'!R51+'ASptISptSSv 4yr'!R51+'PLANT OPER MAIN 4yr'!R51+'SCHOLAR FELLOW 4yr'!R51+'All Other 4yr'!R51)-R51</f>
        <v>0</v>
      </c>
      <c r="AU51" s="75">
        <f>('Instruction-4YR'!S51+'RESEARCH 4yr'!S51+'PUBLIC SERVICE 4yr'!S51+'ASptISptSSv 4yr'!S51+'PLANT OPER MAIN 4yr'!S51+'SCHOLAR FELLOW 4yr'!S51+'All Other 4yr'!S51)-S51</f>
        <v>0</v>
      </c>
      <c r="AV51" s="75">
        <f>('Instruction-4YR'!T51+'RESEARCH 4yr'!T51+'PUBLIC SERVICE 4yr'!T51+'ASptISptSSv 4yr'!T51+'PLANT OPER MAIN 4yr'!T51+'SCHOLAR FELLOW 4yr'!T51+'All Other 4yr'!T51)-T51</f>
        <v>0</v>
      </c>
      <c r="AW51" s="75">
        <f>('Instruction-4YR'!U51+'RESEARCH 4yr'!U51+'PUBLIC SERVICE 4yr'!U51+'ASptISptSSv 4yr'!U51+'PLANT OPER MAIN 4yr'!U51+'SCHOLAR FELLOW 4yr'!U51+'All Other 4yr'!U51)-U51</f>
        <v>0</v>
      </c>
      <c r="AX51" s="75">
        <f>('Instruction-4YR'!V51+'RESEARCH 4yr'!V51+'PUBLIC SERVICE 4yr'!V51+'ASptISptSSv 4yr'!V51+'PLANT OPER MAIN 4yr'!V51+'SCHOLAR FELLOW 4yr'!V51+'All Other 4yr'!V51)-V51</f>
        <v>0</v>
      </c>
      <c r="AY51" s="75">
        <f>('Instruction-4YR'!W51+'RESEARCH 4yr'!W51+'PUBLIC SERVICE 4yr'!W51+'ASptISptSSv 4yr'!W51+'PLANT OPER MAIN 4yr'!W51+'SCHOLAR FELLOW 4yr'!W51+'All Other 4yr'!W51)-W51</f>
        <v>0</v>
      </c>
      <c r="AZ51" s="75">
        <f>('Instruction-4YR'!X51+'RESEARCH 4yr'!X51+'PUBLIC SERVICE 4yr'!X51+'ASptISptSSv 4yr'!X51+'PLANT OPER MAIN 4yr'!X51+'SCHOLAR FELLOW 4yr'!X51+'All Other 4yr'!X51)-X51</f>
        <v>0</v>
      </c>
      <c r="BA51" s="75">
        <f>('Instruction-4YR'!Y51+'RESEARCH 4yr'!Y51+'PUBLIC SERVICE 4yr'!Y51+'ASptISptSSv 4yr'!Y51+'PLANT OPER MAIN 4yr'!Y51+'SCHOLAR FELLOW 4yr'!Y51+'All Other 4yr'!Y51)-Y51</f>
        <v>0</v>
      </c>
      <c r="BB51" s="75">
        <f>('Instruction-4YR'!Z51+'RESEARCH 4yr'!Z51+'PUBLIC SERVICE 4yr'!Z51+'ASptISptSSv 4yr'!Z51+'PLANT OPER MAIN 4yr'!Z51+'SCHOLAR FELLOW 4yr'!Z51+'All Other 4yr'!Z51)-Z51</f>
        <v>0</v>
      </c>
      <c r="BC51" s="75">
        <f>('Instruction-4YR'!AA51+'RESEARCH 4yr'!AA51+'PUBLIC SERVICE 4yr'!AA51+'ASptISptSSv 4yr'!AA51+'PLANT OPER MAIN 4yr'!AA51+'SCHOLAR FELLOW 4yr'!AA51+'All Other 4yr'!AA51)-AA51</f>
        <v>0</v>
      </c>
      <c r="BD51" s="75">
        <f>('Instruction-4YR'!AB51+'RESEARCH 4yr'!AB51+'PUBLIC SERVICE 4yr'!AB51+'ASptISptSSv 4yr'!AB51+'PLANT OPER MAIN 4yr'!AB51+'SCHOLAR FELLOW 4yr'!AB51+'All Other 4yr'!AB51)-AB51</f>
        <v>0</v>
      </c>
      <c r="BE51" s="75">
        <f>('Instruction-4YR'!AC51+'RESEARCH 4yr'!AC51+'PUBLIC SERVICE 4yr'!AC51+'ASptISptSSv 4yr'!AC51+'PLANT OPER MAIN 4yr'!AC51+'SCHOLAR FELLOW 4yr'!AC51+'All Other 4yr'!AC51)-AC51</f>
        <v>0</v>
      </c>
    </row>
    <row r="52" spans="1:57">
      <c r="A52" s="1" t="s">
        <v>112</v>
      </c>
      <c r="F52" s="42">
        <v>208269.31</v>
      </c>
      <c r="I52" s="1">
        <v>236087.348</v>
      </c>
      <c r="K52" s="1">
        <v>245835.57588999998</v>
      </c>
      <c r="L52" s="1">
        <v>300247.94900000002</v>
      </c>
      <c r="M52" s="1">
        <v>318970.929</v>
      </c>
      <c r="N52" s="1">
        <v>352177.50199999998</v>
      </c>
      <c r="O52" s="1">
        <v>374953.489</v>
      </c>
      <c r="P52" s="1">
        <v>390350.37800000003</v>
      </c>
      <c r="Q52" s="1">
        <v>418491.141</v>
      </c>
      <c r="R52" s="1">
        <v>429692.64399999997</v>
      </c>
      <c r="S52" s="1">
        <v>475150.61700000003</v>
      </c>
      <c r="T52" s="1">
        <v>517285.565</v>
      </c>
      <c r="U52" s="1">
        <v>514529.37099999998</v>
      </c>
      <c r="V52" s="1">
        <v>592095.63600000006</v>
      </c>
      <c r="W52" s="1">
        <v>611684.90399999998</v>
      </c>
      <c r="X52" s="1">
        <v>645036.15899999999</v>
      </c>
      <c r="Y52" s="1">
        <v>619747.978</v>
      </c>
      <c r="Z52" s="1">
        <v>643422.56099999999</v>
      </c>
      <c r="AA52" s="1">
        <v>645285.53200000001</v>
      </c>
      <c r="AB52" s="1">
        <v>657654.804</v>
      </c>
      <c r="AC52" s="1">
        <v>696811.16599999997</v>
      </c>
      <c r="AD52" s="75">
        <f>('Instruction-4YR'!B52+'RESEARCH 4yr'!B52+'PUBLIC SERVICE 4yr'!B52+'ASptISptSSv 4yr'!B52+'PLANT OPER MAIN 4yr'!B52+'SCHOLAR FELLOW 4yr'!B52+'All Other 4yr'!B52)-B52</f>
        <v>0</v>
      </c>
      <c r="AE52" s="75">
        <f>('Instruction-4YR'!C52+'RESEARCH 4yr'!C52+'PUBLIC SERVICE 4yr'!C52+'ASptISptSSv 4yr'!C52+'PLANT OPER MAIN 4yr'!C52+'SCHOLAR FELLOW 4yr'!C52+'All Other 4yr'!C52)-C52</f>
        <v>0</v>
      </c>
      <c r="AF52" s="75">
        <f>('Instruction-4YR'!D52+'RESEARCH 4yr'!D52+'PUBLIC SERVICE 4yr'!D52+'ASptISptSSv 4yr'!D52+'PLANT OPER MAIN 4yr'!D52+'SCHOLAR FELLOW 4yr'!D52+'All Other 4yr'!D52)-D52</f>
        <v>0</v>
      </c>
      <c r="AG52" s="75">
        <f>('Instruction-4YR'!E52+'RESEARCH 4yr'!E52+'PUBLIC SERVICE 4yr'!E52+'ASptISptSSv 4yr'!E52+'PLANT OPER MAIN 4yr'!E52+'SCHOLAR FELLOW 4yr'!E52+'All Other 4yr'!E52)-E52</f>
        <v>0</v>
      </c>
      <c r="AH52" s="75">
        <f>('Instruction-4YR'!F52+'RESEARCH 4yr'!F52+'PUBLIC SERVICE 4yr'!F52+'ASptISptSSv 4yr'!F52+'PLANT OPER MAIN 4yr'!F52+'SCHOLAR FELLOW 4yr'!F52+'All Other 4yr'!F52)-F52</f>
        <v>0</v>
      </c>
      <c r="AI52" s="75">
        <f>('Instruction-4YR'!G52+'RESEARCH 4yr'!G52+'PUBLIC SERVICE 4yr'!G52+'ASptISptSSv 4yr'!G52+'PLANT OPER MAIN 4yr'!G52+'SCHOLAR FELLOW 4yr'!G52+'All Other 4yr'!G52)-G52</f>
        <v>0</v>
      </c>
      <c r="AJ52" s="75">
        <f>('Instruction-4YR'!H52+'RESEARCH 4yr'!H52+'PUBLIC SERVICE 4yr'!H52+'ASptISptSSv 4yr'!H52+'PLANT OPER MAIN 4yr'!H52+'SCHOLAR FELLOW 4yr'!H52+'All Other 4yr'!H52)-H52</f>
        <v>0</v>
      </c>
      <c r="AK52" s="75">
        <f>('Instruction-4YR'!I52+'RESEARCH 4yr'!I52+'PUBLIC SERVICE 4yr'!I52+'ASptISptSSv 4yr'!I52+'PLANT OPER MAIN 4yr'!I52+'SCHOLAR FELLOW 4yr'!I52+'All Other 4yr'!I52)-I52</f>
        <v>0</v>
      </c>
      <c r="AL52" s="75">
        <f>('Instruction-4YR'!J52+'RESEARCH 4yr'!J52+'PUBLIC SERVICE 4yr'!J52+'ASptISptSSv 4yr'!J52+'PLANT OPER MAIN 4yr'!J52+'SCHOLAR FELLOW 4yr'!J52+'All Other 4yr'!J52)-J52</f>
        <v>0</v>
      </c>
      <c r="AM52" s="75">
        <f>('Instruction-4YR'!K52+'RESEARCH 4yr'!K52+'PUBLIC SERVICE 4yr'!K52+'ASptISptSSv 4yr'!K52+'PLANT OPER MAIN 4yr'!K52+'SCHOLAR FELLOW 4yr'!K52+'All Other 4yr'!K52)-K52</f>
        <v>0</v>
      </c>
      <c r="AN52" s="75">
        <f>('Instruction-4YR'!L52+'RESEARCH 4yr'!L52+'PUBLIC SERVICE 4yr'!L52+'ASptISptSSv 4yr'!L52+'PLANT OPER MAIN 4yr'!L52+'SCHOLAR FELLOW 4yr'!L52+'All Other 4yr'!L52)-L52</f>
        <v>0</v>
      </c>
      <c r="AO52" s="75">
        <f>('Instruction-4YR'!M52+'RESEARCH 4yr'!M52+'PUBLIC SERVICE 4yr'!M52+'ASptISptSSv 4yr'!M52+'PLANT OPER MAIN 4yr'!M52+'SCHOLAR FELLOW 4yr'!M52+'All Other 4yr'!M52)-M52</f>
        <v>0</v>
      </c>
      <c r="AP52" s="75">
        <f>('Instruction-4YR'!N52+'RESEARCH 4yr'!N52+'PUBLIC SERVICE 4yr'!N52+'ASptISptSSv 4yr'!N52+'PLANT OPER MAIN 4yr'!N52+'SCHOLAR FELLOW 4yr'!N52+'All Other 4yr'!N52)-N52</f>
        <v>0</v>
      </c>
      <c r="AQ52" s="75">
        <f>('Instruction-4YR'!O52+'RESEARCH 4yr'!O52+'PUBLIC SERVICE 4yr'!O52+'ASptISptSSv 4yr'!O52+'PLANT OPER MAIN 4yr'!O52+'SCHOLAR FELLOW 4yr'!O52+'All Other 4yr'!O52)-O52</f>
        <v>0</v>
      </c>
      <c r="AR52" s="75">
        <f>('Instruction-4YR'!P52+'RESEARCH 4yr'!P52+'PUBLIC SERVICE 4yr'!P52+'ASptISptSSv 4yr'!P52+'PLANT OPER MAIN 4yr'!P52+'SCHOLAR FELLOW 4yr'!P52+'All Other 4yr'!P52)-P52</f>
        <v>0</v>
      </c>
      <c r="AS52" s="75">
        <f>('Instruction-4YR'!Q52+'RESEARCH 4yr'!Q52+'PUBLIC SERVICE 4yr'!Q52+'ASptISptSSv 4yr'!Q52+'PLANT OPER MAIN 4yr'!Q52+'SCHOLAR FELLOW 4yr'!Q52+'All Other 4yr'!Q52)-Q52</f>
        <v>0</v>
      </c>
      <c r="AT52" s="75">
        <f>('Instruction-4YR'!R52+'RESEARCH 4yr'!R52+'PUBLIC SERVICE 4yr'!R52+'ASptISptSSv 4yr'!R52+'PLANT OPER MAIN 4yr'!R52+'SCHOLAR FELLOW 4yr'!R52+'All Other 4yr'!R52)-R52</f>
        <v>0</v>
      </c>
      <c r="AU52" s="75">
        <f>('Instruction-4YR'!S52+'RESEARCH 4yr'!S52+'PUBLIC SERVICE 4yr'!S52+'ASptISptSSv 4yr'!S52+'PLANT OPER MAIN 4yr'!S52+'SCHOLAR FELLOW 4yr'!S52+'All Other 4yr'!S52)-S52</f>
        <v>0</v>
      </c>
      <c r="AV52" s="75">
        <f>('Instruction-4YR'!T52+'RESEARCH 4yr'!T52+'PUBLIC SERVICE 4yr'!T52+'ASptISptSSv 4yr'!T52+'PLANT OPER MAIN 4yr'!T52+'SCHOLAR FELLOW 4yr'!T52+'All Other 4yr'!T52)-T52</f>
        <v>0</v>
      </c>
      <c r="AW52" s="75">
        <f>('Instruction-4YR'!U52+'RESEARCH 4yr'!U52+'PUBLIC SERVICE 4yr'!U52+'ASptISptSSv 4yr'!U52+'PLANT OPER MAIN 4yr'!U52+'SCHOLAR FELLOW 4yr'!U52+'All Other 4yr'!U52)-U52</f>
        <v>0</v>
      </c>
      <c r="AX52" s="75">
        <f>('Instruction-4YR'!V52+'RESEARCH 4yr'!V52+'PUBLIC SERVICE 4yr'!V52+'ASptISptSSv 4yr'!V52+'PLANT OPER MAIN 4yr'!V52+'SCHOLAR FELLOW 4yr'!V52+'All Other 4yr'!V52)-V52</f>
        <v>0</v>
      </c>
      <c r="AY52" s="75">
        <f>('Instruction-4YR'!W52+'RESEARCH 4yr'!W52+'PUBLIC SERVICE 4yr'!W52+'ASptISptSSv 4yr'!W52+'PLANT OPER MAIN 4yr'!W52+'SCHOLAR FELLOW 4yr'!W52+'All Other 4yr'!W52)-W52</f>
        <v>0</v>
      </c>
      <c r="AZ52" s="75">
        <f>('Instruction-4YR'!X52+'RESEARCH 4yr'!X52+'PUBLIC SERVICE 4yr'!X52+'ASptISptSSv 4yr'!X52+'PLANT OPER MAIN 4yr'!X52+'SCHOLAR FELLOW 4yr'!X52+'All Other 4yr'!X52)-X52</f>
        <v>0</v>
      </c>
      <c r="BA52" s="75">
        <f>('Instruction-4YR'!Y52+'RESEARCH 4yr'!Y52+'PUBLIC SERVICE 4yr'!Y52+'ASptISptSSv 4yr'!Y52+'PLANT OPER MAIN 4yr'!Y52+'SCHOLAR FELLOW 4yr'!Y52+'All Other 4yr'!Y52)-Y52</f>
        <v>0</v>
      </c>
      <c r="BB52" s="75">
        <f>('Instruction-4YR'!Z52+'RESEARCH 4yr'!Z52+'PUBLIC SERVICE 4yr'!Z52+'ASptISptSSv 4yr'!Z52+'PLANT OPER MAIN 4yr'!Z52+'SCHOLAR FELLOW 4yr'!Z52+'All Other 4yr'!Z52)-Z52</f>
        <v>0</v>
      </c>
      <c r="BC52" s="75">
        <f>('Instruction-4YR'!AA52+'RESEARCH 4yr'!AA52+'PUBLIC SERVICE 4yr'!AA52+'ASptISptSSv 4yr'!AA52+'PLANT OPER MAIN 4yr'!AA52+'SCHOLAR FELLOW 4yr'!AA52+'All Other 4yr'!AA52)-AA52</f>
        <v>0</v>
      </c>
      <c r="BD52" s="75">
        <f>('Instruction-4YR'!AB52+'RESEARCH 4yr'!AB52+'PUBLIC SERVICE 4yr'!AB52+'ASptISptSSv 4yr'!AB52+'PLANT OPER MAIN 4yr'!AB52+'SCHOLAR FELLOW 4yr'!AB52+'All Other 4yr'!AB52)-AB52</f>
        <v>0</v>
      </c>
      <c r="BE52" s="75">
        <f>('Instruction-4YR'!AC52+'RESEARCH 4yr'!AC52+'PUBLIC SERVICE 4yr'!AC52+'ASptISptSSv 4yr'!AC52+'PLANT OPER MAIN 4yr'!AC52+'SCHOLAR FELLOW 4yr'!AC52+'All Other 4yr'!AC52)-AC52</f>
        <v>0</v>
      </c>
    </row>
    <row r="53" spans="1:57">
      <c r="A53" s="24" t="s">
        <v>116</v>
      </c>
      <c r="B53" s="24"/>
      <c r="C53" s="24"/>
      <c r="D53" s="24"/>
      <c r="E53" s="24"/>
      <c r="F53" s="45">
        <v>1746639.0759999999</v>
      </c>
      <c r="G53" s="24"/>
      <c r="H53" s="24"/>
      <c r="I53" s="24">
        <v>1913881.9269999999</v>
      </c>
      <c r="J53" s="24"/>
      <c r="K53" s="24">
        <v>2028908.5319999999</v>
      </c>
      <c r="L53" s="24">
        <v>2461042.733</v>
      </c>
      <c r="M53" s="24">
        <v>2678928.6690000002</v>
      </c>
      <c r="N53" s="24">
        <v>2596426.7370000002</v>
      </c>
      <c r="O53" s="24">
        <v>2746927.9750000001</v>
      </c>
      <c r="P53" s="24">
        <v>2957774.1</v>
      </c>
      <c r="Q53" s="24">
        <v>3051822.0789999999</v>
      </c>
      <c r="R53" s="24">
        <v>3169107.1290000002</v>
      </c>
      <c r="S53" s="24">
        <v>3423237.6579999998</v>
      </c>
      <c r="T53" s="24">
        <v>3630570.0610000002</v>
      </c>
      <c r="U53" s="24">
        <v>3864452.9010000001</v>
      </c>
      <c r="V53" s="24">
        <v>3817014.3769999999</v>
      </c>
      <c r="W53" s="24">
        <v>3971137.966</v>
      </c>
      <c r="X53" s="24">
        <v>4000914.5780000002</v>
      </c>
      <c r="Y53" s="24">
        <v>4058402.84</v>
      </c>
      <c r="Z53" s="24">
        <v>4250544.1380000003</v>
      </c>
      <c r="AA53" s="24">
        <v>4282825.0049999999</v>
      </c>
      <c r="AB53" s="24">
        <v>4450291.6459999997</v>
      </c>
      <c r="AC53" s="24">
        <v>4523187.8310000002</v>
      </c>
      <c r="AD53" s="75">
        <f>('Instruction-4YR'!B53+'RESEARCH 4yr'!B53+'PUBLIC SERVICE 4yr'!B53+'ASptISptSSv 4yr'!B53+'PLANT OPER MAIN 4yr'!B53+'SCHOLAR FELLOW 4yr'!B53+'All Other 4yr'!B53)-B53</f>
        <v>0</v>
      </c>
      <c r="AE53" s="75">
        <f>('Instruction-4YR'!C53+'RESEARCH 4yr'!C53+'PUBLIC SERVICE 4yr'!C53+'ASptISptSSv 4yr'!C53+'PLANT OPER MAIN 4yr'!C53+'SCHOLAR FELLOW 4yr'!C53+'All Other 4yr'!C53)-C53</f>
        <v>0</v>
      </c>
      <c r="AF53" s="75">
        <f>('Instruction-4YR'!D53+'RESEARCH 4yr'!D53+'PUBLIC SERVICE 4yr'!D53+'ASptISptSSv 4yr'!D53+'PLANT OPER MAIN 4yr'!D53+'SCHOLAR FELLOW 4yr'!D53+'All Other 4yr'!D53)-D53</f>
        <v>0</v>
      </c>
      <c r="AG53" s="75">
        <f>('Instruction-4YR'!E53+'RESEARCH 4yr'!E53+'PUBLIC SERVICE 4yr'!E53+'ASptISptSSv 4yr'!E53+'PLANT OPER MAIN 4yr'!E53+'SCHOLAR FELLOW 4yr'!E53+'All Other 4yr'!E53)-E53</f>
        <v>0</v>
      </c>
      <c r="AH53" s="75">
        <f>('Instruction-4YR'!F53+'RESEARCH 4yr'!F53+'PUBLIC SERVICE 4yr'!F53+'ASptISptSSv 4yr'!F53+'PLANT OPER MAIN 4yr'!F53+'SCHOLAR FELLOW 4yr'!F53+'All Other 4yr'!F53)-F53</f>
        <v>0</v>
      </c>
      <c r="AI53" s="75">
        <f>('Instruction-4YR'!G53+'RESEARCH 4yr'!G53+'PUBLIC SERVICE 4yr'!G53+'ASptISptSSv 4yr'!G53+'PLANT OPER MAIN 4yr'!G53+'SCHOLAR FELLOW 4yr'!G53+'All Other 4yr'!G53)-G53</f>
        <v>0</v>
      </c>
      <c r="AJ53" s="75">
        <f>('Instruction-4YR'!H53+'RESEARCH 4yr'!H53+'PUBLIC SERVICE 4yr'!H53+'ASptISptSSv 4yr'!H53+'PLANT OPER MAIN 4yr'!H53+'SCHOLAR FELLOW 4yr'!H53+'All Other 4yr'!H53)-H53</f>
        <v>0</v>
      </c>
      <c r="AK53" s="75">
        <f>('Instruction-4YR'!I53+'RESEARCH 4yr'!I53+'PUBLIC SERVICE 4yr'!I53+'ASptISptSSv 4yr'!I53+'PLANT OPER MAIN 4yr'!I53+'SCHOLAR FELLOW 4yr'!I53+'All Other 4yr'!I53)-I53</f>
        <v>0</v>
      </c>
      <c r="AL53" s="75">
        <f>('Instruction-4YR'!J53+'RESEARCH 4yr'!J53+'PUBLIC SERVICE 4yr'!J53+'ASptISptSSv 4yr'!J53+'PLANT OPER MAIN 4yr'!J53+'SCHOLAR FELLOW 4yr'!J53+'All Other 4yr'!J53)-J53</f>
        <v>0</v>
      </c>
      <c r="AM53" s="75">
        <f>('Instruction-4YR'!K53+'RESEARCH 4yr'!K53+'PUBLIC SERVICE 4yr'!K53+'ASptISptSSv 4yr'!K53+'PLANT OPER MAIN 4yr'!K53+'SCHOLAR FELLOW 4yr'!K53+'All Other 4yr'!K53)-K53</f>
        <v>0</v>
      </c>
      <c r="AN53" s="75">
        <f>('Instruction-4YR'!L53+'RESEARCH 4yr'!L53+'PUBLIC SERVICE 4yr'!L53+'ASptISptSSv 4yr'!L53+'PLANT OPER MAIN 4yr'!L53+'SCHOLAR FELLOW 4yr'!L53+'All Other 4yr'!L53)-L53</f>
        <v>0</v>
      </c>
      <c r="AO53" s="75">
        <f>('Instruction-4YR'!M53+'RESEARCH 4yr'!M53+'PUBLIC SERVICE 4yr'!M53+'ASptISptSSv 4yr'!M53+'PLANT OPER MAIN 4yr'!M53+'SCHOLAR FELLOW 4yr'!M53+'All Other 4yr'!M53)-M53</f>
        <v>0</v>
      </c>
      <c r="AP53" s="75">
        <f>('Instruction-4YR'!N53+'RESEARCH 4yr'!N53+'PUBLIC SERVICE 4yr'!N53+'ASptISptSSv 4yr'!N53+'PLANT OPER MAIN 4yr'!N53+'SCHOLAR FELLOW 4yr'!N53+'All Other 4yr'!N53)-N53</f>
        <v>0</v>
      </c>
      <c r="AQ53" s="75">
        <f>('Instruction-4YR'!O53+'RESEARCH 4yr'!O53+'PUBLIC SERVICE 4yr'!O53+'ASptISptSSv 4yr'!O53+'PLANT OPER MAIN 4yr'!O53+'SCHOLAR FELLOW 4yr'!O53+'All Other 4yr'!O53)-O53</f>
        <v>0</v>
      </c>
      <c r="AR53" s="75">
        <f>('Instruction-4YR'!P53+'RESEARCH 4yr'!P53+'PUBLIC SERVICE 4yr'!P53+'ASptISptSSv 4yr'!P53+'PLANT OPER MAIN 4yr'!P53+'SCHOLAR FELLOW 4yr'!P53+'All Other 4yr'!P53)-P53</f>
        <v>0</v>
      </c>
      <c r="AS53" s="75">
        <f>('Instruction-4YR'!Q53+'RESEARCH 4yr'!Q53+'PUBLIC SERVICE 4yr'!Q53+'ASptISptSSv 4yr'!Q53+'PLANT OPER MAIN 4yr'!Q53+'SCHOLAR FELLOW 4yr'!Q53+'All Other 4yr'!Q53)-Q53</f>
        <v>0</v>
      </c>
      <c r="AT53" s="75">
        <f>('Instruction-4YR'!R53+'RESEARCH 4yr'!R53+'PUBLIC SERVICE 4yr'!R53+'ASptISptSSv 4yr'!R53+'PLANT OPER MAIN 4yr'!R53+'SCHOLAR FELLOW 4yr'!R53+'All Other 4yr'!R53)-R53</f>
        <v>0</v>
      </c>
      <c r="AU53" s="75">
        <f>('Instruction-4YR'!S53+'RESEARCH 4yr'!S53+'PUBLIC SERVICE 4yr'!S53+'ASptISptSSv 4yr'!S53+'PLANT OPER MAIN 4yr'!S53+'SCHOLAR FELLOW 4yr'!S53+'All Other 4yr'!S53)-S53</f>
        <v>0</v>
      </c>
      <c r="AV53" s="75">
        <f>('Instruction-4YR'!T53+'RESEARCH 4yr'!T53+'PUBLIC SERVICE 4yr'!T53+'ASptISptSSv 4yr'!T53+'PLANT OPER MAIN 4yr'!T53+'SCHOLAR FELLOW 4yr'!T53+'All Other 4yr'!T53)-T53</f>
        <v>0</v>
      </c>
      <c r="AW53" s="75">
        <f>('Instruction-4YR'!U53+'RESEARCH 4yr'!U53+'PUBLIC SERVICE 4yr'!U53+'ASptISptSSv 4yr'!U53+'PLANT OPER MAIN 4yr'!U53+'SCHOLAR FELLOW 4yr'!U53+'All Other 4yr'!U53)-U53</f>
        <v>0</v>
      </c>
      <c r="AX53" s="75">
        <f>('Instruction-4YR'!V53+'RESEARCH 4yr'!V53+'PUBLIC SERVICE 4yr'!V53+'ASptISptSSv 4yr'!V53+'PLANT OPER MAIN 4yr'!V53+'SCHOLAR FELLOW 4yr'!V53+'All Other 4yr'!V53)-V53</f>
        <v>0</v>
      </c>
      <c r="AY53" s="75">
        <f>('Instruction-4YR'!W53+'RESEARCH 4yr'!W53+'PUBLIC SERVICE 4yr'!W53+'ASptISptSSv 4yr'!W53+'PLANT OPER MAIN 4yr'!W53+'SCHOLAR FELLOW 4yr'!W53+'All Other 4yr'!W53)-W53</f>
        <v>0</v>
      </c>
      <c r="AZ53" s="75">
        <f>('Instruction-4YR'!X53+'RESEARCH 4yr'!X53+'PUBLIC SERVICE 4yr'!X53+'ASptISptSSv 4yr'!X53+'PLANT OPER MAIN 4yr'!X53+'SCHOLAR FELLOW 4yr'!X53+'All Other 4yr'!X53)-X53</f>
        <v>0</v>
      </c>
      <c r="BA53" s="75">
        <f>('Instruction-4YR'!Y53+'RESEARCH 4yr'!Y53+'PUBLIC SERVICE 4yr'!Y53+'ASptISptSSv 4yr'!Y53+'PLANT OPER MAIN 4yr'!Y53+'SCHOLAR FELLOW 4yr'!Y53+'All Other 4yr'!Y53)-Y53</f>
        <v>0</v>
      </c>
      <c r="BB53" s="75">
        <f>('Instruction-4YR'!Z53+'RESEARCH 4yr'!Z53+'PUBLIC SERVICE 4yr'!Z53+'ASptISptSSv 4yr'!Z53+'PLANT OPER MAIN 4yr'!Z53+'SCHOLAR FELLOW 4yr'!Z53+'All Other 4yr'!Z53)-Z53</f>
        <v>0</v>
      </c>
      <c r="BC53" s="75">
        <f>('Instruction-4YR'!AA53+'RESEARCH 4yr'!AA53+'PUBLIC SERVICE 4yr'!AA53+'ASptISptSSv 4yr'!AA53+'PLANT OPER MAIN 4yr'!AA53+'SCHOLAR FELLOW 4yr'!AA53+'All Other 4yr'!AA53)-AA53</f>
        <v>0</v>
      </c>
      <c r="BD53" s="75">
        <f>('Instruction-4YR'!AB53+'RESEARCH 4yr'!AB53+'PUBLIC SERVICE 4yr'!AB53+'ASptISptSSv 4yr'!AB53+'PLANT OPER MAIN 4yr'!AB53+'SCHOLAR FELLOW 4yr'!AB53+'All Other 4yr'!AB53)-AB53</f>
        <v>0</v>
      </c>
      <c r="BE53" s="75">
        <f>('Instruction-4YR'!AC53+'RESEARCH 4yr'!AC53+'PUBLIC SERVICE 4yr'!AC53+'ASptISptSSv 4yr'!AC53+'PLANT OPER MAIN 4yr'!AC53+'SCHOLAR FELLOW 4yr'!AC53+'All Other 4yr'!AC53)-AC53</f>
        <v>0</v>
      </c>
    </row>
    <row r="54" spans="1:57">
      <c r="A54" s="7" t="s">
        <v>122</v>
      </c>
      <c r="B54" s="48">
        <f>SUM(B56:B64)</f>
        <v>0</v>
      </c>
      <c r="C54" s="48">
        <f t="shared" ref="C54:AC54" si="13">SUM(C56:C64)</f>
        <v>0</v>
      </c>
      <c r="D54" s="48">
        <f t="shared" si="13"/>
        <v>0</v>
      </c>
      <c r="E54" s="48">
        <f t="shared" si="13"/>
        <v>0</v>
      </c>
      <c r="F54" s="48">
        <f t="shared" si="13"/>
        <v>9809798.5979999974</v>
      </c>
      <c r="G54" s="48">
        <f t="shared" si="13"/>
        <v>0</v>
      </c>
      <c r="H54" s="48">
        <f t="shared" si="13"/>
        <v>0</v>
      </c>
      <c r="I54" s="48">
        <f t="shared" si="13"/>
        <v>11488428.529000001</v>
      </c>
      <c r="J54" s="48">
        <f t="shared" si="13"/>
        <v>0</v>
      </c>
      <c r="K54" s="48">
        <f t="shared" si="13"/>
        <v>13303187.537999997</v>
      </c>
      <c r="L54" s="48">
        <f t="shared" si="13"/>
        <v>14355691.305000002</v>
      </c>
      <c r="M54" s="48">
        <f t="shared" si="13"/>
        <v>14729611.147</v>
      </c>
      <c r="N54" s="48">
        <f t="shared" si="13"/>
        <v>14604227.084000001</v>
      </c>
      <c r="O54" s="48">
        <f t="shared" si="13"/>
        <v>13552764.840999998</v>
      </c>
      <c r="P54" s="48">
        <f t="shared" si="13"/>
        <v>14410979.005000001</v>
      </c>
      <c r="Q54" s="48">
        <f t="shared" si="13"/>
        <v>17423564.274</v>
      </c>
      <c r="R54" s="48">
        <f t="shared" si="13"/>
        <v>17896992.756999999</v>
      </c>
      <c r="S54" s="48">
        <f t="shared" si="13"/>
        <v>19274531.454999998</v>
      </c>
      <c r="T54" s="48">
        <f t="shared" si="13"/>
        <v>20457165.549000002</v>
      </c>
      <c r="U54" s="48">
        <f t="shared" si="13"/>
        <v>19286260.318999998</v>
      </c>
      <c r="V54" s="48">
        <f t="shared" si="13"/>
        <v>21906760.593999997</v>
      </c>
      <c r="W54" s="48">
        <f t="shared" si="13"/>
        <v>23343123.076000001</v>
      </c>
      <c r="X54" s="48">
        <f t="shared" si="13"/>
        <v>23466354.151999999</v>
      </c>
      <c r="Y54" s="48">
        <f t="shared" si="13"/>
        <v>22862763.078999996</v>
      </c>
      <c r="Z54" s="48">
        <f t="shared" si="13"/>
        <v>24571034.355999999</v>
      </c>
      <c r="AA54" s="48">
        <f t="shared" si="13"/>
        <v>25408557.356000002</v>
      </c>
      <c r="AB54" s="48">
        <f t="shared" si="13"/>
        <v>27636300.696000002</v>
      </c>
      <c r="AC54" s="48">
        <f t="shared" si="13"/>
        <v>28686583.206999999</v>
      </c>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row>
    <row r="55" spans="1:57">
      <c r="A55" s="7" t="s">
        <v>119</v>
      </c>
      <c r="Y55" s="1">
        <v>0</v>
      </c>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row>
    <row r="56" spans="1:57">
      <c r="A56" s="1" t="s">
        <v>89</v>
      </c>
      <c r="F56" s="42">
        <v>623975.47699999996</v>
      </c>
      <c r="I56" s="1">
        <v>755227.08799999999</v>
      </c>
      <c r="K56" s="1">
        <v>758835.92099999997</v>
      </c>
      <c r="L56" s="1">
        <v>989442.17500000005</v>
      </c>
      <c r="M56" s="1">
        <v>1008456.02</v>
      </c>
      <c r="N56" s="1">
        <v>1346676.8770000001</v>
      </c>
      <c r="O56" s="1">
        <v>1458470.645</v>
      </c>
      <c r="P56" s="1">
        <v>1509608.0759999999</v>
      </c>
      <c r="Q56" s="1">
        <v>1754806.423</v>
      </c>
      <c r="R56" s="1">
        <v>1763148.3319999999</v>
      </c>
      <c r="S56" s="1">
        <v>1833829.851</v>
      </c>
      <c r="T56" s="1">
        <v>1978363.412</v>
      </c>
      <c r="U56" s="1">
        <v>1839676.64</v>
      </c>
      <c r="V56" s="1">
        <v>1830287.564</v>
      </c>
      <c r="W56" s="1">
        <v>1953061.365</v>
      </c>
      <c r="X56" s="1">
        <v>1922807.1089999999</v>
      </c>
      <c r="Y56" s="1">
        <v>1983598.4450000001</v>
      </c>
      <c r="Z56" s="1">
        <v>2117590.4219999998</v>
      </c>
      <c r="AA56" s="1">
        <v>2266547.5619999999</v>
      </c>
      <c r="AB56" s="1">
        <v>2364156.9479999999</v>
      </c>
      <c r="AC56" s="1">
        <v>2534658.321</v>
      </c>
      <c r="AD56" s="75">
        <f>('Instruction-4YR'!B56+'RESEARCH 4yr'!B56+'PUBLIC SERVICE 4yr'!B56+'ASptISptSSv 4yr'!B56+'PLANT OPER MAIN 4yr'!B56+'SCHOLAR FELLOW 4yr'!B56+'All Other 4yr'!B56)-B56</f>
        <v>0</v>
      </c>
      <c r="AE56" s="75">
        <f>('Instruction-4YR'!C56+'RESEARCH 4yr'!C56+'PUBLIC SERVICE 4yr'!C56+'ASptISptSSv 4yr'!C56+'PLANT OPER MAIN 4yr'!C56+'SCHOLAR FELLOW 4yr'!C56+'All Other 4yr'!C56)-C56</f>
        <v>0</v>
      </c>
      <c r="AF56" s="75">
        <f>('Instruction-4YR'!D56+'RESEARCH 4yr'!D56+'PUBLIC SERVICE 4yr'!D56+'ASptISptSSv 4yr'!D56+'PLANT OPER MAIN 4yr'!D56+'SCHOLAR FELLOW 4yr'!D56+'All Other 4yr'!D56)-D56</f>
        <v>0</v>
      </c>
      <c r="AG56" s="75">
        <f>('Instruction-4YR'!E56+'RESEARCH 4yr'!E56+'PUBLIC SERVICE 4yr'!E56+'ASptISptSSv 4yr'!E56+'PLANT OPER MAIN 4yr'!E56+'SCHOLAR FELLOW 4yr'!E56+'All Other 4yr'!E56)-E56</f>
        <v>0</v>
      </c>
      <c r="AH56" s="75">
        <f>('Instruction-4YR'!F56+'RESEARCH 4yr'!F56+'PUBLIC SERVICE 4yr'!F56+'ASptISptSSv 4yr'!F56+'PLANT OPER MAIN 4yr'!F56+'SCHOLAR FELLOW 4yr'!F56+'All Other 4yr'!F56)-F56</f>
        <v>0</v>
      </c>
      <c r="AI56" s="75">
        <f>('Instruction-4YR'!G56+'RESEARCH 4yr'!G56+'PUBLIC SERVICE 4yr'!G56+'ASptISptSSv 4yr'!G56+'PLANT OPER MAIN 4yr'!G56+'SCHOLAR FELLOW 4yr'!G56+'All Other 4yr'!G56)-G56</f>
        <v>0</v>
      </c>
      <c r="AJ56" s="75">
        <f>('Instruction-4YR'!H56+'RESEARCH 4yr'!H56+'PUBLIC SERVICE 4yr'!H56+'ASptISptSSv 4yr'!H56+'PLANT OPER MAIN 4yr'!H56+'SCHOLAR FELLOW 4yr'!H56+'All Other 4yr'!H56)-H56</f>
        <v>0</v>
      </c>
      <c r="AK56" s="75">
        <f>('Instruction-4YR'!I56+'RESEARCH 4yr'!I56+'PUBLIC SERVICE 4yr'!I56+'ASptISptSSv 4yr'!I56+'PLANT OPER MAIN 4yr'!I56+'SCHOLAR FELLOW 4yr'!I56+'All Other 4yr'!I56)-I56</f>
        <v>0</v>
      </c>
      <c r="AL56" s="75">
        <f>('Instruction-4YR'!J56+'RESEARCH 4yr'!J56+'PUBLIC SERVICE 4yr'!J56+'ASptISptSSv 4yr'!J56+'PLANT OPER MAIN 4yr'!J56+'SCHOLAR FELLOW 4yr'!J56+'All Other 4yr'!J56)-J56</f>
        <v>0</v>
      </c>
      <c r="AM56" s="75">
        <f>('Instruction-4YR'!K56+'RESEARCH 4yr'!K56+'PUBLIC SERVICE 4yr'!K56+'ASptISptSSv 4yr'!K56+'PLANT OPER MAIN 4yr'!K56+'SCHOLAR FELLOW 4yr'!K56+'All Other 4yr'!K56)-K56</f>
        <v>0</v>
      </c>
      <c r="AN56" s="75">
        <f>('Instruction-4YR'!L56+'RESEARCH 4yr'!L56+'PUBLIC SERVICE 4yr'!L56+'ASptISptSSv 4yr'!L56+'PLANT OPER MAIN 4yr'!L56+'SCHOLAR FELLOW 4yr'!L56+'All Other 4yr'!L56)-L56</f>
        <v>0</v>
      </c>
      <c r="AO56" s="75">
        <f>('Instruction-4YR'!M56+'RESEARCH 4yr'!M56+'PUBLIC SERVICE 4yr'!M56+'ASptISptSSv 4yr'!M56+'PLANT OPER MAIN 4yr'!M56+'SCHOLAR FELLOW 4yr'!M56+'All Other 4yr'!M56)-M56</f>
        <v>0</v>
      </c>
      <c r="AP56" s="75">
        <f>('Instruction-4YR'!N56+'RESEARCH 4yr'!N56+'PUBLIC SERVICE 4yr'!N56+'ASptISptSSv 4yr'!N56+'PLANT OPER MAIN 4yr'!N56+'SCHOLAR FELLOW 4yr'!N56+'All Other 4yr'!N56)-N56</f>
        <v>0</v>
      </c>
      <c r="AQ56" s="75">
        <f>('Instruction-4YR'!O56+'RESEARCH 4yr'!O56+'PUBLIC SERVICE 4yr'!O56+'ASptISptSSv 4yr'!O56+'PLANT OPER MAIN 4yr'!O56+'SCHOLAR FELLOW 4yr'!O56+'All Other 4yr'!O56)-O56</f>
        <v>0</v>
      </c>
      <c r="AR56" s="75">
        <f>('Instruction-4YR'!P56+'RESEARCH 4yr'!P56+'PUBLIC SERVICE 4yr'!P56+'ASptISptSSv 4yr'!P56+'PLANT OPER MAIN 4yr'!P56+'SCHOLAR FELLOW 4yr'!P56+'All Other 4yr'!P56)-P56</f>
        <v>0</v>
      </c>
      <c r="AS56" s="75">
        <f>('Instruction-4YR'!Q56+'RESEARCH 4yr'!Q56+'PUBLIC SERVICE 4yr'!Q56+'ASptISptSSv 4yr'!Q56+'PLANT OPER MAIN 4yr'!Q56+'SCHOLAR FELLOW 4yr'!Q56+'All Other 4yr'!Q56)-Q56</f>
        <v>0</v>
      </c>
      <c r="AT56" s="75">
        <f>('Instruction-4YR'!R56+'RESEARCH 4yr'!R56+'PUBLIC SERVICE 4yr'!R56+'ASptISptSSv 4yr'!R56+'PLANT OPER MAIN 4yr'!R56+'SCHOLAR FELLOW 4yr'!R56+'All Other 4yr'!R56)-R56</f>
        <v>0</v>
      </c>
      <c r="AU56" s="75">
        <f>('Instruction-4YR'!S56+'RESEARCH 4yr'!S56+'PUBLIC SERVICE 4yr'!S56+'ASptISptSSv 4yr'!S56+'PLANT OPER MAIN 4yr'!S56+'SCHOLAR FELLOW 4yr'!S56+'All Other 4yr'!S56)-S56</f>
        <v>0</v>
      </c>
      <c r="AV56" s="75">
        <f>('Instruction-4YR'!T56+'RESEARCH 4yr'!T56+'PUBLIC SERVICE 4yr'!T56+'ASptISptSSv 4yr'!T56+'PLANT OPER MAIN 4yr'!T56+'SCHOLAR FELLOW 4yr'!T56+'All Other 4yr'!T56)-T56</f>
        <v>0</v>
      </c>
      <c r="AW56" s="75">
        <f>('Instruction-4YR'!U56+'RESEARCH 4yr'!U56+'PUBLIC SERVICE 4yr'!U56+'ASptISptSSv 4yr'!U56+'PLANT OPER MAIN 4yr'!U56+'SCHOLAR FELLOW 4yr'!U56+'All Other 4yr'!U56)-U56</f>
        <v>0</v>
      </c>
      <c r="AX56" s="75">
        <f>('Instruction-4YR'!V56+'RESEARCH 4yr'!V56+'PUBLIC SERVICE 4yr'!V56+'ASptISptSSv 4yr'!V56+'PLANT OPER MAIN 4yr'!V56+'SCHOLAR FELLOW 4yr'!V56+'All Other 4yr'!V56)-V56</f>
        <v>0</v>
      </c>
      <c r="AY56" s="75">
        <f>('Instruction-4YR'!W56+'RESEARCH 4yr'!W56+'PUBLIC SERVICE 4yr'!W56+'ASptISptSSv 4yr'!W56+'PLANT OPER MAIN 4yr'!W56+'SCHOLAR FELLOW 4yr'!W56+'All Other 4yr'!W56)-W56</f>
        <v>0</v>
      </c>
      <c r="AZ56" s="75">
        <f>('Instruction-4YR'!X56+'RESEARCH 4yr'!X56+'PUBLIC SERVICE 4yr'!X56+'ASptISptSSv 4yr'!X56+'PLANT OPER MAIN 4yr'!X56+'SCHOLAR FELLOW 4yr'!X56+'All Other 4yr'!X56)-X56</f>
        <v>0</v>
      </c>
      <c r="BA56" s="75">
        <f>('Instruction-4YR'!Y56+'RESEARCH 4yr'!Y56+'PUBLIC SERVICE 4yr'!Y56+'ASptISptSSv 4yr'!Y56+'PLANT OPER MAIN 4yr'!Y56+'SCHOLAR FELLOW 4yr'!Y56+'All Other 4yr'!Y56)-Y56</f>
        <v>0</v>
      </c>
      <c r="BB56" s="75">
        <f>('Instruction-4YR'!Z56+'RESEARCH 4yr'!Z56+'PUBLIC SERVICE 4yr'!Z56+'ASptISptSSv 4yr'!Z56+'PLANT OPER MAIN 4yr'!Z56+'SCHOLAR FELLOW 4yr'!Z56+'All Other 4yr'!Z56)-Z56</f>
        <v>0</v>
      </c>
      <c r="BC56" s="75">
        <f>('Instruction-4YR'!AA56+'RESEARCH 4yr'!AA56+'PUBLIC SERVICE 4yr'!AA56+'ASptISptSSv 4yr'!AA56+'PLANT OPER MAIN 4yr'!AA56+'SCHOLAR FELLOW 4yr'!AA56+'All Other 4yr'!AA56)-AA56</f>
        <v>0</v>
      </c>
      <c r="BD56" s="75">
        <f>('Instruction-4YR'!AB56+'RESEARCH 4yr'!AB56+'PUBLIC SERVICE 4yr'!AB56+'ASptISptSSv 4yr'!AB56+'PLANT OPER MAIN 4yr'!AB56+'SCHOLAR FELLOW 4yr'!AB56+'All Other 4yr'!AB56)-AB56</f>
        <v>0</v>
      </c>
      <c r="BE56" s="75">
        <f>('Instruction-4YR'!AC56+'RESEARCH 4yr'!AC56+'PUBLIC SERVICE 4yr'!AC56+'ASptISptSSv 4yr'!AC56+'PLANT OPER MAIN 4yr'!AC56+'SCHOLAR FELLOW 4yr'!AC56+'All Other 4yr'!AC56)-AC56</f>
        <v>0</v>
      </c>
    </row>
    <row r="57" spans="1:57">
      <c r="A57" s="1" t="s">
        <v>96</v>
      </c>
      <c r="F57" s="42">
        <v>282933.28600000002</v>
      </c>
      <c r="I57" s="1">
        <v>305907.20899999997</v>
      </c>
      <c r="K57" s="1">
        <v>349688.99300000002</v>
      </c>
      <c r="L57" s="1">
        <v>393778.03700000001</v>
      </c>
      <c r="M57" s="1">
        <v>424684.15100000001</v>
      </c>
      <c r="N57" s="1">
        <v>482622.78600000002</v>
      </c>
      <c r="O57" s="1">
        <v>515466.1</v>
      </c>
      <c r="P57" s="1">
        <v>539611.41899999999</v>
      </c>
      <c r="Q57" s="1">
        <v>554059.05599999998</v>
      </c>
      <c r="R57" s="1">
        <v>571236.94200000004</v>
      </c>
      <c r="S57" s="1">
        <v>595952.42700000003</v>
      </c>
      <c r="T57" s="1">
        <v>632047.27599999995</v>
      </c>
      <c r="U57" s="1">
        <v>653245.10199999996</v>
      </c>
      <c r="V57" s="1">
        <v>658914.39</v>
      </c>
      <c r="W57" s="1">
        <v>680930.87199999997</v>
      </c>
      <c r="X57" s="1">
        <v>684057.26100000006</v>
      </c>
      <c r="Y57" s="1">
        <v>673576.61699999997</v>
      </c>
      <c r="Z57" s="1">
        <v>684136.81</v>
      </c>
      <c r="AA57" s="1">
        <v>684183.68700000003</v>
      </c>
      <c r="AB57" s="1">
        <v>705731.37100000004</v>
      </c>
      <c r="AC57" s="1">
        <v>729716.60699999996</v>
      </c>
      <c r="AD57" s="75">
        <f>('Instruction-4YR'!B57+'RESEARCH 4yr'!B57+'PUBLIC SERVICE 4yr'!B57+'ASptISptSSv 4yr'!B57+'PLANT OPER MAIN 4yr'!B57+'SCHOLAR FELLOW 4yr'!B57+'All Other 4yr'!B57)-B57</f>
        <v>0</v>
      </c>
      <c r="AE57" s="75">
        <f>('Instruction-4YR'!C57+'RESEARCH 4yr'!C57+'PUBLIC SERVICE 4yr'!C57+'ASptISptSSv 4yr'!C57+'PLANT OPER MAIN 4yr'!C57+'SCHOLAR FELLOW 4yr'!C57+'All Other 4yr'!C57)-C57</f>
        <v>0</v>
      </c>
      <c r="AF57" s="75">
        <f>('Instruction-4YR'!D57+'RESEARCH 4yr'!D57+'PUBLIC SERVICE 4yr'!D57+'ASptISptSSv 4yr'!D57+'PLANT OPER MAIN 4yr'!D57+'SCHOLAR FELLOW 4yr'!D57+'All Other 4yr'!D57)-D57</f>
        <v>0</v>
      </c>
      <c r="AG57" s="75">
        <f>('Instruction-4YR'!E57+'RESEARCH 4yr'!E57+'PUBLIC SERVICE 4yr'!E57+'ASptISptSSv 4yr'!E57+'PLANT OPER MAIN 4yr'!E57+'SCHOLAR FELLOW 4yr'!E57+'All Other 4yr'!E57)-E57</f>
        <v>0</v>
      </c>
      <c r="AH57" s="75">
        <f>('Instruction-4YR'!F57+'RESEARCH 4yr'!F57+'PUBLIC SERVICE 4yr'!F57+'ASptISptSSv 4yr'!F57+'PLANT OPER MAIN 4yr'!F57+'SCHOLAR FELLOW 4yr'!F57+'All Other 4yr'!F57)-F57</f>
        <v>0</v>
      </c>
      <c r="AI57" s="75">
        <f>('Instruction-4YR'!G57+'RESEARCH 4yr'!G57+'PUBLIC SERVICE 4yr'!G57+'ASptISptSSv 4yr'!G57+'PLANT OPER MAIN 4yr'!G57+'SCHOLAR FELLOW 4yr'!G57+'All Other 4yr'!G57)-G57</f>
        <v>0</v>
      </c>
      <c r="AJ57" s="75">
        <f>('Instruction-4YR'!H57+'RESEARCH 4yr'!H57+'PUBLIC SERVICE 4yr'!H57+'ASptISptSSv 4yr'!H57+'PLANT OPER MAIN 4yr'!H57+'SCHOLAR FELLOW 4yr'!H57+'All Other 4yr'!H57)-H57</f>
        <v>0</v>
      </c>
      <c r="AK57" s="75">
        <f>('Instruction-4YR'!I57+'RESEARCH 4yr'!I57+'PUBLIC SERVICE 4yr'!I57+'ASptISptSSv 4yr'!I57+'PLANT OPER MAIN 4yr'!I57+'SCHOLAR FELLOW 4yr'!I57+'All Other 4yr'!I57)-I57</f>
        <v>0</v>
      </c>
      <c r="AL57" s="75">
        <f>('Instruction-4YR'!J57+'RESEARCH 4yr'!J57+'PUBLIC SERVICE 4yr'!J57+'ASptISptSSv 4yr'!J57+'PLANT OPER MAIN 4yr'!J57+'SCHOLAR FELLOW 4yr'!J57+'All Other 4yr'!J57)-J57</f>
        <v>0</v>
      </c>
      <c r="AM57" s="75">
        <f>('Instruction-4YR'!K57+'RESEARCH 4yr'!K57+'PUBLIC SERVICE 4yr'!K57+'ASptISptSSv 4yr'!K57+'PLANT OPER MAIN 4yr'!K57+'SCHOLAR FELLOW 4yr'!K57+'All Other 4yr'!K57)-K57</f>
        <v>0</v>
      </c>
      <c r="AN57" s="75">
        <f>('Instruction-4YR'!L57+'RESEARCH 4yr'!L57+'PUBLIC SERVICE 4yr'!L57+'ASptISptSSv 4yr'!L57+'PLANT OPER MAIN 4yr'!L57+'SCHOLAR FELLOW 4yr'!L57+'All Other 4yr'!L57)-L57</f>
        <v>0</v>
      </c>
      <c r="AO57" s="75">
        <f>('Instruction-4YR'!M57+'RESEARCH 4yr'!M57+'PUBLIC SERVICE 4yr'!M57+'ASptISptSSv 4yr'!M57+'PLANT OPER MAIN 4yr'!M57+'SCHOLAR FELLOW 4yr'!M57+'All Other 4yr'!M57)-M57</f>
        <v>0</v>
      </c>
      <c r="AP57" s="75">
        <f>('Instruction-4YR'!N57+'RESEARCH 4yr'!N57+'PUBLIC SERVICE 4yr'!N57+'ASptISptSSv 4yr'!N57+'PLANT OPER MAIN 4yr'!N57+'SCHOLAR FELLOW 4yr'!N57+'All Other 4yr'!N57)-N57</f>
        <v>0</v>
      </c>
      <c r="AQ57" s="75">
        <f>('Instruction-4YR'!O57+'RESEARCH 4yr'!O57+'PUBLIC SERVICE 4yr'!O57+'ASptISptSSv 4yr'!O57+'PLANT OPER MAIN 4yr'!O57+'SCHOLAR FELLOW 4yr'!O57+'All Other 4yr'!O57)-O57</f>
        <v>0</v>
      </c>
      <c r="AR57" s="75">
        <f>('Instruction-4YR'!P57+'RESEARCH 4yr'!P57+'PUBLIC SERVICE 4yr'!P57+'ASptISptSSv 4yr'!P57+'PLANT OPER MAIN 4yr'!P57+'SCHOLAR FELLOW 4yr'!P57+'All Other 4yr'!P57)-P57</f>
        <v>0</v>
      </c>
      <c r="AS57" s="75">
        <f>('Instruction-4YR'!Q57+'RESEARCH 4yr'!Q57+'PUBLIC SERVICE 4yr'!Q57+'ASptISptSSv 4yr'!Q57+'PLANT OPER MAIN 4yr'!Q57+'SCHOLAR FELLOW 4yr'!Q57+'All Other 4yr'!Q57)-Q57</f>
        <v>0</v>
      </c>
      <c r="AT57" s="75">
        <f>('Instruction-4YR'!R57+'RESEARCH 4yr'!R57+'PUBLIC SERVICE 4yr'!R57+'ASptISptSSv 4yr'!R57+'PLANT OPER MAIN 4yr'!R57+'SCHOLAR FELLOW 4yr'!R57+'All Other 4yr'!R57)-R57</f>
        <v>0</v>
      </c>
      <c r="AU57" s="75">
        <f>('Instruction-4YR'!S57+'RESEARCH 4yr'!S57+'PUBLIC SERVICE 4yr'!S57+'ASptISptSSv 4yr'!S57+'PLANT OPER MAIN 4yr'!S57+'SCHOLAR FELLOW 4yr'!S57+'All Other 4yr'!S57)-S57</f>
        <v>0</v>
      </c>
      <c r="AV57" s="75">
        <f>('Instruction-4YR'!T57+'RESEARCH 4yr'!T57+'PUBLIC SERVICE 4yr'!T57+'ASptISptSSv 4yr'!T57+'PLANT OPER MAIN 4yr'!T57+'SCHOLAR FELLOW 4yr'!T57+'All Other 4yr'!T57)-T57</f>
        <v>0</v>
      </c>
      <c r="AW57" s="75">
        <f>('Instruction-4YR'!U57+'RESEARCH 4yr'!U57+'PUBLIC SERVICE 4yr'!U57+'ASptISptSSv 4yr'!U57+'PLANT OPER MAIN 4yr'!U57+'SCHOLAR FELLOW 4yr'!U57+'All Other 4yr'!U57)-U57</f>
        <v>0</v>
      </c>
      <c r="AX57" s="75">
        <f>('Instruction-4YR'!V57+'RESEARCH 4yr'!V57+'PUBLIC SERVICE 4yr'!V57+'ASptISptSSv 4yr'!V57+'PLANT OPER MAIN 4yr'!V57+'SCHOLAR FELLOW 4yr'!V57+'All Other 4yr'!V57)-V57</f>
        <v>0</v>
      </c>
      <c r="AY57" s="75">
        <f>('Instruction-4YR'!W57+'RESEARCH 4yr'!W57+'PUBLIC SERVICE 4yr'!W57+'ASptISptSSv 4yr'!W57+'PLANT OPER MAIN 4yr'!W57+'SCHOLAR FELLOW 4yr'!W57+'All Other 4yr'!W57)-W57</f>
        <v>0</v>
      </c>
      <c r="AZ57" s="75">
        <f>('Instruction-4YR'!X57+'RESEARCH 4yr'!X57+'PUBLIC SERVICE 4yr'!X57+'ASptISptSSv 4yr'!X57+'PLANT OPER MAIN 4yr'!X57+'SCHOLAR FELLOW 4yr'!X57+'All Other 4yr'!X57)-X57</f>
        <v>0</v>
      </c>
      <c r="BA57" s="75">
        <f>('Instruction-4YR'!Y57+'RESEARCH 4yr'!Y57+'PUBLIC SERVICE 4yr'!Y57+'ASptISptSSv 4yr'!Y57+'PLANT OPER MAIN 4yr'!Y57+'SCHOLAR FELLOW 4yr'!Y57+'All Other 4yr'!Y57)-Y57</f>
        <v>0</v>
      </c>
      <c r="BB57" s="75">
        <f>('Instruction-4YR'!Z57+'RESEARCH 4yr'!Z57+'PUBLIC SERVICE 4yr'!Z57+'ASptISptSSv 4yr'!Z57+'PLANT OPER MAIN 4yr'!Z57+'SCHOLAR FELLOW 4yr'!Z57+'All Other 4yr'!Z57)-Z57</f>
        <v>0</v>
      </c>
      <c r="BC57" s="75">
        <f>('Instruction-4YR'!AA57+'RESEARCH 4yr'!AA57+'PUBLIC SERVICE 4yr'!AA57+'ASptISptSSv 4yr'!AA57+'PLANT OPER MAIN 4yr'!AA57+'SCHOLAR FELLOW 4yr'!AA57+'All Other 4yr'!AA57)-AA57</f>
        <v>0</v>
      </c>
      <c r="BD57" s="75">
        <f>('Instruction-4YR'!AB57+'RESEARCH 4yr'!AB57+'PUBLIC SERVICE 4yr'!AB57+'ASptISptSSv 4yr'!AB57+'PLANT OPER MAIN 4yr'!AB57+'SCHOLAR FELLOW 4yr'!AB57+'All Other 4yr'!AB57)-AB57</f>
        <v>0</v>
      </c>
      <c r="BE57" s="75">
        <f>('Instruction-4YR'!AC57+'RESEARCH 4yr'!AC57+'PUBLIC SERVICE 4yr'!AC57+'ASptISptSSv 4yr'!AC57+'PLANT OPER MAIN 4yr'!AC57+'SCHOLAR FELLOW 4yr'!AC57+'All Other 4yr'!AC57)-AC57</f>
        <v>0</v>
      </c>
    </row>
    <row r="58" spans="1:57">
      <c r="A58" s="1" t="s">
        <v>97</v>
      </c>
      <c r="F58" s="42">
        <v>956528.09</v>
      </c>
      <c r="I58" s="1">
        <v>1089490.453</v>
      </c>
      <c r="K58" s="1">
        <v>1226513.0120000001</v>
      </c>
      <c r="L58" s="1">
        <v>1536888.665</v>
      </c>
      <c r="M58" s="1">
        <v>1655649.0209999999</v>
      </c>
      <c r="N58" s="1">
        <v>1797045.7109999999</v>
      </c>
      <c r="O58" s="1">
        <v>1806385.4080000001</v>
      </c>
      <c r="P58" s="1">
        <v>1922909.9439999999</v>
      </c>
      <c r="Q58" s="1">
        <v>2312762.8319999999</v>
      </c>
      <c r="R58" s="1">
        <v>2484774.75</v>
      </c>
      <c r="S58" s="1">
        <v>2635348.5129999998</v>
      </c>
      <c r="T58" s="1">
        <v>2716558.0269999998</v>
      </c>
      <c r="U58" s="1">
        <v>1994890.9850000001</v>
      </c>
      <c r="V58" s="1">
        <v>2949058.2030000002</v>
      </c>
      <c r="W58" s="1">
        <v>3160234.196</v>
      </c>
      <c r="X58" s="1">
        <v>3175585.5589999999</v>
      </c>
      <c r="Y58" s="1">
        <v>3294263.443</v>
      </c>
      <c r="Z58" s="1">
        <v>3485156.4160000002</v>
      </c>
      <c r="AA58" s="1">
        <v>3514215.1310000001</v>
      </c>
      <c r="AB58" s="1">
        <v>3904504.9980000001</v>
      </c>
      <c r="AC58" s="1">
        <v>3978724.4369999999</v>
      </c>
      <c r="AD58" s="75">
        <f>('Instruction-4YR'!B58+'RESEARCH 4yr'!B58+'PUBLIC SERVICE 4yr'!B58+'ASptISptSSv 4yr'!B58+'PLANT OPER MAIN 4yr'!B58+'SCHOLAR FELLOW 4yr'!B58+'All Other 4yr'!B58)-B58</f>
        <v>0</v>
      </c>
      <c r="AE58" s="75">
        <f>('Instruction-4YR'!C58+'RESEARCH 4yr'!C58+'PUBLIC SERVICE 4yr'!C58+'ASptISptSSv 4yr'!C58+'PLANT OPER MAIN 4yr'!C58+'SCHOLAR FELLOW 4yr'!C58+'All Other 4yr'!C58)-C58</f>
        <v>0</v>
      </c>
      <c r="AF58" s="75">
        <f>('Instruction-4YR'!D58+'RESEARCH 4yr'!D58+'PUBLIC SERVICE 4yr'!D58+'ASptISptSSv 4yr'!D58+'PLANT OPER MAIN 4yr'!D58+'SCHOLAR FELLOW 4yr'!D58+'All Other 4yr'!D58)-D58</f>
        <v>0</v>
      </c>
      <c r="AG58" s="75">
        <f>('Instruction-4YR'!E58+'RESEARCH 4yr'!E58+'PUBLIC SERVICE 4yr'!E58+'ASptISptSSv 4yr'!E58+'PLANT OPER MAIN 4yr'!E58+'SCHOLAR FELLOW 4yr'!E58+'All Other 4yr'!E58)-E58</f>
        <v>0</v>
      </c>
      <c r="AH58" s="75">
        <f>('Instruction-4YR'!F58+'RESEARCH 4yr'!F58+'PUBLIC SERVICE 4yr'!F58+'ASptISptSSv 4yr'!F58+'PLANT OPER MAIN 4yr'!F58+'SCHOLAR FELLOW 4yr'!F58+'All Other 4yr'!F58)-F58</f>
        <v>0</v>
      </c>
      <c r="AI58" s="75">
        <f>('Instruction-4YR'!G58+'RESEARCH 4yr'!G58+'PUBLIC SERVICE 4yr'!G58+'ASptISptSSv 4yr'!G58+'PLANT OPER MAIN 4yr'!G58+'SCHOLAR FELLOW 4yr'!G58+'All Other 4yr'!G58)-G58</f>
        <v>0</v>
      </c>
      <c r="AJ58" s="75">
        <f>('Instruction-4YR'!H58+'RESEARCH 4yr'!H58+'PUBLIC SERVICE 4yr'!H58+'ASptISptSSv 4yr'!H58+'PLANT OPER MAIN 4yr'!H58+'SCHOLAR FELLOW 4yr'!H58+'All Other 4yr'!H58)-H58</f>
        <v>0</v>
      </c>
      <c r="AK58" s="75">
        <f>('Instruction-4YR'!I58+'RESEARCH 4yr'!I58+'PUBLIC SERVICE 4yr'!I58+'ASptISptSSv 4yr'!I58+'PLANT OPER MAIN 4yr'!I58+'SCHOLAR FELLOW 4yr'!I58+'All Other 4yr'!I58)-I58</f>
        <v>0</v>
      </c>
      <c r="AL58" s="75">
        <f>('Instruction-4YR'!J58+'RESEARCH 4yr'!J58+'PUBLIC SERVICE 4yr'!J58+'ASptISptSSv 4yr'!J58+'PLANT OPER MAIN 4yr'!J58+'SCHOLAR FELLOW 4yr'!J58+'All Other 4yr'!J58)-J58</f>
        <v>0</v>
      </c>
      <c r="AM58" s="75">
        <f>('Instruction-4YR'!K58+'RESEARCH 4yr'!K58+'PUBLIC SERVICE 4yr'!K58+'ASptISptSSv 4yr'!K58+'PLANT OPER MAIN 4yr'!K58+'SCHOLAR FELLOW 4yr'!K58+'All Other 4yr'!K58)-K58</f>
        <v>0</v>
      </c>
      <c r="AN58" s="75">
        <f>('Instruction-4YR'!L58+'RESEARCH 4yr'!L58+'PUBLIC SERVICE 4yr'!L58+'ASptISptSSv 4yr'!L58+'PLANT OPER MAIN 4yr'!L58+'SCHOLAR FELLOW 4yr'!L58+'All Other 4yr'!L58)-L58</f>
        <v>0</v>
      </c>
      <c r="AO58" s="75">
        <f>('Instruction-4YR'!M58+'RESEARCH 4yr'!M58+'PUBLIC SERVICE 4yr'!M58+'ASptISptSSv 4yr'!M58+'PLANT OPER MAIN 4yr'!M58+'SCHOLAR FELLOW 4yr'!M58+'All Other 4yr'!M58)-M58</f>
        <v>0</v>
      </c>
      <c r="AP58" s="75">
        <f>('Instruction-4YR'!N58+'RESEARCH 4yr'!N58+'PUBLIC SERVICE 4yr'!N58+'ASptISptSSv 4yr'!N58+'PLANT OPER MAIN 4yr'!N58+'SCHOLAR FELLOW 4yr'!N58+'All Other 4yr'!N58)-N58</f>
        <v>0</v>
      </c>
      <c r="AQ58" s="75">
        <f>('Instruction-4YR'!O58+'RESEARCH 4yr'!O58+'PUBLIC SERVICE 4yr'!O58+'ASptISptSSv 4yr'!O58+'PLANT OPER MAIN 4yr'!O58+'SCHOLAR FELLOW 4yr'!O58+'All Other 4yr'!O58)-O58</f>
        <v>0</v>
      </c>
      <c r="AR58" s="75">
        <f>('Instruction-4YR'!P58+'RESEARCH 4yr'!P58+'PUBLIC SERVICE 4yr'!P58+'ASptISptSSv 4yr'!P58+'PLANT OPER MAIN 4yr'!P58+'SCHOLAR FELLOW 4yr'!P58+'All Other 4yr'!P58)-P58</f>
        <v>0</v>
      </c>
      <c r="AS58" s="75">
        <f>('Instruction-4YR'!Q58+'RESEARCH 4yr'!Q58+'PUBLIC SERVICE 4yr'!Q58+'ASptISptSSv 4yr'!Q58+'PLANT OPER MAIN 4yr'!Q58+'SCHOLAR FELLOW 4yr'!Q58+'All Other 4yr'!Q58)-Q58</f>
        <v>0</v>
      </c>
      <c r="AT58" s="75">
        <f>('Instruction-4YR'!R58+'RESEARCH 4yr'!R58+'PUBLIC SERVICE 4yr'!R58+'ASptISptSSv 4yr'!R58+'PLANT OPER MAIN 4yr'!R58+'SCHOLAR FELLOW 4yr'!R58+'All Other 4yr'!R58)-R58</f>
        <v>0</v>
      </c>
      <c r="AU58" s="75">
        <f>('Instruction-4YR'!S58+'RESEARCH 4yr'!S58+'PUBLIC SERVICE 4yr'!S58+'ASptISptSSv 4yr'!S58+'PLANT OPER MAIN 4yr'!S58+'SCHOLAR FELLOW 4yr'!S58+'All Other 4yr'!S58)-S58</f>
        <v>0</v>
      </c>
      <c r="AV58" s="75">
        <f>('Instruction-4YR'!T58+'RESEARCH 4yr'!T58+'PUBLIC SERVICE 4yr'!T58+'ASptISptSSv 4yr'!T58+'PLANT OPER MAIN 4yr'!T58+'SCHOLAR FELLOW 4yr'!T58+'All Other 4yr'!T58)-T58</f>
        <v>0</v>
      </c>
      <c r="AW58" s="75">
        <f>('Instruction-4YR'!U58+'RESEARCH 4yr'!U58+'PUBLIC SERVICE 4yr'!U58+'ASptISptSSv 4yr'!U58+'PLANT OPER MAIN 4yr'!U58+'SCHOLAR FELLOW 4yr'!U58+'All Other 4yr'!U58)-U58</f>
        <v>0</v>
      </c>
      <c r="AX58" s="75">
        <f>('Instruction-4YR'!V58+'RESEARCH 4yr'!V58+'PUBLIC SERVICE 4yr'!V58+'ASptISptSSv 4yr'!V58+'PLANT OPER MAIN 4yr'!V58+'SCHOLAR FELLOW 4yr'!V58+'All Other 4yr'!V58)-V58</f>
        <v>0</v>
      </c>
      <c r="AY58" s="75">
        <f>('Instruction-4YR'!W58+'RESEARCH 4yr'!W58+'PUBLIC SERVICE 4yr'!W58+'ASptISptSSv 4yr'!W58+'PLANT OPER MAIN 4yr'!W58+'SCHOLAR FELLOW 4yr'!W58+'All Other 4yr'!W58)-W58</f>
        <v>0</v>
      </c>
      <c r="AZ58" s="75">
        <f>('Instruction-4YR'!X58+'RESEARCH 4yr'!X58+'PUBLIC SERVICE 4yr'!X58+'ASptISptSSv 4yr'!X58+'PLANT OPER MAIN 4yr'!X58+'SCHOLAR FELLOW 4yr'!X58+'All Other 4yr'!X58)-X58</f>
        <v>0</v>
      </c>
      <c r="BA58" s="75">
        <f>('Instruction-4YR'!Y58+'RESEARCH 4yr'!Y58+'PUBLIC SERVICE 4yr'!Y58+'ASptISptSSv 4yr'!Y58+'PLANT OPER MAIN 4yr'!Y58+'SCHOLAR FELLOW 4yr'!Y58+'All Other 4yr'!Y58)-Y58</f>
        <v>0</v>
      </c>
      <c r="BB58" s="75">
        <f>('Instruction-4YR'!Z58+'RESEARCH 4yr'!Z58+'PUBLIC SERVICE 4yr'!Z58+'ASptISptSSv 4yr'!Z58+'PLANT OPER MAIN 4yr'!Z58+'SCHOLAR FELLOW 4yr'!Z58+'All Other 4yr'!Z58)-Z58</f>
        <v>0</v>
      </c>
      <c r="BC58" s="75">
        <f>('Instruction-4YR'!AA58+'RESEARCH 4yr'!AA58+'PUBLIC SERVICE 4yr'!AA58+'ASptISptSSv 4yr'!AA58+'PLANT OPER MAIN 4yr'!AA58+'SCHOLAR FELLOW 4yr'!AA58+'All Other 4yr'!AA58)-AA58</f>
        <v>0</v>
      </c>
      <c r="BD58" s="75">
        <f>('Instruction-4YR'!AB58+'RESEARCH 4yr'!AB58+'PUBLIC SERVICE 4yr'!AB58+'ASptISptSSv 4yr'!AB58+'PLANT OPER MAIN 4yr'!AB58+'SCHOLAR FELLOW 4yr'!AB58+'All Other 4yr'!AB58)-AB58</f>
        <v>0</v>
      </c>
      <c r="BE58" s="75">
        <f>('Instruction-4YR'!AC58+'RESEARCH 4yr'!AC58+'PUBLIC SERVICE 4yr'!AC58+'ASptISptSSv 4yr'!AC58+'PLANT OPER MAIN 4yr'!AC58+'SCHOLAR FELLOW 4yr'!AC58+'All Other 4yr'!AC58)-AC58</f>
        <v>0</v>
      </c>
    </row>
    <row r="59" spans="1:57">
      <c r="A59" s="1" t="s">
        <v>103</v>
      </c>
      <c r="F59" s="42">
        <v>238283.30300000001</v>
      </c>
      <c r="I59" s="1">
        <v>281373.109</v>
      </c>
      <c r="K59" s="1">
        <v>304859.12199999997</v>
      </c>
      <c r="L59" s="1">
        <v>356371.84700000001</v>
      </c>
      <c r="M59" s="1">
        <v>381359.74300000002</v>
      </c>
      <c r="N59" s="1">
        <v>455929.77500000002</v>
      </c>
      <c r="O59" s="1">
        <v>472059.82199999999</v>
      </c>
      <c r="P59" s="1">
        <v>504509.69400000002</v>
      </c>
      <c r="Q59" s="1">
        <v>523719.16800000001</v>
      </c>
      <c r="R59" s="1">
        <v>554941.28200000001</v>
      </c>
      <c r="S59" s="1">
        <v>578862.72600000002</v>
      </c>
      <c r="T59" s="1">
        <v>592384.91</v>
      </c>
      <c r="U59" s="1">
        <v>594858.42500000005</v>
      </c>
      <c r="V59" s="1">
        <v>631733.85699999996</v>
      </c>
      <c r="W59" s="1">
        <v>693596.36</v>
      </c>
      <c r="X59" s="1">
        <v>691738.42200000002</v>
      </c>
      <c r="Y59" s="1">
        <v>702371.18599999999</v>
      </c>
      <c r="Z59" s="1">
        <v>704235.23199999996</v>
      </c>
      <c r="AA59" s="1">
        <v>740965.15700000001</v>
      </c>
      <c r="AB59" s="1">
        <v>793444.96900000004</v>
      </c>
      <c r="AC59" s="1">
        <v>795821.34499999997</v>
      </c>
      <c r="AD59" s="75">
        <f>('Instruction-4YR'!B59+'RESEARCH 4yr'!B59+'PUBLIC SERVICE 4yr'!B59+'ASptISptSSv 4yr'!B59+'PLANT OPER MAIN 4yr'!B59+'SCHOLAR FELLOW 4yr'!B59+'All Other 4yr'!B59)-B59</f>
        <v>0</v>
      </c>
      <c r="AE59" s="75">
        <f>('Instruction-4YR'!C59+'RESEARCH 4yr'!C59+'PUBLIC SERVICE 4yr'!C59+'ASptISptSSv 4yr'!C59+'PLANT OPER MAIN 4yr'!C59+'SCHOLAR FELLOW 4yr'!C59+'All Other 4yr'!C59)-C59</f>
        <v>0</v>
      </c>
      <c r="AF59" s="75">
        <f>('Instruction-4YR'!D59+'RESEARCH 4yr'!D59+'PUBLIC SERVICE 4yr'!D59+'ASptISptSSv 4yr'!D59+'PLANT OPER MAIN 4yr'!D59+'SCHOLAR FELLOW 4yr'!D59+'All Other 4yr'!D59)-D59</f>
        <v>0</v>
      </c>
      <c r="AG59" s="75">
        <f>('Instruction-4YR'!E59+'RESEARCH 4yr'!E59+'PUBLIC SERVICE 4yr'!E59+'ASptISptSSv 4yr'!E59+'PLANT OPER MAIN 4yr'!E59+'SCHOLAR FELLOW 4yr'!E59+'All Other 4yr'!E59)-E59</f>
        <v>0</v>
      </c>
      <c r="AH59" s="75">
        <f>('Instruction-4YR'!F59+'RESEARCH 4yr'!F59+'PUBLIC SERVICE 4yr'!F59+'ASptISptSSv 4yr'!F59+'PLANT OPER MAIN 4yr'!F59+'SCHOLAR FELLOW 4yr'!F59+'All Other 4yr'!F59)-F59</f>
        <v>0</v>
      </c>
      <c r="AI59" s="75">
        <f>('Instruction-4YR'!G59+'RESEARCH 4yr'!G59+'PUBLIC SERVICE 4yr'!G59+'ASptISptSSv 4yr'!G59+'PLANT OPER MAIN 4yr'!G59+'SCHOLAR FELLOW 4yr'!G59+'All Other 4yr'!G59)-G59</f>
        <v>0</v>
      </c>
      <c r="AJ59" s="75">
        <f>('Instruction-4YR'!H59+'RESEARCH 4yr'!H59+'PUBLIC SERVICE 4yr'!H59+'ASptISptSSv 4yr'!H59+'PLANT OPER MAIN 4yr'!H59+'SCHOLAR FELLOW 4yr'!H59+'All Other 4yr'!H59)-H59</f>
        <v>0</v>
      </c>
      <c r="AK59" s="75">
        <f>('Instruction-4YR'!I59+'RESEARCH 4yr'!I59+'PUBLIC SERVICE 4yr'!I59+'ASptISptSSv 4yr'!I59+'PLANT OPER MAIN 4yr'!I59+'SCHOLAR FELLOW 4yr'!I59+'All Other 4yr'!I59)-I59</f>
        <v>0</v>
      </c>
      <c r="AL59" s="75">
        <f>('Instruction-4YR'!J59+'RESEARCH 4yr'!J59+'PUBLIC SERVICE 4yr'!J59+'ASptISptSSv 4yr'!J59+'PLANT OPER MAIN 4yr'!J59+'SCHOLAR FELLOW 4yr'!J59+'All Other 4yr'!J59)-J59</f>
        <v>0</v>
      </c>
      <c r="AM59" s="75">
        <f>('Instruction-4YR'!K59+'RESEARCH 4yr'!K59+'PUBLIC SERVICE 4yr'!K59+'ASptISptSSv 4yr'!K59+'PLANT OPER MAIN 4yr'!K59+'SCHOLAR FELLOW 4yr'!K59+'All Other 4yr'!K59)-K59</f>
        <v>0</v>
      </c>
      <c r="AN59" s="75">
        <f>('Instruction-4YR'!L59+'RESEARCH 4yr'!L59+'PUBLIC SERVICE 4yr'!L59+'ASptISptSSv 4yr'!L59+'PLANT OPER MAIN 4yr'!L59+'SCHOLAR FELLOW 4yr'!L59+'All Other 4yr'!L59)-L59</f>
        <v>0</v>
      </c>
      <c r="AO59" s="75">
        <f>('Instruction-4YR'!M59+'RESEARCH 4yr'!M59+'PUBLIC SERVICE 4yr'!M59+'ASptISptSSv 4yr'!M59+'PLANT OPER MAIN 4yr'!M59+'SCHOLAR FELLOW 4yr'!M59+'All Other 4yr'!M59)-M59</f>
        <v>0</v>
      </c>
      <c r="AP59" s="75">
        <f>('Instruction-4YR'!N59+'RESEARCH 4yr'!N59+'PUBLIC SERVICE 4yr'!N59+'ASptISptSSv 4yr'!N59+'PLANT OPER MAIN 4yr'!N59+'SCHOLAR FELLOW 4yr'!N59+'All Other 4yr'!N59)-N59</f>
        <v>0</v>
      </c>
      <c r="AQ59" s="75">
        <f>('Instruction-4YR'!O59+'RESEARCH 4yr'!O59+'PUBLIC SERVICE 4yr'!O59+'ASptISptSSv 4yr'!O59+'PLANT OPER MAIN 4yr'!O59+'SCHOLAR FELLOW 4yr'!O59+'All Other 4yr'!O59)-O59</f>
        <v>0</v>
      </c>
      <c r="AR59" s="75">
        <f>('Instruction-4YR'!P59+'RESEARCH 4yr'!P59+'PUBLIC SERVICE 4yr'!P59+'ASptISptSSv 4yr'!P59+'PLANT OPER MAIN 4yr'!P59+'SCHOLAR FELLOW 4yr'!P59+'All Other 4yr'!P59)-P59</f>
        <v>0</v>
      </c>
      <c r="AS59" s="75">
        <f>('Instruction-4YR'!Q59+'RESEARCH 4yr'!Q59+'PUBLIC SERVICE 4yr'!Q59+'ASptISptSSv 4yr'!Q59+'PLANT OPER MAIN 4yr'!Q59+'SCHOLAR FELLOW 4yr'!Q59+'All Other 4yr'!Q59)-Q59</f>
        <v>0</v>
      </c>
      <c r="AT59" s="75">
        <f>('Instruction-4YR'!R59+'RESEARCH 4yr'!R59+'PUBLIC SERVICE 4yr'!R59+'ASptISptSSv 4yr'!R59+'PLANT OPER MAIN 4yr'!R59+'SCHOLAR FELLOW 4yr'!R59+'All Other 4yr'!R59)-R59</f>
        <v>0</v>
      </c>
      <c r="AU59" s="75">
        <f>('Instruction-4YR'!S59+'RESEARCH 4yr'!S59+'PUBLIC SERVICE 4yr'!S59+'ASptISptSSv 4yr'!S59+'PLANT OPER MAIN 4yr'!S59+'SCHOLAR FELLOW 4yr'!S59+'All Other 4yr'!S59)-S59</f>
        <v>0</v>
      </c>
      <c r="AV59" s="75">
        <f>('Instruction-4YR'!T59+'RESEARCH 4yr'!T59+'PUBLIC SERVICE 4yr'!T59+'ASptISptSSv 4yr'!T59+'PLANT OPER MAIN 4yr'!T59+'SCHOLAR FELLOW 4yr'!T59+'All Other 4yr'!T59)-T59</f>
        <v>0</v>
      </c>
      <c r="AW59" s="75">
        <f>('Instruction-4YR'!U59+'RESEARCH 4yr'!U59+'PUBLIC SERVICE 4yr'!U59+'ASptISptSSv 4yr'!U59+'PLANT OPER MAIN 4yr'!U59+'SCHOLAR FELLOW 4yr'!U59+'All Other 4yr'!U59)-U59</f>
        <v>0</v>
      </c>
      <c r="AX59" s="75">
        <f>('Instruction-4YR'!V59+'RESEARCH 4yr'!V59+'PUBLIC SERVICE 4yr'!V59+'ASptISptSSv 4yr'!V59+'PLANT OPER MAIN 4yr'!V59+'SCHOLAR FELLOW 4yr'!V59+'All Other 4yr'!V59)-V59</f>
        <v>0</v>
      </c>
      <c r="AY59" s="75">
        <f>('Instruction-4YR'!W59+'RESEARCH 4yr'!W59+'PUBLIC SERVICE 4yr'!W59+'ASptISptSSv 4yr'!W59+'PLANT OPER MAIN 4yr'!W59+'SCHOLAR FELLOW 4yr'!W59+'All Other 4yr'!W59)-W59</f>
        <v>0</v>
      </c>
      <c r="AZ59" s="75">
        <f>('Instruction-4YR'!X59+'RESEARCH 4yr'!X59+'PUBLIC SERVICE 4yr'!X59+'ASptISptSSv 4yr'!X59+'PLANT OPER MAIN 4yr'!X59+'SCHOLAR FELLOW 4yr'!X59+'All Other 4yr'!X59)-X59</f>
        <v>0</v>
      </c>
      <c r="BA59" s="75">
        <f>('Instruction-4YR'!Y59+'RESEARCH 4yr'!Y59+'PUBLIC SERVICE 4yr'!Y59+'ASptISptSSv 4yr'!Y59+'PLANT OPER MAIN 4yr'!Y59+'SCHOLAR FELLOW 4yr'!Y59+'All Other 4yr'!Y59)-Y59</f>
        <v>0</v>
      </c>
      <c r="BB59" s="75">
        <f>('Instruction-4YR'!Z59+'RESEARCH 4yr'!Z59+'PUBLIC SERVICE 4yr'!Z59+'ASptISptSSv 4yr'!Z59+'PLANT OPER MAIN 4yr'!Z59+'SCHOLAR FELLOW 4yr'!Z59+'All Other 4yr'!Z59)-Z59</f>
        <v>0</v>
      </c>
      <c r="BC59" s="75">
        <f>('Instruction-4YR'!AA59+'RESEARCH 4yr'!AA59+'PUBLIC SERVICE 4yr'!AA59+'ASptISptSSv 4yr'!AA59+'PLANT OPER MAIN 4yr'!AA59+'SCHOLAR FELLOW 4yr'!AA59+'All Other 4yr'!AA59)-AA59</f>
        <v>0</v>
      </c>
      <c r="BD59" s="75">
        <f>('Instruction-4YR'!AB59+'RESEARCH 4yr'!AB59+'PUBLIC SERVICE 4yr'!AB59+'ASptISptSSv 4yr'!AB59+'PLANT OPER MAIN 4yr'!AB59+'SCHOLAR FELLOW 4yr'!AB59+'All Other 4yr'!AB59)-AB59</f>
        <v>0</v>
      </c>
      <c r="BE59" s="75">
        <f>('Instruction-4YR'!AC59+'RESEARCH 4yr'!AC59+'PUBLIC SERVICE 4yr'!AC59+'ASptISptSSv 4yr'!AC59+'PLANT OPER MAIN 4yr'!AC59+'SCHOLAR FELLOW 4yr'!AC59+'All Other 4yr'!AC59)-AC59</f>
        <v>0</v>
      </c>
    </row>
    <row r="60" spans="1:57">
      <c r="A60" s="1" t="s">
        <v>104</v>
      </c>
      <c r="F60" s="42">
        <v>946904.94099999999</v>
      </c>
      <c r="I60" s="1">
        <v>1131435.4269999999</v>
      </c>
      <c r="K60" s="1">
        <v>2086503.9509999999</v>
      </c>
      <c r="L60" s="1">
        <v>1522874.804</v>
      </c>
      <c r="M60" s="1">
        <v>1655674.2379999999</v>
      </c>
      <c r="N60" s="1">
        <v>1841931.3319999999</v>
      </c>
      <c r="O60" s="1">
        <v>1920621.94</v>
      </c>
      <c r="P60" s="1">
        <v>1943437.834</v>
      </c>
      <c r="Q60" s="1">
        <v>3500518.8250000002</v>
      </c>
      <c r="R60" s="1">
        <v>3666201.6690000002</v>
      </c>
      <c r="S60" s="1">
        <v>3792877.659</v>
      </c>
      <c r="T60" s="1">
        <v>3984484.6310000001</v>
      </c>
      <c r="U60" s="1">
        <v>3489525.8220000002</v>
      </c>
      <c r="V60" s="1">
        <v>4264083.2970000003</v>
      </c>
      <c r="W60" s="1">
        <v>4433665.5379999997</v>
      </c>
      <c r="X60" s="1">
        <v>4608729.9239999996</v>
      </c>
      <c r="Y60" s="1">
        <v>4066836.4920000001</v>
      </c>
      <c r="Z60" s="1">
        <v>5023202</v>
      </c>
      <c r="AA60" s="1">
        <v>5164755.12</v>
      </c>
      <c r="AB60" s="1">
        <v>5403337.2300000004</v>
      </c>
      <c r="AC60" s="1">
        <v>5994301.0049999999</v>
      </c>
      <c r="AD60" s="75">
        <f>('Instruction-4YR'!B60+'RESEARCH 4yr'!B60+'PUBLIC SERVICE 4yr'!B60+'ASptISptSSv 4yr'!B60+'PLANT OPER MAIN 4yr'!B60+'SCHOLAR FELLOW 4yr'!B60+'All Other 4yr'!B60)-B60</f>
        <v>0</v>
      </c>
      <c r="AE60" s="75">
        <f>('Instruction-4YR'!C60+'RESEARCH 4yr'!C60+'PUBLIC SERVICE 4yr'!C60+'ASptISptSSv 4yr'!C60+'PLANT OPER MAIN 4yr'!C60+'SCHOLAR FELLOW 4yr'!C60+'All Other 4yr'!C60)-C60</f>
        <v>0</v>
      </c>
      <c r="AF60" s="75">
        <f>('Instruction-4YR'!D60+'RESEARCH 4yr'!D60+'PUBLIC SERVICE 4yr'!D60+'ASptISptSSv 4yr'!D60+'PLANT OPER MAIN 4yr'!D60+'SCHOLAR FELLOW 4yr'!D60+'All Other 4yr'!D60)-D60</f>
        <v>0</v>
      </c>
      <c r="AG60" s="75">
        <f>('Instruction-4YR'!E60+'RESEARCH 4yr'!E60+'PUBLIC SERVICE 4yr'!E60+'ASptISptSSv 4yr'!E60+'PLANT OPER MAIN 4yr'!E60+'SCHOLAR FELLOW 4yr'!E60+'All Other 4yr'!E60)-E60</f>
        <v>0</v>
      </c>
      <c r="AH60" s="75">
        <f>('Instruction-4YR'!F60+'RESEARCH 4yr'!F60+'PUBLIC SERVICE 4yr'!F60+'ASptISptSSv 4yr'!F60+'PLANT OPER MAIN 4yr'!F60+'SCHOLAR FELLOW 4yr'!F60+'All Other 4yr'!F60)-F60</f>
        <v>0</v>
      </c>
      <c r="AI60" s="75">
        <f>('Instruction-4YR'!G60+'RESEARCH 4yr'!G60+'PUBLIC SERVICE 4yr'!G60+'ASptISptSSv 4yr'!G60+'PLANT OPER MAIN 4yr'!G60+'SCHOLAR FELLOW 4yr'!G60+'All Other 4yr'!G60)-G60</f>
        <v>0</v>
      </c>
      <c r="AJ60" s="75">
        <f>('Instruction-4YR'!H60+'RESEARCH 4yr'!H60+'PUBLIC SERVICE 4yr'!H60+'ASptISptSSv 4yr'!H60+'PLANT OPER MAIN 4yr'!H60+'SCHOLAR FELLOW 4yr'!H60+'All Other 4yr'!H60)-H60</f>
        <v>0</v>
      </c>
      <c r="AK60" s="75">
        <f>('Instruction-4YR'!I60+'RESEARCH 4yr'!I60+'PUBLIC SERVICE 4yr'!I60+'ASptISptSSv 4yr'!I60+'PLANT OPER MAIN 4yr'!I60+'SCHOLAR FELLOW 4yr'!I60+'All Other 4yr'!I60)-I60</f>
        <v>0</v>
      </c>
      <c r="AL60" s="75">
        <f>('Instruction-4YR'!J60+'RESEARCH 4yr'!J60+'PUBLIC SERVICE 4yr'!J60+'ASptISptSSv 4yr'!J60+'PLANT OPER MAIN 4yr'!J60+'SCHOLAR FELLOW 4yr'!J60+'All Other 4yr'!J60)-J60</f>
        <v>0</v>
      </c>
      <c r="AM60" s="75">
        <f>('Instruction-4YR'!K60+'RESEARCH 4yr'!K60+'PUBLIC SERVICE 4yr'!K60+'ASptISptSSv 4yr'!K60+'PLANT OPER MAIN 4yr'!K60+'SCHOLAR FELLOW 4yr'!K60+'All Other 4yr'!K60)-K60</f>
        <v>0</v>
      </c>
      <c r="AN60" s="75">
        <f>('Instruction-4YR'!L60+'RESEARCH 4yr'!L60+'PUBLIC SERVICE 4yr'!L60+'ASptISptSSv 4yr'!L60+'PLANT OPER MAIN 4yr'!L60+'SCHOLAR FELLOW 4yr'!L60+'All Other 4yr'!L60)-L60</f>
        <v>0</v>
      </c>
      <c r="AO60" s="75">
        <f>('Instruction-4YR'!M60+'RESEARCH 4yr'!M60+'PUBLIC SERVICE 4yr'!M60+'ASptISptSSv 4yr'!M60+'PLANT OPER MAIN 4yr'!M60+'SCHOLAR FELLOW 4yr'!M60+'All Other 4yr'!M60)-M60</f>
        <v>0</v>
      </c>
      <c r="AP60" s="75">
        <f>('Instruction-4YR'!N60+'RESEARCH 4yr'!N60+'PUBLIC SERVICE 4yr'!N60+'ASptISptSSv 4yr'!N60+'PLANT OPER MAIN 4yr'!N60+'SCHOLAR FELLOW 4yr'!N60+'All Other 4yr'!N60)-N60</f>
        <v>0</v>
      </c>
      <c r="AQ60" s="75">
        <f>('Instruction-4YR'!O60+'RESEARCH 4yr'!O60+'PUBLIC SERVICE 4yr'!O60+'ASptISptSSv 4yr'!O60+'PLANT OPER MAIN 4yr'!O60+'SCHOLAR FELLOW 4yr'!O60+'All Other 4yr'!O60)-O60</f>
        <v>0</v>
      </c>
      <c r="AR60" s="75">
        <f>('Instruction-4YR'!P60+'RESEARCH 4yr'!P60+'PUBLIC SERVICE 4yr'!P60+'ASptISptSSv 4yr'!P60+'PLANT OPER MAIN 4yr'!P60+'SCHOLAR FELLOW 4yr'!P60+'All Other 4yr'!P60)-P60</f>
        <v>0</v>
      </c>
      <c r="AS60" s="75">
        <f>('Instruction-4YR'!Q60+'RESEARCH 4yr'!Q60+'PUBLIC SERVICE 4yr'!Q60+'ASptISptSSv 4yr'!Q60+'PLANT OPER MAIN 4yr'!Q60+'SCHOLAR FELLOW 4yr'!Q60+'All Other 4yr'!Q60)-Q60</f>
        <v>0</v>
      </c>
      <c r="AT60" s="75">
        <f>('Instruction-4YR'!R60+'RESEARCH 4yr'!R60+'PUBLIC SERVICE 4yr'!R60+'ASptISptSSv 4yr'!R60+'PLANT OPER MAIN 4yr'!R60+'SCHOLAR FELLOW 4yr'!R60+'All Other 4yr'!R60)-R60</f>
        <v>0</v>
      </c>
      <c r="AU60" s="75">
        <f>('Instruction-4YR'!S60+'RESEARCH 4yr'!S60+'PUBLIC SERVICE 4yr'!S60+'ASptISptSSv 4yr'!S60+'PLANT OPER MAIN 4yr'!S60+'SCHOLAR FELLOW 4yr'!S60+'All Other 4yr'!S60)-S60</f>
        <v>0</v>
      </c>
      <c r="AV60" s="75">
        <f>('Instruction-4YR'!T60+'RESEARCH 4yr'!T60+'PUBLIC SERVICE 4yr'!T60+'ASptISptSSv 4yr'!T60+'PLANT OPER MAIN 4yr'!T60+'SCHOLAR FELLOW 4yr'!T60+'All Other 4yr'!T60)-T60</f>
        <v>0</v>
      </c>
      <c r="AW60" s="75">
        <f>('Instruction-4YR'!U60+'RESEARCH 4yr'!U60+'PUBLIC SERVICE 4yr'!U60+'ASptISptSSv 4yr'!U60+'PLANT OPER MAIN 4yr'!U60+'SCHOLAR FELLOW 4yr'!U60+'All Other 4yr'!U60)-U60</f>
        <v>0</v>
      </c>
      <c r="AX60" s="75">
        <f>('Instruction-4YR'!V60+'RESEARCH 4yr'!V60+'PUBLIC SERVICE 4yr'!V60+'ASptISptSSv 4yr'!V60+'PLANT OPER MAIN 4yr'!V60+'SCHOLAR FELLOW 4yr'!V60+'All Other 4yr'!V60)-V60</f>
        <v>0</v>
      </c>
      <c r="AY60" s="75">
        <f>('Instruction-4YR'!W60+'RESEARCH 4yr'!W60+'PUBLIC SERVICE 4yr'!W60+'ASptISptSSv 4yr'!W60+'PLANT OPER MAIN 4yr'!W60+'SCHOLAR FELLOW 4yr'!W60+'All Other 4yr'!W60)-W60</f>
        <v>0</v>
      </c>
      <c r="AZ60" s="75">
        <f>('Instruction-4YR'!X60+'RESEARCH 4yr'!X60+'PUBLIC SERVICE 4yr'!X60+'ASptISptSSv 4yr'!X60+'PLANT OPER MAIN 4yr'!X60+'SCHOLAR FELLOW 4yr'!X60+'All Other 4yr'!X60)-X60</f>
        <v>0</v>
      </c>
      <c r="BA60" s="75">
        <f>('Instruction-4YR'!Y60+'RESEARCH 4yr'!Y60+'PUBLIC SERVICE 4yr'!Y60+'ASptISptSSv 4yr'!Y60+'PLANT OPER MAIN 4yr'!Y60+'SCHOLAR FELLOW 4yr'!Y60+'All Other 4yr'!Y60)-Y60</f>
        <v>0</v>
      </c>
      <c r="BB60" s="75">
        <f>('Instruction-4YR'!Z60+'RESEARCH 4yr'!Z60+'PUBLIC SERVICE 4yr'!Z60+'ASptISptSSv 4yr'!Z60+'PLANT OPER MAIN 4yr'!Z60+'SCHOLAR FELLOW 4yr'!Z60+'All Other 4yr'!Z60)-Z60</f>
        <v>0</v>
      </c>
      <c r="BC60" s="75">
        <f>('Instruction-4YR'!AA60+'RESEARCH 4yr'!AA60+'PUBLIC SERVICE 4yr'!AA60+'ASptISptSSv 4yr'!AA60+'PLANT OPER MAIN 4yr'!AA60+'SCHOLAR FELLOW 4yr'!AA60+'All Other 4yr'!AA60)-AA60</f>
        <v>0</v>
      </c>
      <c r="BD60" s="75">
        <f>('Instruction-4YR'!AB60+'RESEARCH 4yr'!AB60+'PUBLIC SERVICE 4yr'!AB60+'ASptISptSSv 4yr'!AB60+'PLANT OPER MAIN 4yr'!AB60+'SCHOLAR FELLOW 4yr'!AB60+'All Other 4yr'!AB60)-AB60</f>
        <v>0</v>
      </c>
      <c r="BE60" s="75">
        <f>('Instruction-4YR'!AC60+'RESEARCH 4yr'!AC60+'PUBLIC SERVICE 4yr'!AC60+'ASptISptSSv 4yr'!AC60+'PLANT OPER MAIN 4yr'!AC60+'SCHOLAR FELLOW 4yr'!AC60+'All Other 4yr'!AC60)-AC60</f>
        <v>0</v>
      </c>
    </row>
    <row r="61" spans="1:57">
      <c r="A61" s="1" t="s">
        <v>106</v>
      </c>
      <c r="F61" s="42">
        <v>3504727.4</v>
      </c>
      <c r="I61" s="1">
        <v>4191857.9810000001</v>
      </c>
      <c r="K61" s="1">
        <v>4573188.5199999996</v>
      </c>
      <c r="L61" s="1">
        <v>4730096.9859999996</v>
      </c>
      <c r="M61" s="1">
        <v>5135078.2750000004</v>
      </c>
      <c r="N61" s="1">
        <v>5535254.9040000001</v>
      </c>
      <c r="O61" s="1">
        <v>5154955.8250000002</v>
      </c>
      <c r="P61" s="1">
        <v>5707801.4910000004</v>
      </c>
      <c r="Q61" s="1">
        <v>6462140.6859999998</v>
      </c>
      <c r="R61" s="1">
        <v>6408519.892</v>
      </c>
      <c r="S61" s="1">
        <v>7215844.8049999997</v>
      </c>
      <c r="T61" s="1">
        <v>7727028.5180000002</v>
      </c>
      <c r="U61" s="1">
        <v>7851198.9369999999</v>
      </c>
      <c r="V61" s="1">
        <v>8537628.0889999997</v>
      </c>
      <c r="W61" s="1">
        <v>9278980.9379999992</v>
      </c>
      <c r="X61" s="1">
        <v>9182938.5710000005</v>
      </c>
      <c r="Y61" s="1">
        <v>8898774.8790000007</v>
      </c>
      <c r="Z61" s="1">
        <v>9217335.5140000004</v>
      </c>
      <c r="AA61" s="1">
        <v>9688410.1040000003</v>
      </c>
      <c r="AB61" s="1">
        <v>10982253.346999999</v>
      </c>
      <c r="AC61" s="1">
        <v>11057853.945</v>
      </c>
      <c r="AD61" s="75">
        <f>('Instruction-4YR'!B61+'RESEARCH 4yr'!B61+'PUBLIC SERVICE 4yr'!B61+'ASptISptSSv 4yr'!B61+'PLANT OPER MAIN 4yr'!B61+'SCHOLAR FELLOW 4yr'!B61+'All Other 4yr'!B61)-B61</f>
        <v>0</v>
      </c>
      <c r="AE61" s="75">
        <f>('Instruction-4YR'!C61+'RESEARCH 4yr'!C61+'PUBLIC SERVICE 4yr'!C61+'ASptISptSSv 4yr'!C61+'PLANT OPER MAIN 4yr'!C61+'SCHOLAR FELLOW 4yr'!C61+'All Other 4yr'!C61)-C61</f>
        <v>0</v>
      </c>
      <c r="AF61" s="75">
        <f>('Instruction-4YR'!D61+'RESEARCH 4yr'!D61+'PUBLIC SERVICE 4yr'!D61+'ASptISptSSv 4yr'!D61+'PLANT OPER MAIN 4yr'!D61+'SCHOLAR FELLOW 4yr'!D61+'All Other 4yr'!D61)-D61</f>
        <v>0</v>
      </c>
      <c r="AG61" s="75">
        <f>('Instruction-4YR'!E61+'RESEARCH 4yr'!E61+'PUBLIC SERVICE 4yr'!E61+'ASptISptSSv 4yr'!E61+'PLANT OPER MAIN 4yr'!E61+'SCHOLAR FELLOW 4yr'!E61+'All Other 4yr'!E61)-E61</f>
        <v>0</v>
      </c>
      <c r="AH61" s="75">
        <f>('Instruction-4YR'!F61+'RESEARCH 4yr'!F61+'PUBLIC SERVICE 4yr'!F61+'ASptISptSSv 4yr'!F61+'PLANT OPER MAIN 4yr'!F61+'SCHOLAR FELLOW 4yr'!F61+'All Other 4yr'!F61)-F61</f>
        <v>0</v>
      </c>
      <c r="AI61" s="75">
        <f>('Instruction-4YR'!G61+'RESEARCH 4yr'!G61+'PUBLIC SERVICE 4yr'!G61+'ASptISptSSv 4yr'!G61+'PLANT OPER MAIN 4yr'!G61+'SCHOLAR FELLOW 4yr'!G61+'All Other 4yr'!G61)-G61</f>
        <v>0</v>
      </c>
      <c r="AJ61" s="75">
        <f>('Instruction-4YR'!H61+'RESEARCH 4yr'!H61+'PUBLIC SERVICE 4yr'!H61+'ASptISptSSv 4yr'!H61+'PLANT OPER MAIN 4yr'!H61+'SCHOLAR FELLOW 4yr'!H61+'All Other 4yr'!H61)-H61</f>
        <v>0</v>
      </c>
      <c r="AK61" s="75">
        <f>('Instruction-4YR'!I61+'RESEARCH 4yr'!I61+'PUBLIC SERVICE 4yr'!I61+'ASptISptSSv 4yr'!I61+'PLANT OPER MAIN 4yr'!I61+'SCHOLAR FELLOW 4yr'!I61+'All Other 4yr'!I61)-I61</f>
        <v>0</v>
      </c>
      <c r="AL61" s="75">
        <f>('Instruction-4YR'!J61+'RESEARCH 4yr'!J61+'PUBLIC SERVICE 4yr'!J61+'ASptISptSSv 4yr'!J61+'PLANT OPER MAIN 4yr'!J61+'SCHOLAR FELLOW 4yr'!J61+'All Other 4yr'!J61)-J61</f>
        <v>0</v>
      </c>
      <c r="AM61" s="75">
        <f>('Instruction-4YR'!K61+'RESEARCH 4yr'!K61+'PUBLIC SERVICE 4yr'!K61+'ASptISptSSv 4yr'!K61+'PLANT OPER MAIN 4yr'!K61+'SCHOLAR FELLOW 4yr'!K61+'All Other 4yr'!K61)-K61</f>
        <v>0</v>
      </c>
      <c r="AN61" s="75">
        <f>('Instruction-4YR'!L61+'RESEARCH 4yr'!L61+'PUBLIC SERVICE 4yr'!L61+'ASptISptSSv 4yr'!L61+'PLANT OPER MAIN 4yr'!L61+'SCHOLAR FELLOW 4yr'!L61+'All Other 4yr'!L61)-L61</f>
        <v>0</v>
      </c>
      <c r="AO61" s="75">
        <f>('Instruction-4YR'!M61+'RESEARCH 4yr'!M61+'PUBLIC SERVICE 4yr'!M61+'ASptISptSSv 4yr'!M61+'PLANT OPER MAIN 4yr'!M61+'SCHOLAR FELLOW 4yr'!M61+'All Other 4yr'!M61)-M61</f>
        <v>0</v>
      </c>
      <c r="AP61" s="75">
        <f>('Instruction-4YR'!N61+'RESEARCH 4yr'!N61+'PUBLIC SERVICE 4yr'!N61+'ASptISptSSv 4yr'!N61+'PLANT OPER MAIN 4yr'!N61+'SCHOLAR FELLOW 4yr'!N61+'All Other 4yr'!N61)-N61</f>
        <v>0</v>
      </c>
      <c r="AQ61" s="75">
        <f>('Instruction-4YR'!O61+'RESEARCH 4yr'!O61+'PUBLIC SERVICE 4yr'!O61+'ASptISptSSv 4yr'!O61+'PLANT OPER MAIN 4yr'!O61+'SCHOLAR FELLOW 4yr'!O61+'All Other 4yr'!O61)-O61</f>
        <v>0</v>
      </c>
      <c r="AR61" s="75">
        <f>('Instruction-4YR'!P61+'RESEARCH 4yr'!P61+'PUBLIC SERVICE 4yr'!P61+'ASptISptSSv 4yr'!P61+'PLANT OPER MAIN 4yr'!P61+'SCHOLAR FELLOW 4yr'!P61+'All Other 4yr'!P61)-P61</f>
        <v>0</v>
      </c>
      <c r="AS61" s="75">
        <f>('Instruction-4YR'!Q61+'RESEARCH 4yr'!Q61+'PUBLIC SERVICE 4yr'!Q61+'ASptISptSSv 4yr'!Q61+'PLANT OPER MAIN 4yr'!Q61+'SCHOLAR FELLOW 4yr'!Q61+'All Other 4yr'!Q61)-Q61</f>
        <v>0</v>
      </c>
      <c r="AT61" s="75">
        <f>('Instruction-4YR'!R61+'RESEARCH 4yr'!R61+'PUBLIC SERVICE 4yr'!R61+'ASptISptSSv 4yr'!R61+'PLANT OPER MAIN 4yr'!R61+'SCHOLAR FELLOW 4yr'!R61+'All Other 4yr'!R61)-R61</f>
        <v>0</v>
      </c>
      <c r="AU61" s="75">
        <f>('Instruction-4YR'!S61+'RESEARCH 4yr'!S61+'PUBLIC SERVICE 4yr'!S61+'ASptISptSSv 4yr'!S61+'PLANT OPER MAIN 4yr'!S61+'SCHOLAR FELLOW 4yr'!S61+'All Other 4yr'!S61)-S61</f>
        <v>0</v>
      </c>
      <c r="AV61" s="75">
        <f>('Instruction-4YR'!T61+'RESEARCH 4yr'!T61+'PUBLIC SERVICE 4yr'!T61+'ASptISptSSv 4yr'!T61+'PLANT OPER MAIN 4yr'!T61+'SCHOLAR FELLOW 4yr'!T61+'All Other 4yr'!T61)-T61</f>
        <v>0</v>
      </c>
      <c r="AW61" s="75">
        <f>('Instruction-4YR'!U61+'RESEARCH 4yr'!U61+'PUBLIC SERVICE 4yr'!U61+'ASptISptSSv 4yr'!U61+'PLANT OPER MAIN 4yr'!U61+'SCHOLAR FELLOW 4yr'!U61+'All Other 4yr'!U61)-U61</f>
        <v>0</v>
      </c>
      <c r="AX61" s="75">
        <f>('Instruction-4YR'!V61+'RESEARCH 4yr'!V61+'PUBLIC SERVICE 4yr'!V61+'ASptISptSSv 4yr'!V61+'PLANT OPER MAIN 4yr'!V61+'SCHOLAR FELLOW 4yr'!V61+'All Other 4yr'!V61)-V61</f>
        <v>0</v>
      </c>
      <c r="AY61" s="75">
        <f>('Instruction-4YR'!W61+'RESEARCH 4yr'!W61+'PUBLIC SERVICE 4yr'!W61+'ASptISptSSv 4yr'!W61+'PLANT OPER MAIN 4yr'!W61+'SCHOLAR FELLOW 4yr'!W61+'All Other 4yr'!W61)-W61</f>
        <v>0</v>
      </c>
      <c r="AZ61" s="75">
        <f>('Instruction-4YR'!X61+'RESEARCH 4yr'!X61+'PUBLIC SERVICE 4yr'!X61+'ASptISptSSv 4yr'!X61+'PLANT OPER MAIN 4yr'!X61+'SCHOLAR FELLOW 4yr'!X61+'All Other 4yr'!X61)-X61</f>
        <v>0</v>
      </c>
      <c r="BA61" s="75">
        <f>('Instruction-4YR'!Y61+'RESEARCH 4yr'!Y61+'PUBLIC SERVICE 4yr'!Y61+'ASptISptSSv 4yr'!Y61+'PLANT OPER MAIN 4yr'!Y61+'SCHOLAR FELLOW 4yr'!Y61+'All Other 4yr'!Y61)-Y61</f>
        <v>0</v>
      </c>
      <c r="BB61" s="75">
        <f>('Instruction-4YR'!Z61+'RESEARCH 4yr'!Z61+'PUBLIC SERVICE 4yr'!Z61+'ASptISptSSv 4yr'!Z61+'PLANT OPER MAIN 4yr'!Z61+'SCHOLAR FELLOW 4yr'!Z61+'All Other 4yr'!Z61)-Z61</f>
        <v>0</v>
      </c>
      <c r="BC61" s="75">
        <f>('Instruction-4YR'!AA61+'RESEARCH 4yr'!AA61+'PUBLIC SERVICE 4yr'!AA61+'ASptISptSSv 4yr'!AA61+'PLANT OPER MAIN 4yr'!AA61+'SCHOLAR FELLOW 4yr'!AA61+'All Other 4yr'!AA61)-AA61</f>
        <v>0</v>
      </c>
      <c r="BD61" s="75">
        <f>('Instruction-4YR'!AB61+'RESEARCH 4yr'!AB61+'PUBLIC SERVICE 4yr'!AB61+'ASptISptSSv 4yr'!AB61+'PLANT OPER MAIN 4yr'!AB61+'SCHOLAR FELLOW 4yr'!AB61+'All Other 4yr'!AB61)-AB61</f>
        <v>0</v>
      </c>
      <c r="BE61" s="75">
        <f>('Instruction-4YR'!AC61+'RESEARCH 4yr'!AC61+'PUBLIC SERVICE 4yr'!AC61+'ASptISptSSv 4yr'!AC61+'PLANT OPER MAIN 4yr'!AC61+'SCHOLAR FELLOW 4yr'!AC61+'All Other 4yr'!AC61)-AC61</f>
        <v>0</v>
      </c>
    </row>
    <row r="62" spans="1:57">
      <c r="A62" s="1" t="s">
        <v>110</v>
      </c>
      <c r="F62" s="42">
        <v>2789770.5639999998</v>
      </c>
      <c r="I62" s="1">
        <v>3201077.389</v>
      </c>
      <c r="K62" s="1">
        <v>3425473.4929999998</v>
      </c>
      <c r="L62" s="1">
        <v>4144197.7379999999</v>
      </c>
      <c r="M62" s="1">
        <v>3774262.2209999999</v>
      </c>
      <c r="N62" s="1">
        <v>2372578.9759999998</v>
      </c>
      <c r="O62" s="1">
        <v>1349289.155</v>
      </c>
      <c r="P62" s="1">
        <v>1392719.7439999999</v>
      </c>
      <c r="Q62" s="1">
        <v>1388807.7779999999</v>
      </c>
      <c r="R62" s="1">
        <v>1448366.128</v>
      </c>
      <c r="S62" s="1">
        <v>1554470.3770000001</v>
      </c>
      <c r="T62" s="1">
        <v>1647382.0830000001</v>
      </c>
      <c r="U62" s="1">
        <v>1708879.389</v>
      </c>
      <c r="V62" s="1">
        <v>1786210.3319999999</v>
      </c>
      <c r="W62" s="1">
        <v>1840754.257</v>
      </c>
      <c r="X62" s="1">
        <v>1851922.79</v>
      </c>
      <c r="Y62" s="1">
        <v>1890099.7039999999</v>
      </c>
      <c r="Z62" s="1">
        <v>1944962.371</v>
      </c>
      <c r="AA62" s="1">
        <v>1957414.166</v>
      </c>
      <c r="AB62" s="1">
        <v>2001400.3870000001</v>
      </c>
      <c r="AC62" s="1">
        <v>2049087.666</v>
      </c>
      <c r="AD62" s="75">
        <f>('Instruction-4YR'!B62+'RESEARCH 4yr'!B62+'PUBLIC SERVICE 4yr'!B62+'ASptISptSSv 4yr'!B62+'PLANT OPER MAIN 4yr'!B62+'SCHOLAR FELLOW 4yr'!B62+'All Other 4yr'!B62)-B62</f>
        <v>0</v>
      </c>
      <c r="AE62" s="75">
        <f>('Instruction-4YR'!C62+'RESEARCH 4yr'!C62+'PUBLIC SERVICE 4yr'!C62+'ASptISptSSv 4yr'!C62+'PLANT OPER MAIN 4yr'!C62+'SCHOLAR FELLOW 4yr'!C62+'All Other 4yr'!C62)-C62</f>
        <v>0</v>
      </c>
      <c r="AF62" s="75">
        <f>('Instruction-4YR'!D62+'RESEARCH 4yr'!D62+'PUBLIC SERVICE 4yr'!D62+'ASptISptSSv 4yr'!D62+'PLANT OPER MAIN 4yr'!D62+'SCHOLAR FELLOW 4yr'!D62+'All Other 4yr'!D62)-D62</f>
        <v>0</v>
      </c>
      <c r="AG62" s="75">
        <f>('Instruction-4YR'!E62+'RESEARCH 4yr'!E62+'PUBLIC SERVICE 4yr'!E62+'ASptISptSSv 4yr'!E62+'PLANT OPER MAIN 4yr'!E62+'SCHOLAR FELLOW 4yr'!E62+'All Other 4yr'!E62)-E62</f>
        <v>0</v>
      </c>
      <c r="AH62" s="75">
        <f>('Instruction-4YR'!F62+'RESEARCH 4yr'!F62+'PUBLIC SERVICE 4yr'!F62+'ASptISptSSv 4yr'!F62+'PLANT OPER MAIN 4yr'!F62+'SCHOLAR FELLOW 4yr'!F62+'All Other 4yr'!F62)-F62</f>
        <v>0</v>
      </c>
      <c r="AI62" s="75">
        <f>('Instruction-4YR'!G62+'RESEARCH 4yr'!G62+'PUBLIC SERVICE 4yr'!G62+'ASptISptSSv 4yr'!G62+'PLANT OPER MAIN 4yr'!G62+'SCHOLAR FELLOW 4yr'!G62+'All Other 4yr'!G62)-G62</f>
        <v>0</v>
      </c>
      <c r="AJ62" s="75">
        <f>('Instruction-4YR'!H62+'RESEARCH 4yr'!H62+'PUBLIC SERVICE 4yr'!H62+'ASptISptSSv 4yr'!H62+'PLANT OPER MAIN 4yr'!H62+'SCHOLAR FELLOW 4yr'!H62+'All Other 4yr'!H62)-H62</f>
        <v>0</v>
      </c>
      <c r="AK62" s="75">
        <f>('Instruction-4YR'!I62+'RESEARCH 4yr'!I62+'PUBLIC SERVICE 4yr'!I62+'ASptISptSSv 4yr'!I62+'PLANT OPER MAIN 4yr'!I62+'SCHOLAR FELLOW 4yr'!I62+'All Other 4yr'!I62)-I62</f>
        <v>0</v>
      </c>
      <c r="AL62" s="75">
        <f>('Instruction-4YR'!J62+'RESEARCH 4yr'!J62+'PUBLIC SERVICE 4yr'!J62+'ASptISptSSv 4yr'!J62+'PLANT OPER MAIN 4yr'!J62+'SCHOLAR FELLOW 4yr'!J62+'All Other 4yr'!J62)-J62</f>
        <v>0</v>
      </c>
      <c r="AM62" s="75">
        <f>('Instruction-4YR'!K62+'RESEARCH 4yr'!K62+'PUBLIC SERVICE 4yr'!K62+'ASptISptSSv 4yr'!K62+'PLANT OPER MAIN 4yr'!K62+'SCHOLAR FELLOW 4yr'!K62+'All Other 4yr'!K62)-K62</f>
        <v>0</v>
      </c>
      <c r="AN62" s="75">
        <f>('Instruction-4YR'!L62+'RESEARCH 4yr'!L62+'PUBLIC SERVICE 4yr'!L62+'ASptISptSSv 4yr'!L62+'PLANT OPER MAIN 4yr'!L62+'SCHOLAR FELLOW 4yr'!L62+'All Other 4yr'!L62)-L62</f>
        <v>0</v>
      </c>
      <c r="AO62" s="75">
        <f>('Instruction-4YR'!M62+'RESEARCH 4yr'!M62+'PUBLIC SERVICE 4yr'!M62+'ASptISptSSv 4yr'!M62+'PLANT OPER MAIN 4yr'!M62+'SCHOLAR FELLOW 4yr'!M62+'All Other 4yr'!M62)-M62</f>
        <v>0</v>
      </c>
      <c r="AP62" s="75">
        <f>('Instruction-4YR'!N62+'RESEARCH 4yr'!N62+'PUBLIC SERVICE 4yr'!N62+'ASptISptSSv 4yr'!N62+'PLANT OPER MAIN 4yr'!N62+'SCHOLAR FELLOW 4yr'!N62+'All Other 4yr'!N62)-N62</f>
        <v>0</v>
      </c>
      <c r="AQ62" s="75">
        <f>('Instruction-4YR'!O62+'RESEARCH 4yr'!O62+'PUBLIC SERVICE 4yr'!O62+'ASptISptSSv 4yr'!O62+'PLANT OPER MAIN 4yr'!O62+'SCHOLAR FELLOW 4yr'!O62+'All Other 4yr'!O62)-O62</f>
        <v>0</v>
      </c>
      <c r="AR62" s="75">
        <f>('Instruction-4YR'!P62+'RESEARCH 4yr'!P62+'PUBLIC SERVICE 4yr'!P62+'ASptISptSSv 4yr'!P62+'PLANT OPER MAIN 4yr'!P62+'SCHOLAR FELLOW 4yr'!P62+'All Other 4yr'!P62)-P62</f>
        <v>0</v>
      </c>
      <c r="AS62" s="75">
        <f>('Instruction-4YR'!Q62+'RESEARCH 4yr'!Q62+'PUBLIC SERVICE 4yr'!Q62+'ASptISptSSv 4yr'!Q62+'PLANT OPER MAIN 4yr'!Q62+'SCHOLAR FELLOW 4yr'!Q62+'All Other 4yr'!Q62)-Q62</f>
        <v>0</v>
      </c>
      <c r="AT62" s="75">
        <f>('Instruction-4YR'!R62+'RESEARCH 4yr'!R62+'PUBLIC SERVICE 4yr'!R62+'ASptISptSSv 4yr'!R62+'PLANT OPER MAIN 4yr'!R62+'SCHOLAR FELLOW 4yr'!R62+'All Other 4yr'!R62)-R62</f>
        <v>0</v>
      </c>
      <c r="AU62" s="75">
        <f>('Instruction-4YR'!S62+'RESEARCH 4yr'!S62+'PUBLIC SERVICE 4yr'!S62+'ASptISptSSv 4yr'!S62+'PLANT OPER MAIN 4yr'!S62+'SCHOLAR FELLOW 4yr'!S62+'All Other 4yr'!S62)-S62</f>
        <v>0</v>
      </c>
      <c r="AV62" s="75">
        <f>('Instruction-4YR'!T62+'RESEARCH 4yr'!T62+'PUBLIC SERVICE 4yr'!T62+'ASptISptSSv 4yr'!T62+'PLANT OPER MAIN 4yr'!T62+'SCHOLAR FELLOW 4yr'!T62+'All Other 4yr'!T62)-T62</f>
        <v>0</v>
      </c>
      <c r="AW62" s="75">
        <f>('Instruction-4YR'!U62+'RESEARCH 4yr'!U62+'PUBLIC SERVICE 4yr'!U62+'ASptISptSSv 4yr'!U62+'PLANT OPER MAIN 4yr'!U62+'SCHOLAR FELLOW 4yr'!U62+'All Other 4yr'!U62)-U62</f>
        <v>0</v>
      </c>
      <c r="AX62" s="75">
        <f>('Instruction-4YR'!V62+'RESEARCH 4yr'!V62+'PUBLIC SERVICE 4yr'!V62+'ASptISptSSv 4yr'!V62+'PLANT OPER MAIN 4yr'!V62+'SCHOLAR FELLOW 4yr'!V62+'All Other 4yr'!V62)-V62</f>
        <v>0</v>
      </c>
      <c r="AY62" s="75">
        <f>('Instruction-4YR'!W62+'RESEARCH 4yr'!W62+'PUBLIC SERVICE 4yr'!W62+'ASptISptSSv 4yr'!W62+'PLANT OPER MAIN 4yr'!W62+'SCHOLAR FELLOW 4yr'!W62+'All Other 4yr'!W62)-W62</f>
        <v>0</v>
      </c>
      <c r="AZ62" s="75">
        <f>('Instruction-4YR'!X62+'RESEARCH 4yr'!X62+'PUBLIC SERVICE 4yr'!X62+'ASptISptSSv 4yr'!X62+'PLANT OPER MAIN 4yr'!X62+'SCHOLAR FELLOW 4yr'!X62+'All Other 4yr'!X62)-X62</f>
        <v>0</v>
      </c>
      <c r="BA62" s="75">
        <f>('Instruction-4YR'!Y62+'RESEARCH 4yr'!Y62+'PUBLIC SERVICE 4yr'!Y62+'ASptISptSSv 4yr'!Y62+'PLANT OPER MAIN 4yr'!Y62+'SCHOLAR FELLOW 4yr'!Y62+'All Other 4yr'!Y62)-Y62</f>
        <v>0</v>
      </c>
      <c r="BB62" s="75">
        <f>('Instruction-4YR'!Z62+'RESEARCH 4yr'!Z62+'PUBLIC SERVICE 4yr'!Z62+'ASptISptSSv 4yr'!Z62+'PLANT OPER MAIN 4yr'!Z62+'SCHOLAR FELLOW 4yr'!Z62+'All Other 4yr'!Z62)-Z62</f>
        <v>0</v>
      </c>
      <c r="BC62" s="75">
        <f>('Instruction-4YR'!AA62+'RESEARCH 4yr'!AA62+'PUBLIC SERVICE 4yr'!AA62+'ASptISptSSv 4yr'!AA62+'PLANT OPER MAIN 4yr'!AA62+'SCHOLAR FELLOW 4yr'!AA62+'All Other 4yr'!AA62)-AA62</f>
        <v>0</v>
      </c>
      <c r="BD62" s="75">
        <f>('Instruction-4YR'!AB62+'RESEARCH 4yr'!AB62+'PUBLIC SERVICE 4yr'!AB62+'ASptISptSSv 4yr'!AB62+'PLANT OPER MAIN 4yr'!AB62+'SCHOLAR FELLOW 4yr'!AB62+'All Other 4yr'!AB62)-AB62</f>
        <v>0</v>
      </c>
      <c r="BE62" s="75">
        <f>('Instruction-4YR'!AC62+'RESEARCH 4yr'!AC62+'PUBLIC SERVICE 4yr'!AC62+'ASptISptSSv 4yr'!AC62+'PLANT OPER MAIN 4yr'!AC62+'SCHOLAR FELLOW 4yr'!AC62+'All Other 4yr'!AC62)-AC62</f>
        <v>0</v>
      </c>
    </row>
    <row r="63" spans="1:57">
      <c r="A63" s="1" t="s">
        <v>111</v>
      </c>
      <c r="F63" s="42">
        <v>219879.93900000001</v>
      </c>
      <c r="I63" s="1">
        <v>251449.99</v>
      </c>
      <c r="K63" s="1">
        <v>270781.44</v>
      </c>
      <c r="L63" s="1">
        <v>314301.15100000001</v>
      </c>
      <c r="M63" s="1">
        <v>334197.96500000003</v>
      </c>
      <c r="N63" s="1">
        <v>352424.41399999999</v>
      </c>
      <c r="O63" s="1">
        <v>390185.35600000003</v>
      </c>
      <c r="P63" s="1">
        <v>400758.152</v>
      </c>
      <c r="Q63" s="1">
        <v>424110.462</v>
      </c>
      <c r="R63" s="1">
        <v>447470.65500000003</v>
      </c>
      <c r="S63" s="1">
        <v>466918.10499999998</v>
      </c>
      <c r="T63" s="1">
        <v>510200.14899999998</v>
      </c>
      <c r="U63" s="1">
        <v>518021.853</v>
      </c>
      <c r="V63" s="1">
        <v>529629.43000000005</v>
      </c>
      <c r="W63" s="1">
        <v>550215.5</v>
      </c>
      <c r="X63" s="1">
        <v>589638.43299999996</v>
      </c>
      <c r="Y63" s="1">
        <v>593166.70900000003</v>
      </c>
      <c r="Z63" s="1">
        <v>616783.22400000005</v>
      </c>
      <c r="AA63" s="1">
        <v>611558.522</v>
      </c>
      <c r="AB63" s="1">
        <v>648313.929</v>
      </c>
      <c r="AC63" s="1">
        <v>676761.45900000003</v>
      </c>
      <c r="AD63" s="75">
        <f>('Instruction-4YR'!B63+'RESEARCH 4yr'!B63+'PUBLIC SERVICE 4yr'!B63+'ASptISptSSv 4yr'!B63+'PLANT OPER MAIN 4yr'!B63+'SCHOLAR FELLOW 4yr'!B63+'All Other 4yr'!B63)-B63</f>
        <v>0</v>
      </c>
      <c r="AE63" s="75">
        <f>('Instruction-4YR'!C63+'RESEARCH 4yr'!C63+'PUBLIC SERVICE 4yr'!C63+'ASptISptSSv 4yr'!C63+'PLANT OPER MAIN 4yr'!C63+'SCHOLAR FELLOW 4yr'!C63+'All Other 4yr'!C63)-C63</f>
        <v>0</v>
      </c>
      <c r="AF63" s="75">
        <f>('Instruction-4YR'!D63+'RESEARCH 4yr'!D63+'PUBLIC SERVICE 4yr'!D63+'ASptISptSSv 4yr'!D63+'PLANT OPER MAIN 4yr'!D63+'SCHOLAR FELLOW 4yr'!D63+'All Other 4yr'!D63)-D63</f>
        <v>0</v>
      </c>
      <c r="AG63" s="75">
        <f>('Instruction-4YR'!E63+'RESEARCH 4yr'!E63+'PUBLIC SERVICE 4yr'!E63+'ASptISptSSv 4yr'!E63+'PLANT OPER MAIN 4yr'!E63+'SCHOLAR FELLOW 4yr'!E63+'All Other 4yr'!E63)-E63</f>
        <v>0</v>
      </c>
      <c r="AH63" s="75">
        <f>('Instruction-4YR'!F63+'RESEARCH 4yr'!F63+'PUBLIC SERVICE 4yr'!F63+'ASptISptSSv 4yr'!F63+'PLANT OPER MAIN 4yr'!F63+'SCHOLAR FELLOW 4yr'!F63+'All Other 4yr'!F63)-F63</f>
        <v>0</v>
      </c>
      <c r="AI63" s="75">
        <f>('Instruction-4YR'!G63+'RESEARCH 4yr'!G63+'PUBLIC SERVICE 4yr'!G63+'ASptISptSSv 4yr'!G63+'PLANT OPER MAIN 4yr'!G63+'SCHOLAR FELLOW 4yr'!G63+'All Other 4yr'!G63)-G63</f>
        <v>0</v>
      </c>
      <c r="AJ63" s="75">
        <f>('Instruction-4YR'!H63+'RESEARCH 4yr'!H63+'PUBLIC SERVICE 4yr'!H63+'ASptISptSSv 4yr'!H63+'PLANT OPER MAIN 4yr'!H63+'SCHOLAR FELLOW 4yr'!H63+'All Other 4yr'!H63)-H63</f>
        <v>0</v>
      </c>
      <c r="AK63" s="75">
        <f>('Instruction-4YR'!I63+'RESEARCH 4yr'!I63+'PUBLIC SERVICE 4yr'!I63+'ASptISptSSv 4yr'!I63+'PLANT OPER MAIN 4yr'!I63+'SCHOLAR FELLOW 4yr'!I63+'All Other 4yr'!I63)-I63</f>
        <v>0</v>
      </c>
      <c r="AL63" s="75">
        <f>('Instruction-4YR'!J63+'RESEARCH 4yr'!J63+'PUBLIC SERVICE 4yr'!J63+'ASptISptSSv 4yr'!J63+'PLANT OPER MAIN 4yr'!J63+'SCHOLAR FELLOW 4yr'!J63+'All Other 4yr'!J63)-J63</f>
        <v>0</v>
      </c>
      <c r="AM63" s="75">
        <f>('Instruction-4YR'!K63+'RESEARCH 4yr'!K63+'PUBLIC SERVICE 4yr'!K63+'ASptISptSSv 4yr'!K63+'PLANT OPER MAIN 4yr'!K63+'SCHOLAR FELLOW 4yr'!K63+'All Other 4yr'!K63)-K63</f>
        <v>0</v>
      </c>
      <c r="AN63" s="75">
        <f>('Instruction-4YR'!L63+'RESEARCH 4yr'!L63+'PUBLIC SERVICE 4yr'!L63+'ASptISptSSv 4yr'!L63+'PLANT OPER MAIN 4yr'!L63+'SCHOLAR FELLOW 4yr'!L63+'All Other 4yr'!L63)-L63</f>
        <v>0</v>
      </c>
      <c r="AO63" s="75">
        <f>('Instruction-4YR'!M63+'RESEARCH 4yr'!M63+'PUBLIC SERVICE 4yr'!M63+'ASptISptSSv 4yr'!M63+'PLANT OPER MAIN 4yr'!M63+'SCHOLAR FELLOW 4yr'!M63+'All Other 4yr'!M63)-M63</f>
        <v>0</v>
      </c>
      <c r="AP63" s="75">
        <f>('Instruction-4YR'!N63+'RESEARCH 4yr'!N63+'PUBLIC SERVICE 4yr'!N63+'ASptISptSSv 4yr'!N63+'PLANT OPER MAIN 4yr'!N63+'SCHOLAR FELLOW 4yr'!N63+'All Other 4yr'!N63)-N63</f>
        <v>0</v>
      </c>
      <c r="AQ63" s="75">
        <f>('Instruction-4YR'!O63+'RESEARCH 4yr'!O63+'PUBLIC SERVICE 4yr'!O63+'ASptISptSSv 4yr'!O63+'PLANT OPER MAIN 4yr'!O63+'SCHOLAR FELLOW 4yr'!O63+'All Other 4yr'!O63)-O63</f>
        <v>0</v>
      </c>
      <c r="AR63" s="75">
        <f>('Instruction-4YR'!P63+'RESEARCH 4yr'!P63+'PUBLIC SERVICE 4yr'!P63+'ASptISptSSv 4yr'!P63+'PLANT OPER MAIN 4yr'!P63+'SCHOLAR FELLOW 4yr'!P63+'All Other 4yr'!P63)-P63</f>
        <v>0</v>
      </c>
      <c r="AS63" s="75">
        <f>('Instruction-4YR'!Q63+'RESEARCH 4yr'!Q63+'PUBLIC SERVICE 4yr'!Q63+'ASptISptSSv 4yr'!Q63+'PLANT OPER MAIN 4yr'!Q63+'SCHOLAR FELLOW 4yr'!Q63+'All Other 4yr'!Q63)-Q63</f>
        <v>0</v>
      </c>
      <c r="AT63" s="75">
        <f>('Instruction-4YR'!R63+'RESEARCH 4yr'!R63+'PUBLIC SERVICE 4yr'!R63+'ASptISptSSv 4yr'!R63+'PLANT OPER MAIN 4yr'!R63+'SCHOLAR FELLOW 4yr'!R63+'All Other 4yr'!R63)-R63</f>
        <v>0</v>
      </c>
      <c r="AU63" s="75">
        <f>('Instruction-4YR'!S63+'RESEARCH 4yr'!S63+'PUBLIC SERVICE 4yr'!S63+'ASptISptSSv 4yr'!S63+'PLANT OPER MAIN 4yr'!S63+'SCHOLAR FELLOW 4yr'!S63+'All Other 4yr'!S63)-S63</f>
        <v>0</v>
      </c>
      <c r="AV63" s="75">
        <f>('Instruction-4YR'!T63+'RESEARCH 4yr'!T63+'PUBLIC SERVICE 4yr'!T63+'ASptISptSSv 4yr'!T63+'PLANT OPER MAIN 4yr'!T63+'SCHOLAR FELLOW 4yr'!T63+'All Other 4yr'!T63)-T63</f>
        <v>0</v>
      </c>
      <c r="AW63" s="75">
        <f>('Instruction-4YR'!U63+'RESEARCH 4yr'!U63+'PUBLIC SERVICE 4yr'!U63+'ASptISptSSv 4yr'!U63+'PLANT OPER MAIN 4yr'!U63+'SCHOLAR FELLOW 4yr'!U63+'All Other 4yr'!U63)-U63</f>
        <v>0</v>
      </c>
      <c r="AX63" s="75">
        <f>('Instruction-4YR'!V63+'RESEARCH 4yr'!V63+'PUBLIC SERVICE 4yr'!V63+'ASptISptSSv 4yr'!V63+'PLANT OPER MAIN 4yr'!V63+'SCHOLAR FELLOW 4yr'!V63+'All Other 4yr'!V63)-V63</f>
        <v>0</v>
      </c>
      <c r="AY63" s="75">
        <f>('Instruction-4YR'!W63+'RESEARCH 4yr'!W63+'PUBLIC SERVICE 4yr'!W63+'ASptISptSSv 4yr'!W63+'PLANT OPER MAIN 4yr'!W63+'SCHOLAR FELLOW 4yr'!W63+'All Other 4yr'!W63)-W63</f>
        <v>0</v>
      </c>
      <c r="AZ63" s="75">
        <f>('Instruction-4YR'!X63+'RESEARCH 4yr'!X63+'PUBLIC SERVICE 4yr'!X63+'ASptISptSSv 4yr'!X63+'PLANT OPER MAIN 4yr'!X63+'SCHOLAR FELLOW 4yr'!X63+'All Other 4yr'!X63)-X63</f>
        <v>0</v>
      </c>
      <c r="BA63" s="75">
        <f>('Instruction-4YR'!Y63+'RESEARCH 4yr'!Y63+'PUBLIC SERVICE 4yr'!Y63+'ASptISptSSv 4yr'!Y63+'PLANT OPER MAIN 4yr'!Y63+'SCHOLAR FELLOW 4yr'!Y63+'All Other 4yr'!Y63)-Y63</f>
        <v>0</v>
      </c>
      <c r="BB63" s="75">
        <f>('Instruction-4YR'!Z63+'RESEARCH 4yr'!Z63+'PUBLIC SERVICE 4yr'!Z63+'ASptISptSSv 4yr'!Z63+'PLANT OPER MAIN 4yr'!Z63+'SCHOLAR FELLOW 4yr'!Z63+'All Other 4yr'!Z63)-Z63</f>
        <v>0</v>
      </c>
      <c r="BC63" s="75">
        <f>('Instruction-4YR'!AA63+'RESEARCH 4yr'!AA63+'PUBLIC SERVICE 4yr'!AA63+'ASptISptSSv 4yr'!AA63+'PLANT OPER MAIN 4yr'!AA63+'SCHOLAR FELLOW 4yr'!AA63+'All Other 4yr'!AA63)-AA63</f>
        <v>0</v>
      </c>
      <c r="BD63" s="75">
        <f>('Instruction-4YR'!AB63+'RESEARCH 4yr'!AB63+'PUBLIC SERVICE 4yr'!AB63+'ASptISptSSv 4yr'!AB63+'PLANT OPER MAIN 4yr'!AB63+'SCHOLAR FELLOW 4yr'!AB63+'All Other 4yr'!AB63)-AB63</f>
        <v>0</v>
      </c>
      <c r="BE63" s="75">
        <f>('Instruction-4YR'!AC63+'RESEARCH 4yr'!AC63+'PUBLIC SERVICE 4yr'!AC63+'ASptISptSSv 4yr'!AC63+'PLANT OPER MAIN 4yr'!AC63+'SCHOLAR FELLOW 4yr'!AC63+'All Other 4yr'!AC63)-AC63</f>
        <v>0</v>
      </c>
    </row>
    <row r="64" spans="1:57">
      <c r="A64" s="24" t="s">
        <v>114</v>
      </c>
      <c r="B64" s="24"/>
      <c r="C64" s="24"/>
      <c r="D64" s="24"/>
      <c r="E64" s="24"/>
      <c r="F64" s="45">
        <v>246795.598</v>
      </c>
      <c r="G64" s="24"/>
      <c r="H64" s="24"/>
      <c r="I64" s="24">
        <v>280609.88299999997</v>
      </c>
      <c r="J64" s="24"/>
      <c r="K64" s="24">
        <v>307343.08600000001</v>
      </c>
      <c r="L64" s="24">
        <v>367739.902</v>
      </c>
      <c r="M64" s="24">
        <v>360249.51299999998</v>
      </c>
      <c r="N64" s="24">
        <v>419762.30900000001</v>
      </c>
      <c r="O64" s="24">
        <v>485330.59</v>
      </c>
      <c r="P64" s="24">
        <v>489622.65100000001</v>
      </c>
      <c r="Q64" s="24">
        <v>502639.04399999999</v>
      </c>
      <c r="R64" s="24">
        <v>552333.10699999996</v>
      </c>
      <c r="S64" s="24">
        <v>600426.99199999997</v>
      </c>
      <c r="T64" s="24">
        <v>668716.54299999995</v>
      </c>
      <c r="U64" s="24">
        <v>635963.16599999997</v>
      </c>
      <c r="V64" s="24">
        <v>719215.43200000003</v>
      </c>
      <c r="W64" s="24">
        <v>751684.05</v>
      </c>
      <c r="X64" s="24">
        <v>758936.08299999998</v>
      </c>
      <c r="Y64" s="24">
        <v>760075.60400000005</v>
      </c>
      <c r="Z64" s="24">
        <v>777632.36699999997</v>
      </c>
      <c r="AA64" s="24">
        <v>780507.90700000001</v>
      </c>
      <c r="AB64" s="24">
        <v>833157.51699999999</v>
      </c>
      <c r="AC64" s="24">
        <v>869658.42200000002</v>
      </c>
      <c r="AD64" s="75">
        <f>('Instruction-4YR'!B64+'RESEARCH 4yr'!B64+'PUBLIC SERVICE 4yr'!B64+'ASptISptSSv 4yr'!B64+'PLANT OPER MAIN 4yr'!B64+'SCHOLAR FELLOW 4yr'!B64+'All Other 4yr'!B64)-B64</f>
        <v>0</v>
      </c>
      <c r="AE64" s="75">
        <f>('Instruction-4YR'!C64+'RESEARCH 4yr'!C64+'PUBLIC SERVICE 4yr'!C64+'ASptISptSSv 4yr'!C64+'PLANT OPER MAIN 4yr'!C64+'SCHOLAR FELLOW 4yr'!C64+'All Other 4yr'!C64)-C64</f>
        <v>0</v>
      </c>
      <c r="AF64" s="75">
        <f>('Instruction-4YR'!D64+'RESEARCH 4yr'!D64+'PUBLIC SERVICE 4yr'!D64+'ASptISptSSv 4yr'!D64+'PLANT OPER MAIN 4yr'!D64+'SCHOLAR FELLOW 4yr'!D64+'All Other 4yr'!D64)-D64</f>
        <v>0</v>
      </c>
      <c r="AG64" s="75">
        <f>('Instruction-4YR'!E64+'RESEARCH 4yr'!E64+'PUBLIC SERVICE 4yr'!E64+'ASptISptSSv 4yr'!E64+'PLANT OPER MAIN 4yr'!E64+'SCHOLAR FELLOW 4yr'!E64+'All Other 4yr'!E64)-E64</f>
        <v>0</v>
      </c>
      <c r="AH64" s="75">
        <f>('Instruction-4YR'!F64+'RESEARCH 4yr'!F64+'PUBLIC SERVICE 4yr'!F64+'ASptISptSSv 4yr'!F64+'PLANT OPER MAIN 4yr'!F64+'SCHOLAR FELLOW 4yr'!F64+'All Other 4yr'!F64)-F64</f>
        <v>0</v>
      </c>
      <c r="AI64" s="75">
        <f>('Instruction-4YR'!G64+'RESEARCH 4yr'!G64+'PUBLIC SERVICE 4yr'!G64+'ASptISptSSv 4yr'!G64+'PLANT OPER MAIN 4yr'!G64+'SCHOLAR FELLOW 4yr'!G64+'All Other 4yr'!G64)-G64</f>
        <v>0</v>
      </c>
      <c r="AJ64" s="75">
        <f>('Instruction-4YR'!H64+'RESEARCH 4yr'!H64+'PUBLIC SERVICE 4yr'!H64+'ASptISptSSv 4yr'!H64+'PLANT OPER MAIN 4yr'!H64+'SCHOLAR FELLOW 4yr'!H64+'All Other 4yr'!H64)-H64</f>
        <v>0</v>
      </c>
      <c r="AK64" s="75">
        <f>('Instruction-4YR'!I64+'RESEARCH 4yr'!I64+'PUBLIC SERVICE 4yr'!I64+'ASptISptSSv 4yr'!I64+'PLANT OPER MAIN 4yr'!I64+'SCHOLAR FELLOW 4yr'!I64+'All Other 4yr'!I64)-I64</f>
        <v>0</v>
      </c>
      <c r="AL64" s="75">
        <f>('Instruction-4YR'!J64+'RESEARCH 4yr'!J64+'PUBLIC SERVICE 4yr'!J64+'ASptISptSSv 4yr'!J64+'PLANT OPER MAIN 4yr'!J64+'SCHOLAR FELLOW 4yr'!J64+'All Other 4yr'!J64)-J64</f>
        <v>0</v>
      </c>
      <c r="AM64" s="75">
        <f>('Instruction-4YR'!K64+'RESEARCH 4yr'!K64+'PUBLIC SERVICE 4yr'!K64+'ASptISptSSv 4yr'!K64+'PLANT OPER MAIN 4yr'!K64+'SCHOLAR FELLOW 4yr'!K64+'All Other 4yr'!K64)-K64</f>
        <v>0</v>
      </c>
      <c r="AN64" s="75">
        <f>('Instruction-4YR'!L64+'RESEARCH 4yr'!L64+'PUBLIC SERVICE 4yr'!L64+'ASptISptSSv 4yr'!L64+'PLANT OPER MAIN 4yr'!L64+'SCHOLAR FELLOW 4yr'!L64+'All Other 4yr'!L64)-L64</f>
        <v>0</v>
      </c>
      <c r="AO64" s="75">
        <f>('Instruction-4YR'!M64+'RESEARCH 4yr'!M64+'PUBLIC SERVICE 4yr'!M64+'ASptISptSSv 4yr'!M64+'PLANT OPER MAIN 4yr'!M64+'SCHOLAR FELLOW 4yr'!M64+'All Other 4yr'!M64)-M64</f>
        <v>0</v>
      </c>
      <c r="AP64" s="75">
        <f>('Instruction-4YR'!N64+'RESEARCH 4yr'!N64+'PUBLIC SERVICE 4yr'!N64+'ASptISptSSv 4yr'!N64+'PLANT OPER MAIN 4yr'!N64+'SCHOLAR FELLOW 4yr'!N64+'All Other 4yr'!N64)-N64</f>
        <v>0</v>
      </c>
      <c r="AQ64" s="75">
        <f>('Instruction-4YR'!O64+'RESEARCH 4yr'!O64+'PUBLIC SERVICE 4yr'!O64+'ASptISptSSv 4yr'!O64+'PLANT OPER MAIN 4yr'!O64+'SCHOLAR FELLOW 4yr'!O64+'All Other 4yr'!O64)-O64</f>
        <v>0</v>
      </c>
      <c r="AR64" s="75">
        <f>('Instruction-4YR'!P64+'RESEARCH 4yr'!P64+'PUBLIC SERVICE 4yr'!P64+'ASptISptSSv 4yr'!P64+'PLANT OPER MAIN 4yr'!P64+'SCHOLAR FELLOW 4yr'!P64+'All Other 4yr'!P64)-P64</f>
        <v>0</v>
      </c>
      <c r="AS64" s="75">
        <f>('Instruction-4YR'!Q64+'RESEARCH 4yr'!Q64+'PUBLIC SERVICE 4yr'!Q64+'ASptISptSSv 4yr'!Q64+'PLANT OPER MAIN 4yr'!Q64+'SCHOLAR FELLOW 4yr'!Q64+'All Other 4yr'!Q64)-Q64</f>
        <v>0</v>
      </c>
      <c r="AT64" s="75">
        <f>('Instruction-4YR'!R64+'RESEARCH 4yr'!R64+'PUBLIC SERVICE 4yr'!R64+'ASptISptSSv 4yr'!R64+'PLANT OPER MAIN 4yr'!R64+'SCHOLAR FELLOW 4yr'!R64+'All Other 4yr'!R64)-R64</f>
        <v>0</v>
      </c>
      <c r="AU64" s="75">
        <f>('Instruction-4YR'!S64+'RESEARCH 4yr'!S64+'PUBLIC SERVICE 4yr'!S64+'ASptISptSSv 4yr'!S64+'PLANT OPER MAIN 4yr'!S64+'SCHOLAR FELLOW 4yr'!S64+'All Other 4yr'!S64)-S64</f>
        <v>0</v>
      </c>
      <c r="AV64" s="75">
        <f>('Instruction-4YR'!T64+'RESEARCH 4yr'!T64+'PUBLIC SERVICE 4yr'!T64+'ASptISptSSv 4yr'!T64+'PLANT OPER MAIN 4yr'!T64+'SCHOLAR FELLOW 4yr'!T64+'All Other 4yr'!T64)-T64</f>
        <v>0</v>
      </c>
      <c r="AW64" s="75">
        <f>('Instruction-4YR'!U64+'RESEARCH 4yr'!U64+'PUBLIC SERVICE 4yr'!U64+'ASptISptSSv 4yr'!U64+'PLANT OPER MAIN 4yr'!U64+'SCHOLAR FELLOW 4yr'!U64+'All Other 4yr'!U64)-U64</f>
        <v>0</v>
      </c>
      <c r="AX64" s="75">
        <f>('Instruction-4YR'!V64+'RESEARCH 4yr'!V64+'PUBLIC SERVICE 4yr'!V64+'ASptISptSSv 4yr'!V64+'PLANT OPER MAIN 4yr'!V64+'SCHOLAR FELLOW 4yr'!V64+'All Other 4yr'!V64)-V64</f>
        <v>0</v>
      </c>
      <c r="AY64" s="75">
        <f>('Instruction-4YR'!W64+'RESEARCH 4yr'!W64+'PUBLIC SERVICE 4yr'!W64+'ASptISptSSv 4yr'!W64+'PLANT OPER MAIN 4yr'!W64+'SCHOLAR FELLOW 4yr'!W64+'All Other 4yr'!W64)-W64</f>
        <v>0</v>
      </c>
      <c r="AZ64" s="75">
        <f>('Instruction-4YR'!X64+'RESEARCH 4yr'!X64+'PUBLIC SERVICE 4yr'!X64+'ASptISptSSv 4yr'!X64+'PLANT OPER MAIN 4yr'!X64+'SCHOLAR FELLOW 4yr'!X64+'All Other 4yr'!X64)-X64</f>
        <v>0</v>
      </c>
      <c r="BA64" s="75">
        <f>('Instruction-4YR'!Y64+'RESEARCH 4yr'!Y64+'PUBLIC SERVICE 4yr'!Y64+'ASptISptSSv 4yr'!Y64+'PLANT OPER MAIN 4yr'!Y64+'SCHOLAR FELLOW 4yr'!Y64+'All Other 4yr'!Y64)-Y64</f>
        <v>0</v>
      </c>
      <c r="BB64" s="75">
        <f>('Instruction-4YR'!Z64+'RESEARCH 4yr'!Z64+'PUBLIC SERVICE 4yr'!Z64+'ASptISptSSv 4yr'!Z64+'PLANT OPER MAIN 4yr'!Z64+'SCHOLAR FELLOW 4yr'!Z64+'All Other 4yr'!Z64)-Z64</f>
        <v>0</v>
      </c>
      <c r="BC64" s="75">
        <f>('Instruction-4YR'!AA64+'RESEARCH 4yr'!AA64+'PUBLIC SERVICE 4yr'!AA64+'ASptISptSSv 4yr'!AA64+'PLANT OPER MAIN 4yr'!AA64+'SCHOLAR FELLOW 4yr'!AA64+'All Other 4yr'!AA64)-AA64</f>
        <v>0</v>
      </c>
      <c r="BD64" s="75">
        <f>('Instruction-4YR'!AB64+'RESEARCH 4yr'!AB64+'PUBLIC SERVICE 4yr'!AB64+'ASptISptSSv 4yr'!AB64+'PLANT OPER MAIN 4yr'!AB64+'SCHOLAR FELLOW 4yr'!AB64+'All Other 4yr'!AB64)-AB64</f>
        <v>0</v>
      </c>
      <c r="BE64" s="75">
        <f>('Instruction-4YR'!AC64+'RESEARCH 4yr'!AC64+'PUBLIC SERVICE 4yr'!AC64+'ASptISptSSv 4yr'!AC64+'PLANT OPER MAIN 4yr'!AC64+'SCHOLAR FELLOW 4yr'!AC64+'All Other 4yr'!AC64)-AC64</f>
        <v>0</v>
      </c>
    </row>
    <row r="65" spans="1:57">
      <c r="A65" s="46" t="s">
        <v>90</v>
      </c>
      <c r="B65" s="46"/>
      <c r="C65" s="46"/>
      <c r="D65" s="46"/>
      <c r="E65" s="46"/>
      <c r="F65" s="47">
        <v>122258.39200000001</v>
      </c>
      <c r="G65" s="46"/>
      <c r="H65" s="46"/>
      <c r="I65" s="46">
        <v>100218.249</v>
      </c>
      <c r="J65" s="46"/>
      <c r="K65" s="46">
        <v>108317.24954999999</v>
      </c>
      <c r="L65" s="46">
        <v>83706.350000000006</v>
      </c>
      <c r="M65" s="46">
        <v>93698.697</v>
      </c>
      <c r="N65" s="46">
        <v>92109.743000000002</v>
      </c>
      <c r="O65" s="46">
        <v>97401.993000000002</v>
      </c>
      <c r="P65" s="46">
        <v>95970.748000000007</v>
      </c>
      <c r="Q65" s="46">
        <v>102807.22199999999</v>
      </c>
      <c r="R65" s="46">
        <v>117338.73699999999</v>
      </c>
      <c r="S65" s="46">
        <v>128276.976</v>
      </c>
      <c r="T65" s="46">
        <v>116717.073</v>
      </c>
      <c r="U65" s="46">
        <v>131148.83499999999</v>
      </c>
      <c r="V65" s="46">
        <v>127372.939</v>
      </c>
      <c r="W65" s="46">
        <v>159784.302</v>
      </c>
      <c r="X65" s="24">
        <v>154411.19500000001</v>
      </c>
      <c r="Y65" s="24">
        <v>147068.489</v>
      </c>
      <c r="Z65" s="24">
        <v>137144.25599999999</v>
      </c>
      <c r="AA65" s="24">
        <v>144382.95600000001</v>
      </c>
      <c r="AB65" s="24">
        <v>154907.38800000001</v>
      </c>
      <c r="AC65" s="24">
        <v>149134.28099999999</v>
      </c>
      <c r="AD65" s="75">
        <f>('Instruction-4YR'!B65+'RESEARCH 4yr'!B65+'PUBLIC SERVICE 4yr'!B65+'ASptISptSSv 4yr'!B65+'PLANT OPER MAIN 4yr'!B65+'SCHOLAR FELLOW 4yr'!B65+'All Other 4yr'!B65)-B65</f>
        <v>0</v>
      </c>
      <c r="AE65" s="75">
        <f>('Instruction-4YR'!C65+'RESEARCH 4yr'!C65+'PUBLIC SERVICE 4yr'!C65+'ASptISptSSv 4yr'!C65+'PLANT OPER MAIN 4yr'!C65+'SCHOLAR FELLOW 4yr'!C65+'All Other 4yr'!C65)-C65</f>
        <v>0</v>
      </c>
      <c r="AF65" s="75">
        <f>('Instruction-4YR'!D65+'RESEARCH 4yr'!D65+'PUBLIC SERVICE 4yr'!D65+'ASptISptSSv 4yr'!D65+'PLANT OPER MAIN 4yr'!D65+'SCHOLAR FELLOW 4yr'!D65+'All Other 4yr'!D65)-D65</f>
        <v>0</v>
      </c>
      <c r="AG65" s="75">
        <f>('Instruction-4YR'!E65+'RESEARCH 4yr'!E65+'PUBLIC SERVICE 4yr'!E65+'ASptISptSSv 4yr'!E65+'PLANT OPER MAIN 4yr'!E65+'SCHOLAR FELLOW 4yr'!E65+'All Other 4yr'!E65)-E65</f>
        <v>0</v>
      </c>
      <c r="AH65" s="75">
        <f>('Instruction-4YR'!F65+'RESEARCH 4yr'!F65+'PUBLIC SERVICE 4yr'!F65+'ASptISptSSv 4yr'!F65+'PLANT OPER MAIN 4yr'!F65+'SCHOLAR FELLOW 4yr'!F65+'All Other 4yr'!F65)-F65</f>
        <v>0</v>
      </c>
      <c r="AI65" s="75">
        <f>('Instruction-4YR'!G65+'RESEARCH 4yr'!G65+'PUBLIC SERVICE 4yr'!G65+'ASptISptSSv 4yr'!G65+'PLANT OPER MAIN 4yr'!G65+'SCHOLAR FELLOW 4yr'!G65+'All Other 4yr'!G65)-G65</f>
        <v>0</v>
      </c>
      <c r="AJ65" s="75">
        <f>('Instruction-4YR'!H65+'RESEARCH 4yr'!H65+'PUBLIC SERVICE 4yr'!H65+'ASptISptSSv 4yr'!H65+'PLANT OPER MAIN 4yr'!H65+'SCHOLAR FELLOW 4yr'!H65+'All Other 4yr'!H65)-H65</f>
        <v>0</v>
      </c>
      <c r="AK65" s="75">
        <f>('Instruction-4YR'!I65+'RESEARCH 4yr'!I65+'PUBLIC SERVICE 4yr'!I65+'ASptISptSSv 4yr'!I65+'PLANT OPER MAIN 4yr'!I65+'SCHOLAR FELLOW 4yr'!I65+'All Other 4yr'!I65)-I65</f>
        <v>0</v>
      </c>
      <c r="AL65" s="75">
        <f>('Instruction-4YR'!J65+'RESEARCH 4yr'!J65+'PUBLIC SERVICE 4yr'!J65+'ASptISptSSv 4yr'!J65+'PLANT OPER MAIN 4yr'!J65+'SCHOLAR FELLOW 4yr'!J65+'All Other 4yr'!J65)-J65</f>
        <v>0</v>
      </c>
      <c r="AM65" s="75">
        <f>('Instruction-4YR'!K65+'RESEARCH 4yr'!K65+'PUBLIC SERVICE 4yr'!K65+'ASptISptSSv 4yr'!K65+'PLANT OPER MAIN 4yr'!K65+'SCHOLAR FELLOW 4yr'!K65+'All Other 4yr'!K65)-K65</f>
        <v>0</v>
      </c>
      <c r="AN65" s="75">
        <f>('Instruction-4YR'!L65+'RESEARCH 4yr'!L65+'PUBLIC SERVICE 4yr'!L65+'ASptISptSSv 4yr'!L65+'PLANT OPER MAIN 4yr'!L65+'SCHOLAR FELLOW 4yr'!L65+'All Other 4yr'!L65)-L65</f>
        <v>0</v>
      </c>
      <c r="AO65" s="75">
        <f>('Instruction-4YR'!M65+'RESEARCH 4yr'!M65+'PUBLIC SERVICE 4yr'!M65+'ASptISptSSv 4yr'!M65+'PLANT OPER MAIN 4yr'!M65+'SCHOLAR FELLOW 4yr'!M65+'All Other 4yr'!M65)-M65</f>
        <v>0</v>
      </c>
      <c r="AP65" s="75">
        <f>('Instruction-4YR'!N65+'RESEARCH 4yr'!N65+'PUBLIC SERVICE 4yr'!N65+'ASptISptSSv 4yr'!N65+'PLANT OPER MAIN 4yr'!N65+'SCHOLAR FELLOW 4yr'!N65+'All Other 4yr'!N65)-N65</f>
        <v>0</v>
      </c>
      <c r="AQ65" s="75">
        <f>('Instruction-4YR'!O65+'RESEARCH 4yr'!O65+'PUBLIC SERVICE 4yr'!O65+'ASptISptSSv 4yr'!O65+'PLANT OPER MAIN 4yr'!O65+'SCHOLAR FELLOW 4yr'!O65+'All Other 4yr'!O65)-O65</f>
        <v>0</v>
      </c>
      <c r="AR65" s="75">
        <f>('Instruction-4YR'!P65+'RESEARCH 4yr'!P65+'PUBLIC SERVICE 4yr'!P65+'ASptISptSSv 4yr'!P65+'PLANT OPER MAIN 4yr'!P65+'SCHOLAR FELLOW 4yr'!P65+'All Other 4yr'!P65)-P65</f>
        <v>0</v>
      </c>
      <c r="AS65" s="75">
        <f>('Instruction-4YR'!Q65+'RESEARCH 4yr'!Q65+'PUBLIC SERVICE 4yr'!Q65+'ASptISptSSv 4yr'!Q65+'PLANT OPER MAIN 4yr'!Q65+'SCHOLAR FELLOW 4yr'!Q65+'All Other 4yr'!Q65)-Q65</f>
        <v>0</v>
      </c>
      <c r="AT65" s="75">
        <f>('Instruction-4YR'!R65+'RESEARCH 4yr'!R65+'PUBLIC SERVICE 4yr'!R65+'ASptISptSSv 4yr'!R65+'PLANT OPER MAIN 4yr'!R65+'SCHOLAR FELLOW 4yr'!R65+'All Other 4yr'!R65)-R65</f>
        <v>0</v>
      </c>
      <c r="AU65" s="75">
        <f>('Instruction-4YR'!S65+'RESEARCH 4yr'!S65+'PUBLIC SERVICE 4yr'!S65+'ASptISptSSv 4yr'!S65+'PLANT OPER MAIN 4yr'!S65+'SCHOLAR FELLOW 4yr'!S65+'All Other 4yr'!S65)-S65</f>
        <v>0</v>
      </c>
      <c r="AV65" s="75">
        <f>('Instruction-4YR'!T65+'RESEARCH 4yr'!T65+'PUBLIC SERVICE 4yr'!T65+'ASptISptSSv 4yr'!T65+'PLANT OPER MAIN 4yr'!T65+'SCHOLAR FELLOW 4yr'!T65+'All Other 4yr'!T65)-T65</f>
        <v>16237.924499999994</v>
      </c>
      <c r="AW65" s="75">
        <f>('Instruction-4YR'!U65+'RESEARCH 4yr'!U65+'PUBLIC SERVICE 4yr'!U65+'ASptISptSSv 4yr'!U65+'PLANT OPER MAIN 4yr'!U65+'SCHOLAR FELLOW 4yr'!U65+'All Other 4yr'!U65)-U65</f>
        <v>0</v>
      </c>
      <c r="AX65" s="75">
        <f>('Instruction-4YR'!V65+'RESEARCH 4yr'!V65+'PUBLIC SERVICE 4yr'!V65+'ASptISptSSv 4yr'!V65+'PLANT OPER MAIN 4yr'!V65+'SCHOLAR FELLOW 4yr'!V65+'All Other 4yr'!V65)-V65</f>
        <v>0</v>
      </c>
      <c r="AY65" s="75">
        <f>('Instruction-4YR'!W65+'RESEARCH 4yr'!W65+'PUBLIC SERVICE 4yr'!W65+'ASptISptSSv 4yr'!W65+'PLANT OPER MAIN 4yr'!W65+'SCHOLAR FELLOW 4yr'!W65+'All Other 4yr'!W65)-W65</f>
        <v>0</v>
      </c>
      <c r="AZ65" s="75">
        <f>('Instruction-4YR'!X65+'RESEARCH 4yr'!X65+'PUBLIC SERVICE 4yr'!X65+'ASptISptSSv 4yr'!X65+'PLANT OPER MAIN 4yr'!X65+'SCHOLAR FELLOW 4yr'!X65+'All Other 4yr'!X65)-X65</f>
        <v>0</v>
      </c>
      <c r="BA65" s="75">
        <f>('Instruction-4YR'!Y65+'RESEARCH 4yr'!Y65+'PUBLIC SERVICE 4yr'!Y65+'ASptISptSSv 4yr'!Y65+'PLANT OPER MAIN 4yr'!Y65+'SCHOLAR FELLOW 4yr'!Y65+'All Other 4yr'!Y65)-Y65</f>
        <v>0</v>
      </c>
      <c r="BB65" s="75">
        <f>('Instruction-4YR'!Z65+'RESEARCH 4yr'!Z65+'PUBLIC SERVICE 4yr'!Z65+'ASptISptSSv 4yr'!Z65+'PLANT OPER MAIN 4yr'!Z65+'SCHOLAR FELLOW 4yr'!Z65+'All Other 4yr'!Z65)-Z65</f>
        <v>0</v>
      </c>
      <c r="BC65" s="75">
        <f>('Instruction-4YR'!AA65+'RESEARCH 4yr'!AA65+'PUBLIC SERVICE 4yr'!AA65+'ASptISptSSv 4yr'!AA65+'PLANT OPER MAIN 4yr'!AA65+'SCHOLAR FELLOW 4yr'!AA65+'All Other 4yr'!AA65)-AA65</f>
        <v>0</v>
      </c>
      <c r="BD65" s="75">
        <f>('Instruction-4YR'!AB65+'RESEARCH 4yr'!AB65+'PUBLIC SERVICE 4yr'!AB65+'ASptISptSSv 4yr'!AB65+'PLANT OPER MAIN 4yr'!AB65+'SCHOLAR FELLOW 4yr'!AB65+'All Other 4yr'!AB65)-AB65</f>
        <v>0</v>
      </c>
      <c r="BE65" s="75">
        <f>('Instruction-4YR'!AC65+'RESEARCH 4yr'!AC65+'PUBLIC SERVICE 4yr'!AC65+'ASptISptSSv 4yr'!AC65+'PLANT OPER MAIN 4yr'!AC65+'SCHOLAR FELLOW 4yr'!AC65+'All Other 4yr'!AC65)-AC65</f>
        <v>0</v>
      </c>
    </row>
    <row r="67" spans="1:57">
      <c r="E67" s="1" t="s">
        <v>41</v>
      </c>
      <c r="I67" s="43" t="s">
        <v>78</v>
      </c>
      <c r="J67" s="43" t="s">
        <v>76</v>
      </c>
      <c r="L67" s="1" t="s">
        <v>69</v>
      </c>
      <c r="O67" s="1" t="s">
        <v>78</v>
      </c>
      <c r="P67" s="1" t="s">
        <v>78</v>
      </c>
      <c r="Q67" s="1" t="s">
        <v>78</v>
      </c>
      <c r="R67" s="1" t="s">
        <v>78</v>
      </c>
    </row>
    <row r="68" spans="1:57">
      <c r="I68" s="1" t="s">
        <v>79</v>
      </c>
      <c r="J68" s="1" t="s">
        <v>72</v>
      </c>
      <c r="L68" s="1" t="s">
        <v>70</v>
      </c>
      <c r="O68" s="1" t="s">
        <v>79</v>
      </c>
      <c r="P68" s="1" t="s">
        <v>79</v>
      </c>
      <c r="Q68" s="1" t="s">
        <v>79</v>
      </c>
      <c r="R68" s="1" t="s">
        <v>79</v>
      </c>
    </row>
    <row r="69" spans="1:57">
      <c r="I69" s="1" t="s">
        <v>80</v>
      </c>
      <c r="J69" s="1" t="s">
        <v>73</v>
      </c>
      <c r="O69" s="1" t="s">
        <v>80</v>
      </c>
      <c r="P69" s="1" t="s">
        <v>80</v>
      </c>
      <c r="Q69" s="1" t="s">
        <v>80</v>
      </c>
      <c r="R69" s="1" t="s">
        <v>80</v>
      </c>
    </row>
    <row r="70" spans="1:57">
      <c r="J70" s="1" t="s">
        <v>74</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14">
    <tabColor rgb="FF0099FF"/>
  </sheetPr>
  <dimension ref="A1:BE70"/>
  <sheetViews>
    <sheetView zoomScale="98" zoomScaleNormal="98" workbookViewId="0">
      <pane xSplit="1" ySplit="6" topLeftCell="Z7" activePane="bottomRight" state="frozen"/>
      <selection pane="topRight" activeCell="B1" sqref="B1"/>
      <selection pane="bottomLeft" activeCell="A7" sqref="A7"/>
      <selection pane="bottomRight" activeCell="AB14" sqref="AB14"/>
    </sheetView>
  </sheetViews>
  <sheetFormatPr defaultColWidth="9.7109375" defaultRowHeight="12.75"/>
  <cols>
    <col min="1" max="1" width="23.42578125" style="44" customWidth="1"/>
    <col min="2" max="30" width="12.42578125" style="1" customWidth="1"/>
    <col min="31" max="33" width="9.7109375" style="1"/>
    <col min="34" max="34" width="13.42578125" style="1" customWidth="1"/>
    <col min="35" max="49" width="9.7109375" style="1"/>
    <col min="50" max="51" width="11.28515625" style="1" bestFit="1" customWidth="1"/>
    <col min="52" max="16384" width="9.7109375" style="1"/>
  </cols>
  <sheetData>
    <row r="1" spans="1:57">
      <c r="A1" s="7" t="s">
        <v>39</v>
      </c>
      <c r="D1" s="9"/>
      <c r="E1" s="9"/>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row>
    <row r="2" spans="1:57">
      <c r="A2" s="1"/>
      <c r="D2" s="9"/>
      <c r="E2" s="9"/>
      <c r="AD2" s="75" t="s">
        <v>77</v>
      </c>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row>
    <row r="3" spans="1:57">
      <c r="A3" s="1" t="s">
        <v>40</v>
      </c>
      <c r="D3" s="9"/>
      <c r="E3" s="9"/>
      <c r="AB3" s="103" t="s">
        <v>156</v>
      </c>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row>
    <row r="4" spans="1:57" s="33" customFormat="1">
      <c r="A4" s="93"/>
      <c r="B4" s="93">
        <v>1984</v>
      </c>
      <c r="C4" s="93">
        <v>1985</v>
      </c>
      <c r="D4" s="93">
        <v>1986</v>
      </c>
      <c r="E4" s="93">
        <v>1991</v>
      </c>
      <c r="F4" s="93">
        <v>1992</v>
      </c>
      <c r="G4" s="93">
        <v>1993</v>
      </c>
      <c r="H4" s="93">
        <v>1994</v>
      </c>
      <c r="I4" s="93">
        <v>1995</v>
      </c>
      <c r="J4" s="93">
        <v>1996</v>
      </c>
      <c r="K4" s="93">
        <v>1997</v>
      </c>
      <c r="L4" s="93">
        <v>2000</v>
      </c>
      <c r="M4" s="94">
        <v>2001</v>
      </c>
      <c r="N4" s="94">
        <v>2002</v>
      </c>
      <c r="O4" s="94">
        <v>2003</v>
      </c>
      <c r="P4" s="94">
        <v>2004</v>
      </c>
      <c r="Q4" s="93">
        <v>2005</v>
      </c>
      <c r="R4" s="93">
        <v>2006</v>
      </c>
      <c r="S4" s="94">
        <v>2007</v>
      </c>
      <c r="T4" s="94">
        <v>2008</v>
      </c>
      <c r="U4" s="94">
        <v>2009</v>
      </c>
      <c r="V4" s="94">
        <v>2010</v>
      </c>
      <c r="W4" s="94">
        <v>2011</v>
      </c>
      <c r="X4" s="40">
        <v>2012</v>
      </c>
      <c r="Y4" s="40">
        <v>2013</v>
      </c>
      <c r="Z4" s="40">
        <v>2014</v>
      </c>
      <c r="AA4" s="40">
        <v>2015</v>
      </c>
      <c r="AB4" s="97">
        <v>2016</v>
      </c>
      <c r="AC4" s="97">
        <v>2017</v>
      </c>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row>
    <row r="5" spans="1:57">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c r="AD5" s="95">
        <f>+B4</f>
        <v>1984</v>
      </c>
      <c r="AE5" s="95">
        <f t="shared" ref="AE5:AV5" si="0">+C4</f>
        <v>1985</v>
      </c>
      <c r="AF5" s="95">
        <f t="shared" si="0"/>
        <v>1986</v>
      </c>
      <c r="AG5" s="95">
        <f t="shared" si="0"/>
        <v>1991</v>
      </c>
      <c r="AH5" s="95">
        <f t="shared" si="0"/>
        <v>1992</v>
      </c>
      <c r="AI5" s="95">
        <f t="shared" si="0"/>
        <v>1993</v>
      </c>
      <c r="AJ5" s="95">
        <f t="shared" si="0"/>
        <v>1994</v>
      </c>
      <c r="AK5" s="95">
        <f t="shared" si="0"/>
        <v>1995</v>
      </c>
      <c r="AL5" s="95">
        <f t="shared" si="0"/>
        <v>1996</v>
      </c>
      <c r="AM5" s="95">
        <f t="shared" si="0"/>
        <v>1997</v>
      </c>
      <c r="AN5" s="95">
        <f t="shared" si="0"/>
        <v>2000</v>
      </c>
      <c r="AO5" s="95">
        <f t="shared" si="0"/>
        <v>2001</v>
      </c>
      <c r="AP5" s="95">
        <f t="shared" si="0"/>
        <v>2002</v>
      </c>
      <c r="AQ5" s="95">
        <f t="shared" si="0"/>
        <v>2003</v>
      </c>
      <c r="AR5" s="95">
        <f t="shared" si="0"/>
        <v>2004</v>
      </c>
      <c r="AS5" s="95">
        <f t="shared" si="0"/>
        <v>2005</v>
      </c>
      <c r="AT5" s="95">
        <f t="shared" si="0"/>
        <v>2006</v>
      </c>
      <c r="AU5" s="95">
        <f t="shared" si="0"/>
        <v>2007</v>
      </c>
      <c r="AV5" s="95">
        <f t="shared" si="0"/>
        <v>2008</v>
      </c>
      <c r="AW5" s="95">
        <f>+U4</f>
        <v>2009</v>
      </c>
      <c r="AX5" s="95">
        <f>+V4</f>
        <v>2010</v>
      </c>
      <c r="AY5" s="95">
        <f>+W4</f>
        <v>2011</v>
      </c>
      <c r="AZ5" s="95">
        <f t="shared" ref="AZ5:BA5" si="1">+X4</f>
        <v>2012</v>
      </c>
      <c r="BA5" s="95">
        <f t="shared" si="1"/>
        <v>2013</v>
      </c>
      <c r="BB5" s="95">
        <v>2014</v>
      </c>
      <c r="BC5" s="95">
        <v>2015</v>
      </c>
      <c r="BD5" s="95">
        <v>2016</v>
      </c>
      <c r="BE5" s="95">
        <v>2017</v>
      </c>
    </row>
    <row r="6" spans="1:57">
      <c r="A6" s="24" t="s">
        <v>118</v>
      </c>
      <c r="B6" s="24">
        <v>9336633</v>
      </c>
      <c r="C6" s="24">
        <v>10134773</v>
      </c>
      <c r="D6" s="24">
        <v>10918160</v>
      </c>
      <c r="E6" s="24">
        <v>16368185.961999999</v>
      </c>
      <c r="F6" s="49">
        <f>+F7+F25+F40+F54+F65</f>
        <v>17095577.778000001</v>
      </c>
      <c r="G6" s="24">
        <v>19011901.892000001</v>
      </c>
      <c r="H6" s="24">
        <v>20225167.780000001</v>
      </c>
      <c r="I6" s="49">
        <f>+I7+I25+I40+I54+I65</f>
        <v>20051797.162999999</v>
      </c>
      <c r="J6" s="24">
        <v>22213995.965999998</v>
      </c>
      <c r="K6" s="49">
        <f t="shared" ref="K6:U6" si="2">+K7+K25+K40+K54+K65</f>
        <v>23354408.553900003</v>
      </c>
      <c r="L6" s="49">
        <f t="shared" si="2"/>
        <v>26280347.176000003</v>
      </c>
      <c r="M6" s="49">
        <f t="shared" si="2"/>
        <v>28981941.023000002</v>
      </c>
      <c r="N6" s="49">
        <f t="shared" si="2"/>
        <v>31212657.851999998</v>
      </c>
      <c r="O6" s="49">
        <f t="shared" si="2"/>
        <v>32729250.809</v>
      </c>
      <c r="P6" s="49">
        <f t="shared" si="2"/>
        <v>34304819.422000006</v>
      </c>
      <c r="Q6" s="49">
        <f t="shared" si="2"/>
        <v>38113909.763000004</v>
      </c>
      <c r="R6" s="49">
        <f t="shared" si="2"/>
        <v>40060038.784000002</v>
      </c>
      <c r="S6" s="49">
        <f t="shared" si="2"/>
        <v>42820741.625</v>
      </c>
      <c r="T6" s="49">
        <f t="shared" si="2"/>
        <v>45848996.329000004</v>
      </c>
      <c r="U6" s="49">
        <f t="shared" si="2"/>
        <v>50070911.740000002</v>
      </c>
      <c r="V6" s="49">
        <f t="shared" ref="V6:W6" si="3">+V7+V25+V40+V54+V65</f>
        <v>56764162.434</v>
      </c>
      <c r="W6" s="49">
        <f t="shared" si="3"/>
        <v>61822612.404000007</v>
      </c>
      <c r="X6" s="49">
        <f t="shared" ref="X6:Y6" si="4">+X7+X25+X40+X54+X65</f>
        <v>61865935.936999999</v>
      </c>
      <c r="Y6" s="49">
        <f t="shared" si="4"/>
        <v>52790947.343000002</v>
      </c>
      <c r="Z6" s="49">
        <f t="shared" ref="Z6:AA6" si="5">+Z7+Z25+Z40+Z54+Z65</f>
        <v>53720403.541000001</v>
      </c>
      <c r="AA6" s="49">
        <f t="shared" si="5"/>
        <v>53995573.766000003</v>
      </c>
      <c r="AB6" s="49">
        <f t="shared" ref="AB6:AC6" si="6">+AB7+AB25+AB40+AB54+AB65</f>
        <v>64215242.425000004</v>
      </c>
      <c r="AC6" s="49">
        <f t="shared" si="6"/>
        <v>64222686.039999999</v>
      </c>
      <c r="AD6" s="75">
        <f>('INSTRUCTION-2YR'!B6+'RESEARCH 2yr'!B6+'PUBLIC SERVICE 2yr'!B6+'ASptISptSSv 2yr'!B6+'PLANT OPER MAIN 2yr'!B6+'SCHOLAR FELLOW 2yr'!B6+'All Other 2yr'!B6)-B6</f>
        <v>0</v>
      </c>
      <c r="AE6" s="75">
        <f>('INSTRUCTION-2YR'!C6+'RESEARCH 2yr'!C6+'PUBLIC SERVICE 2yr'!C6+'ASptISptSSv 2yr'!C6+'PLANT OPER MAIN 2yr'!C6+'SCHOLAR FELLOW 2yr'!C6+'All Other 2yr'!C6)-C6</f>
        <v>0</v>
      </c>
      <c r="AF6" s="75">
        <f>('INSTRUCTION-2YR'!D6+'RESEARCH 2yr'!D6+'PUBLIC SERVICE 2yr'!D6+'ASptISptSSv 2yr'!D6+'PLANT OPER MAIN 2yr'!D6+'SCHOLAR FELLOW 2yr'!D6+'All Other 2yr'!D6)-D6</f>
        <v>0</v>
      </c>
      <c r="AG6" s="75">
        <f>('INSTRUCTION-2YR'!E6+'RESEARCH 2yr'!E6+'PUBLIC SERVICE 2yr'!E6+'ASptISptSSv 2yr'!E6+'PLANT OPER MAIN 2yr'!E6+'SCHOLAR FELLOW 2yr'!E6+'All Other 2yr'!E6)-E6</f>
        <v>-0.26999999769032001</v>
      </c>
      <c r="AH6" s="75">
        <f>('INSTRUCTION-2YR'!F6+'RESEARCH 2yr'!F6+'PUBLIC SERVICE 2yr'!F6+'ASptISptSSv 2yr'!F6+'PLANT OPER MAIN 2yr'!F6+'SCHOLAR FELLOW 2yr'!F6+'All Other 2yr'!F6)-F6</f>
        <v>0</v>
      </c>
      <c r="AI6" s="75">
        <f>('INSTRUCTION-2YR'!G6+'RESEARCH 2yr'!G6+'PUBLIC SERVICE 2yr'!G6+'ASptISptSSv 2yr'!G6+'PLANT OPER MAIN 2yr'!G6+'SCHOLAR FELLOW 2yr'!G6+'All Other 2yr'!G6)-G6</f>
        <v>34447.437999997288</v>
      </c>
      <c r="AJ6" s="75">
        <f>('INSTRUCTION-2YR'!H6+'RESEARCH 2yr'!H6+'PUBLIC SERVICE 2yr'!H6+'ASptISptSSv 2yr'!H6+'PLANT OPER MAIN 2yr'!H6+'SCHOLAR FELLOW 2yr'!H6+'All Other 2yr'!H6)-H6</f>
        <v>0</v>
      </c>
      <c r="AK6" s="75">
        <f>('INSTRUCTION-2YR'!I6+'RESEARCH 2yr'!I6+'PUBLIC SERVICE 2yr'!I6+'ASptISptSSv 2yr'!I6+'PLANT OPER MAIN 2yr'!I6+'SCHOLAR FELLOW 2yr'!I6+'All Other 2yr'!I6)-I6</f>
        <v>0</v>
      </c>
      <c r="AL6" s="75">
        <f>('INSTRUCTION-2YR'!J6+'RESEARCH 2yr'!J6+'PUBLIC SERVICE 2yr'!J6+'ASptISptSSv 2yr'!J6+'PLANT OPER MAIN 2yr'!J6+'SCHOLAR FELLOW 2yr'!J6+'All Other 2yr'!J6)-J6</f>
        <v>0</v>
      </c>
      <c r="AM6" s="75">
        <f>('INSTRUCTION-2YR'!K6+'RESEARCH 2yr'!K6+'PUBLIC SERVICE 2yr'!K6+'ASptISptSSv 2yr'!K6+'PLANT OPER MAIN 2yr'!K6+'SCHOLAR FELLOW 2yr'!K6+'All Other 2yr'!K6)-K6</f>
        <v>0</v>
      </c>
      <c r="AN6" s="75">
        <f>('INSTRUCTION-2YR'!L6+'RESEARCH 2yr'!L6+'PUBLIC SERVICE 2yr'!L6+'ASptISptSSv 2yr'!L6+'PLANT OPER MAIN 2yr'!L6+'SCHOLAR FELLOW 2yr'!L6+'All Other 2yr'!L6)-L6</f>
        <v>0</v>
      </c>
      <c r="AO6" s="75">
        <f>('INSTRUCTION-2YR'!M6+'RESEARCH 2yr'!M6+'PUBLIC SERVICE 2yr'!M6+'ASptISptSSv 2yr'!M6+'PLANT OPER MAIN 2yr'!M6+'SCHOLAR FELLOW 2yr'!M6+'All Other 2yr'!M6)-M6</f>
        <v>0</v>
      </c>
      <c r="AP6" s="75">
        <f>('INSTRUCTION-2YR'!N6+'RESEARCH 2yr'!N6+'PUBLIC SERVICE 2yr'!N6+'ASptISptSSv 2yr'!N6+'PLANT OPER MAIN 2yr'!N6+'SCHOLAR FELLOW 2yr'!N6+'All Other 2yr'!N6)-N6</f>
        <v>0</v>
      </c>
      <c r="AQ6" s="75">
        <f>('INSTRUCTION-2YR'!O6+'RESEARCH 2yr'!O6+'PUBLIC SERVICE 2yr'!O6+'ASptISptSSv 2yr'!O6+'PLANT OPER MAIN 2yr'!O6+'SCHOLAR FELLOW 2yr'!O6+'All Other 2yr'!O6)-O6</f>
        <v>0</v>
      </c>
      <c r="AR6" s="75">
        <f>('INSTRUCTION-2YR'!P6+'RESEARCH 2yr'!P6+'PUBLIC SERVICE 2yr'!P6+'ASptISptSSv 2yr'!P6+'PLANT OPER MAIN 2yr'!P6+'SCHOLAR FELLOW 2yr'!P6+'All Other 2yr'!P6)-P6</f>
        <v>0</v>
      </c>
      <c r="AS6" s="75">
        <f>('INSTRUCTION-2YR'!Q6+'RESEARCH 2yr'!Q6+'PUBLIC SERVICE 2yr'!Q6+'ASptISptSSv 2yr'!Q6+'PLANT OPER MAIN 2yr'!Q6+'SCHOLAR FELLOW 2yr'!Q6+'All Other 2yr'!Q6)-Q6</f>
        <v>0</v>
      </c>
      <c r="AT6" s="75">
        <f>('INSTRUCTION-2YR'!R6+'RESEARCH 2yr'!R6+'PUBLIC SERVICE 2yr'!R6+'ASptISptSSv 2yr'!R6+'PLANT OPER MAIN 2yr'!R6+'SCHOLAR FELLOW 2yr'!R6+'All Other 2yr'!R6)-R6</f>
        <v>0</v>
      </c>
      <c r="AU6" s="75">
        <f>('INSTRUCTION-2YR'!S6+'RESEARCH 2yr'!S6+'PUBLIC SERVICE 2yr'!S6+'ASptISptSSv 2yr'!S6+'PLANT OPER MAIN 2yr'!S6+'SCHOLAR FELLOW 2yr'!S6+'All Other 2yr'!S6)-S6</f>
        <v>0</v>
      </c>
      <c r="AV6" s="75">
        <f>('INSTRUCTION-2YR'!T6+'RESEARCH 2yr'!T6+'PUBLIC SERVICE 2yr'!T6+'ASptISptSSv 2yr'!T6+'PLANT OPER MAIN 2yr'!T6+'SCHOLAR FELLOW 2yr'!T6+'All Other 2yr'!T6)-T6</f>
        <v>0</v>
      </c>
      <c r="AW6" s="75">
        <f>('INSTRUCTION-2YR'!U6+'RESEARCH 2yr'!U6+'PUBLIC SERVICE 2yr'!U6+'ASptISptSSv 2yr'!U6+'PLANT OPER MAIN 2yr'!U6+'SCHOLAR FELLOW 2yr'!U6+'All Other 2yr'!U6)-U6</f>
        <v>0</v>
      </c>
      <c r="AX6" s="75">
        <f>('INSTRUCTION-2YR'!V6+'RESEARCH 2yr'!V6+'PUBLIC SERVICE 2yr'!V6+'ASptISptSSv 2yr'!V6+'PLANT OPER MAIN 2yr'!V6+'SCHOLAR FELLOW 2yr'!V6+'All Other 2yr'!V6)-V6</f>
        <v>0</v>
      </c>
      <c r="AY6" s="75">
        <f>('INSTRUCTION-2YR'!W6+'RESEARCH 2yr'!W6+'PUBLIC SERVICE 2yr'!W6+'ASptISptSSv 2yr'!W6+'PLANT OPER MAIN 2yr'!W6+'SCHOLAR FELLOW 2yr'!W6+'All Other 2yr'!W6)-W6</f>
        <v>0</v>
      </c>
      <c r="AZ6" s="75">
        <f>('INSTRUCTION-2YR'!X6+'RESEARCH 2yr'!X6+'PUBLIC SERVICE 2yr'!X6+'ASptISptSSv 2yr'!X6+'PLANT OPER MAIN 2yr'!X6+'SCHOLAR FELLOW 2yr'!X6+'All Other 2yr'!X6)-X6</f>
        <v>0</v>
      </c>
      <c r="BA6" s="75">
        <f>('INSTRUCTION-2YR'!Y6+'RESEARCH 2yr'!Y6+'PUBLIC SERVICE 2yr'!Y6+'ASptISptSSv 2yr'!Y6+'PLANT OPER MAIN 2yr'!Y6+'SCHOLAR FELLOW 2yr'!Y6+'All Other 2yr'!Y6)-Y6</f>
        <v>0</v>
      </c>
      <c r="BB6" s="75">
        <f>('INSTRUCTION-2YR'!Z6+'RESEARCH 2yr'!Z6+'PUBLIC SERVICE 2yr'!Z6+'ASptISptSSv 2yr'!Z6+'PLANT OPER MAIN 2yr'!Z6+'SCHOLAR FELLOW 2yr'!Z6+'All Other 2yr'!Z6)-Z6</f>
        <v>0</v>
      </c>
      <c r="BC6" s="75">
        <f>('INSTRUCTION-2YR'!AA6+'RESEARCH 2yr'!AA6+'PUBLIC SERVICE 2yr'!AA6+'ASptISptSSv 2yr'!AA6+'PLANT OPER MAIN 2yr'!AA6+'SCHOLAR FELLOW 2yr'!AA6+'All Other 2yr'!AA6)-AA6</f>
        <v>0</v>
      </c>
      <c r="BD6" s="75">
        <f>('INSTRUCTION-2YR'!AB6+'RESEARCH 2yr'!AB6+'PUBLIC SERVICE 2yr'!AB6+'ASptISptSSv 2yr'!AB6+'PLANT OPER MAIN 2yr'!AB6+'SCHOLAR FELLOW 2yr'!AB6+'All Other 2yr'!AB6)-AB6</f>
        <v>174700.68999999762</v>
      </c>
      <c r="BE6" s="75">
        <f>('INSTRUCTION-2YR'!AC6+'RESEARCH 2yr'!AC6+'PUBLIC SERVICE 2yr'!AC6+'ASptISptSSv 2yr'!AC6+'PLANT OPER MAIN 2yr'!AC6+'SCHOLAR FELLOW 2yr'!AC6+'All Other 2yr'!AC6)-AC6</f>
        <v>0</v>
      </c>
    </row>
    <row r="7" spans="1:57">
      <c r="A7" s="1" t="s">
        <v>56</v>
      </c>
      <c r="B7" s="48">
        <f>SUM(B8:B24)</f>
        <v>2704800</v>
      </c>
      <c r="C7" s="48">
        <f t="shared" ref="C7:U7" si="7">SUM(C8:C24)</f>
        <v>2975311</v>
      </c>
      <c r="D7" s="48">
        <f t="shared" si="7"/>
        <v>3211453</v>
      </c>
      <c r="E7" s="48">
        <f t="shared" si="7"/>
        <v>4968177.3829999994</v>
      </c>
      <c r="F7" s="48">
        <f t="shared" si="7"/>
        <v>5216975.4790000003</v>
      </c>
      <c r="G7" s="48">
        <f t="shared" si="7"/>
        <v>5766278.0020000003</v>
      </c>
      <c r="H7" s="48">
        <f t="shared" si="7"/>
        <v>6245675.1499999994</v>
      </c>
      <c r="I7" s="48">
        <f t="shared" si="7"/>
        <v>6444016.7089999998</v>
      </c>
      <c r="J7" s="48">
        <f t="shared" si="7"/>
        <v>6834089.2351000002</v>
      </c>
      <c r="K7" s="48">
        <f t="shared" si="7"/>
        <v>7224553.06965</v>
      </c>
      <c r="L7" s="48">
        <f t="shared" si="7"/>
        <v>9112481.4290000014</v>
      </c>
      <c r="M7" s="48">
        <f t="shared" si="7"/>
        <v>10225185.011</v>
      </c>
      <c r="N7" s="48">
        <f t="shared" si="7"/>
        <v>10701656.964</v>
      </c>
      <c r="O7" s="48">
        <f t="shared" si="7"/>
        <v>11043569.828</v>
      </c>
      <c r="P7" s="48">
        <f t="shared" si="7"/>
        <v>11518188.572000002</v>
      </c>
      <c r="Q7" s="48">
        <f t="shared" si="7"/>
        <v>12588881.856000001</v>
      </c>
      <c r="R7" s="48">
        <f t="shared" si="7"/>
        <v>13222327.601</v>
      </c>
      <c r="S7" s="48">
        <f t="shared" si="7"/>
        <v>14408507.211000001</v>
      </c>
      <c r="T7" s="48">
        <f t="shared" si="7"/>
        <v>15572513.372000003</v>
      </c>
      <c r="U7" s="48">
        <f t="shared" si="7"/>
        <v>16579671.682000004</v>
      </c>
      <c r="V7" s="48">
        <f t="shared" ref="V7:W7" si="8">SUM(V8:V24)</f>
        <v>20137418.838000003</v>
      </c>
      <c r="W7" s="48">
        <f t="shared" si="8"/>
        <v>21940042.247000001</v>
      </c>
      <c r="X7" s="48">
        <f t="shared" ref="X7:Y7" si="9">SUM(X8:X24)</f>
        <v>21844861.050999999</v>
      </c>
      <c r="Y7" s="48">
        <f t="shared" si="9"/>
        <v>20572220.140000001</v>
      </c>
      <c r="Z7" s="48">
        <f t="shared" ref="Z7:AA7" si="10">SUM(Z8:Z24)</f>
        <v>20761342.049999997</v>
      </c>
      <c r="AA7" s="48">
        <f t="shared" si="10"/>
        <v>20684121.181000002</v>
      </c>
      <c r="AB7" s="48">
        <f t="shared" ref="AB7:AC7" si="11">SUM(AB8:AB24)</f>
        <v>21774168.212000001</v>
      </c>
      <c r="AC7" s="48">
        <f t="shared" si="11"/>
        <v>20997922.155999999</v>
      </c>
      <c r="AD7" s="75">
        <f>('INSTRUCTION-2YR'!B7+'RESEARCH 2yr'!B7+'PUBLIC SERVICE 2yr'!B7+'ASptISptSSv 2yr'!B7+'PLANT OPER MAIN 2yr'!B7+'SCHOLAR FELLOW 2yr'!B7+'All Other 2yr'!B7)-B7</f>
        <v>0</v>
      </c>
      <c r="AE7" s="75">
        <f>('INSTRUCTION-2YR'!C7+'RESEARCH 2yr'!C7+'PUBLIC SERVICE 2yr'!C7+'ASptISptSSv 2yr'!C7+'PLANT OPER MAIN 2yr'!C7+'SCHOLAR FELLOW 2yr'!C7+'All Other 2yr'!C7)-C7</f>
        <v>0</v>
      </c>
      <c r="AF7" s="75">
        <f>('INSTRUCTION-2YR'!D7+'RESEARCH 2yr'!D7+'PUBLIC SERVICE 2yr'!D7+'ASptISptSSv 2yr'!D7+'PLANT OPER MAIN 2yr'!D7+'SCHOLAR FELLOW 2yr'!D7+'All Other 2yr'!D7)-D7</f>
        <v>0</v>
      </c>
      <c r="AG7" s="75">
        <f>('INSTRUCTION-2YR'!E7+'RESEARCH 2yr'!E7+'PUBLIC SERVICE 2yr'!E7+'ASptISptSSv 2yr'!E7+'PLANT OPER MAIN 2yr'!E7+'SCHOLAR FELLOW 2yr'!E7+'All Other 2yr'!E7)-E7</f>
        <v>0</v>
      </c>
      <c r="AH7" s="75">
        <f>('INSTRUCTION-2YR'!F7+'RESEARCH 2yr'!F7+'PUBLIC SERVICE 2yr'!F7+'ASptISptSSv 2yr'!F7+'PLANT OPER MAIN 2yr'!F7+'SCHOLAR FELLOW 2yr'!F7+'All Other 2yr'!F7)-F7</f>
        <v>0</v>
      </c>
      <c r="AI7" s="75">
        <f>('INSTRUCTION-2YR'!G7+'RESEARCH 2yr'!G7+'PUBLIC SERVICE 2yr'!G7+'ASptISptSSv 2yr'!G7+'PLANT OPER MAIN 2yr'!G7+'SCHOLAR FELLOW 2yr'!G7+'All Other 2yr'!G7)-G7</f>
        <v>0</v>
      </c>
      <c r="AJ7" s="75">
        <f>('INSTRUCTION-2YR'!H7+'RESEARCH 2yr'!H7+'PUBLIC SERVICE 2yr'!H7+'ASptISptSSv 2yr'!H7+'PLANT OPER MAIN 2yr'!H7+'SCHOLAR FELLOW 2yr'!H7+'All Other 2yr'!H7)-H7</f>
        <v>0</v>
      </c>
      <c r="AK7" s="75">
        <f>('INSTRUCTION-2YR'!I7+'RESEARCH 2yr'!I7+'PUBLIC SERVICE 2yr'!I7+'ASptISptSSv 2yr'!I7+'PLANT OPER MAIN 2yr'!I7+'SCHOLAR FELLOW 2yr'!I7+'All Other 2yr'!I7)-I7</f>
        <v>0</v>
      </c>
      <c r="AL7" s="75">
        <f>('INSTRUCTION-2YR'!J7+'RESEARCH 2yr'!J7+'PUBLIC SERVICE 2yr'!J7+'ASptISptSSv 2yr'!J7+'PLANT OPER MAIN 2yr'!J7+'SCHOLAR FELLOW 2yr'!J7+'All Other 2yr'!J7)-J7</f>
        <v>0</v>
      </c>
      <c r="AM7" s="75">
        <f>('INSTRUCTION-2YR'!K7+'RESEARCH 2yr'!K7+'PUBLIC SERVICE 2yr'!K7+'ASptISptSSv 2yr'!K7+'PLANT OPER MAIN 2yr'!K7+'SCHOLAR FELLOW 2yr'!K7+'All Other 2yr'!K7)-K7</f>
        <v>0</v>
      </c>
      <c r="AN7" s="75">
        <f>('INSTRUCTION-2YR'!L7+'RESEARCH 2yr'!L7+'PUBLIC SERVICE 2yr'!L7+'ASptISptSSv 2yr'!L7+'PLANT OPER MAIN 2yr'!L7+'SCHOLAR FELLOW 2yr'!L7+'All Other 2yr'!L7)-L7</f>
        <v>0</v>
      </c>
      <c r="AO7" s="75">
        <f>('INSTRUCTION-2YR'!M7+'RESEARCH 2yr'!M7+'PUBLIC SERVICE 2yr'!M7+'ASptISptSSv 2yr'!M7+'PLANT OPER MAIN 2yr'!M7+'SCHOLAR FELLOW 2yr'!M7+'All Other 2yr'!M7)-M7</f>
        <v>0</v>
      </c>
      <c r="AP7" s="75">
        <f>('INSTRUCTION-2YR'!N7+'RESEARCH 2yr'!N7+'PUBLIC SERVICE 2yr'!N7+'ASptISptSSv 2yr'!N7+'PLANT OPER MAIN 2yr'!N7+'SCHOLAR FELLOW 2yr'!N7+'All Other 2yr'!N7)-N7</f>
        <v>0</v>
      </c>
      <c r="AQ7" s="75">
        <f>('INSTRUCTION-2YR'!O7+'RESEARCH 2yr'!O7+'PUBLIC SERVICE 2yr'!O7+'ASptISptSSv 2yr'!O7+'PLANT OPER MAIN 2yr'!O7+'SCHOLAR FELLOW 2yr'!O7+'All Other 2yr'!O7)-O7</f>
        <v>0</v>
      </c>
      <c r="AR7" s="75">
        <f>('INSTRUCTION-2YR'!P7+'RESEARCH 2yr'!P7+'PUBLIC SERVICE 2yr'!P7+'ASptISptSSv 2yr'!P7+'PLANT OPER MAIN 2yr'!P7+'SCHOLAR FELLOW 2yr'!P7+'All Other 2yr'!P7)-P7</f>
        <v>0</v>
      </c>
      <c r="AS7" s="75">
        <f>('INSTRUCTION-2YR'!Q7+'RESEARCH 2yr'!Q7+'PUBLIC SERVICE 2yr'!Q7+'ASptISptSSv 2yr'!Q7+'PLANT OPER MAIN 2yr'!Q7+'SCHOLAR FELLOW 2yr'!Q7+'All Other 2yr'!Q7)-Q7</f>
        <v>0</v>
      </c>
      <c r="AT7" s="75">
        <f>('INSTRUCTION-2YR'!R7+'RESEARCH 2yr'!R7+'PUBLIC SERVICE 2yr'!R7+'ASptISptSSv 2yr'!R7+'PLANT OPER MAIN 2yr'!R7+'SCHOLAR FELLOW 2yr'!R7+'All Other 2yr'!R7)-R7</f>
        <v>0</v>
      </c>
      <c r="AU7" s="75">
        <f>('INSTRUCTION-2YR'!S7+'RESEARCH 2yr'!S7+'PUBLIC SERVICE 2yr'!S7+'ASptISptSSv 2yr'!S7+'PLANT OPER MAIN 2yr'!S7+'SCHOLAR FELLOW 2yr'!S7+'All Other 2yr'!S7)-S7</f>
        <v>0</v>
      </c>
      <c r="AV7" s="75">
        <f>('INSTRUCTION-2YR'!T7+'RESEARCH 2yr'!T7+'PUBLIC SERVICE 2yr'!T7+'ASptISptSSv 2yr'!T7+'PLANT OPER MAIN 2yr'!T7+'SCHOLAR FELLOW 2yr'!T7+'All Other 2yr'!T7)-T7</f>
        <v>0</v>
      </c>
      <c r="AW7" s="75">
        <f>('INSTRUCTION-2YR'!U7+'RESEARCH 2yr'!U7+'PUBLIC SERVICE 2yr'!U7+'ASptISptSSv 2yr'!U7+'PLANT OPER MAIN 2yr'!U7+'SCHOLAR FELLOW 2yr'!U7+'All Other 2yr'!U7)-U7</f>
        <v>0</v>
      </c>
      <c r="AX7" s="75">
        <f>('INSTRUCTION-2YR'!V7+'RESEARCH 2yr'!V7+'PUBLIC SERVICE 2yr'!V7+'ASptISptSSv 2yr'!V7+'PLANT OPER MAIN 2yr'!V7+'SCHOLAR FELLOW 2yr'!V7+'All Other 2yr'!V7)-V7</f>
        <v>0</v>
      </c>
      <c r="AY7" s="75">
        <f>('INSTRUCTION-2YR'!W7+'RESEARCH 2yr'!W7+'PUBLIC SERVICE 2yr'!W7+'ASptISptSSv 2yr'!W7+'PLANT OPER MAIN 2yr'!W7+'SCHOLAR FELLOW 2yr'!W7+'All Other 2yr'!W7)-W7</f>
        <v>0</v>
      </c>
      <c r="AZ7" s="75">
        <f>('INSTRUCTION-2YR'!X7+'RESEARCH 2yr'!X7+'PUBLIC SERVICE 2yr'!X7+'ASptISptSSv 2yr'!X7+'PLANT OPER MAIN 2yr'!X7+'SCHOLAR FELLOW 2yr'!X7+'All Other 2yr'!X7)-X7</f>
        <v>0</v>
      </c>
      <c r="BA7" s="75">
        <f>('INSTRUCTION-2YR'!Y7+'RESEARCH 2yr'!Y7+'PUBLIC SERVICE 2yr'!Y7+'ASptISptSSv 2yr'!Y7+'PLANT OPER MAIN 2yr'!Y7+'SCHOLAR FELLOW 2yr'!Y7+'All Other 2yr'!Y7)-Y7</f>
        <v>0</v>
      </c>
      <c r="BB7" s="75">
        <f>('INSTRUCTION-2YR'!Z7+'RESEARCH 2yr'!Z7+'PUBLIC SERVICE 2yr'!Z7+'ASptISptSSv 2yr'!Z7+'PLANT OPER MAIN 2yr'!Z7+'SCHOLAR FELLOW 2yr'!Z7+'All Other 2yr'!Z7)-Z7</f>
        <v>0</v>
      </c>
      <c r="BC7" s="75">
        <f>('INSTRUCTION-2YR'!AA7+'RESEARCH 2yr'!AA7+'PUBLIC SERVICE 2yr'!AA7+'ASptISptSSv 2yr'!AA7+'PLANT OPER MAIN 2yr'!AA7+'SCHOLAR FELLOW 2yr'!AA7+'All Other 2yr'!AA7)-AA7</f>
        <v>0</v>
      </c>
      <c r="BD7" s="75">
        <f>('INSTRUCTION-2YR'!AB7+'RESEARCH 2yr'!AB7+'PUBLIC SERVICE 2yr'!AB7+'ASptISptSSv 2yr'!AB7+'PLANT OPER MAIN 2yr'!AB7+'SCHOLAR FELLOW 2yr'!AB7+'All Other 2yr'!AB7)-AB7</f>
        <v>147830.73900000006</v>
      </c>
      <c r="BE7" s="75">
        <f>('INSTRUCTION-2YR'!AC7+'RESEARCH 2yr'!AC7+'PUBLIC SERVICE 2yr'!AC7+'ASptISptSSv 2yr'!AC7+'PLANT OPER MAIN 2yr'!AC7+'SCHOLAR FELLOW 2yr'!AC7+'All Other 2yr'!AC7)-AC7</f>
        <v>0</v>
      </c>
    </row>
    <row r="8" spans="1:57">
      <c r="A8" s="7" t="s">
        <v>119</v>
      </c>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row>
    <row r="9" spans="1:57">
      <c r="A9" s="1" t="s">
        <v>3</v>
      </c>
      <c r="B9" s="1">
        <v>107204</v>
      </c>
      <c r="C9" s="1">
        <v>154551</v>
      </c>
      <c r="D9" s="1">
        <v>178881</v>
      </c>
      <c r="E9" s="1">
        <v>263813.179</v>
      </c>
      <c r="F9" s="42">
        <v>287570.48499999999</v>
      </c>
      <c r="G9" s="1">
        <v>318759.65300000005</v>
      </c>
      <c r="H9" s="1">
        <v>351325.66600000003</v>
      </c>
      <c r="I9" s="1">
        <v>358545.08199999999</v>
      </c>
      <c r="J9" s="1">
        <v>374791.14400000003</v>
      </c>
      <c r="K9" s="1">
        <v>383583.29006000009</v>
      </c>
      <c r="L9" s="1">
        <v>441291.31599999999</v>
      </c>
      <c r="M9" s="1">
        <v>478029.652</v>
      </c>
      <c r="N9" s="1">
        <v>500021.44199999998</v>
      </c>
      <c r="O9" s="1">
        <v>545093.44400000002</v>
      </c>
      <c r="P9" s="1">
        <v>569184.86100000003</v>
      </c>
      <c r="Q9" s="1">
        <v>580713.26199999999</v>
      </c>
      <c r="R9" s="1">
        <v>622600.93700000003</v>
      </c>
      <c r="S9" s="1">
        <v>661858.41099999996</v>
      </c>
      <c r="T9" s="1">
        <v>732322.68400000001</v>
      </c>
      <c r="U9" s="1">
        <v>727244.94</v>
      </c>
      <c r="V9" s="1">
        <v>915797.679</v>
      </c>
      <c r="W9" s="1">
        <v>938382.74600000004</v>
      </c>
      <c r="X9" s="1">
        <v>881555.87800000003</v>
      </c>
      <c r="Y9" s="1">
        <v>819865.70299999998</v>
      </c>
      <c r="Z9" s="1">
        <v>811486.05900000001</v>
      </c>
      <c r="AA9" s="1">
        <v>796811.87600000005</v>
      </c>
      <c r="AB9" s="1">
        <v>824608.848</v>
      </c>
      <c r="AC9" s="1">
        <v>809987.29099999997</v>
      </c>
      <c r="AD9" s="75">
        <f>('INSTRUCTION-2YR'!B9+'RESEARCH 2yr'!B9+'PUBLIC SERVICE 2yr'!B9+'ASptISptSSv 2yr'!B9+'PLANT OPER MAIN 2yr'!B9+'SCHOLAR FELLOW 2yr'!B9+'All Other 2yr'!B9)-B9</f>
        <v>0</v>
      </c>
      <c r="AE9" s="75">
        <f>('INSTRUCTION-2YR'!C9+'RESEARCH 2yr'!C9+'PUBLIC SERVICE 2yr'!C9+'ASptISptSSv 2yr'!C9+'PLANT OPER MAIN 2yr'!C9+'SCHOLAR FELLOW 2yr'!C9+'All Other 2yr'!C9)-C9</f>
        <v>0</v>
      </c>
      <c r="AF9" s="75">
        <f>('INSTRUCTION-2YR'!D9+'RESEARCH 2yr'!D9+'PUBLIC SERVICE 2yr'!D9+'ASptISptSSv 2yr'!D9+'PLANT OPER MAIN 2yr'!D9+'SCHOLAR FELLOW 2yr'!D9+'All Other 2yr'!D9)-D9</f>
        <v>0</v>
      </c>
      <c r="AG9" s="75">
        <f>('INSTRUCTION-2YR'!E9+'RESEARCH 2yr'!E9+'PUBLIC SERVICE 2yr'!E9+'ASptISptSSv 2yr'!E9+'PLANT OPER MAIN 2yr'!E9+'SCHOLAR FELLOW 2yr'!E9+'All Other 2yr'!E9)-E9</f>
        <v>0</v>
      </c>
      <c r="AH9" s="75">
        <f>('INSTRUCTION-2YR'!F9+'RESEARCH 2yr'!F9+'PUBLIC SERVICE 2yr'!F9+'ASptISptSSv 2yr'!F9+'PLANT OPER MAIN 2yr'!F9+'SCHOLAR FELLOW 2yr'!F9+'All Other 2yr'!F9)-F9</f>
        <v>0</v>
      </c>
      <c r="AI9" s="75">
        <f>('INSTRUCTION-2YR'!G9+'RESEARCH 2yr'!G9+'PUBLIC SERVICE 2yr'!G9+'ASptISptSSv 2yr'!G9+'PLANT OPER MAIN 2yr'!G9+'SCHOLAR FELLOW 2yr'!G9+'All Other 2yr'!G9)-G9</f>
        <v>0</v>
      </c>
      <c r="AJ9" s="75">
        <f>('INSTRUCTION-2YR'!H9+'RESEARCH 2yr'!H9+'PUBLIC SERVICE 2yr'!H9+'ASptISptSSv 2yr'!H9+'PLANT OPER MAIN 2yr'!H9+'SCHOLAR FELLOW 2yr'!H9+'All Other 2yr'!H9)-H9</f>
        <v>0</v>
      </c>
      <c r="AK9" s="75">
        <f>('INSTRUCTION-2YR'!I9+'RESEARCH 2yr'!I9+'PUBLIC SERVICE 2yr'!I9+'ASptISptSSv 2yr'!I9+'PLANT OPER MAIN 2yr'!I9+'SCHOLAR FELLOW 2yr'!I9+'All Other 2yr'!I9)-I9</f>
        <v>0</v>
      </c>
      <c r="AL9" s="75">
        <f>('INSTRUCTION-2YR'!J9+'RESEARCH 2yr'!J9+'PUBLIC SERVICE 2yr'!J9+'ASptISptSSv 2yr'!J9+'PLANT OPER MAIN 2yr'!J9+'SCHOLAR FELLOW 2yr'!J9+'All Other 2yr'!J9)-J9</f>
        <v>0</v>
      </c>
      <c r="AM9" s="75">
        <f>('INSTRUCTION-2YR'!K9+'RESEARCH 2yr'!K9+'PUBLIC SERVICE 2yr'!K9+'ASptISptSSv 2yr'!K9+'PLANT OPER MAIN 2yr'!K9+'SCHOLAR FELLOW 2yr'!K9+'All Other 2yr'!K9)-K9</f>
        <v>0</v>
      </c>
      <c r="AN9" s="75">
        <f>('INSTRUCTION-2YR'!L9+'RESEARCH 2yr'!L9+'PUBLIC SERVICE 2yr'!L9+'ASptISptSSv 2yr'!L9+'PLANT OPER MAIN 2yr'!L9+'SCHOLAR FELLOW 2yr'!L9+'All Other 2yr'!L9)-L9</f>
        <v>0</v>
      </c>
      <c r="AO9" s="75">
        <f>('INSTRUCTION-2YR'!M9+'RESEARCH 2yr'!M9+'PUBLIC SERVICE 2yr'!M9+'ASptISptSSv 2yr'!M9+'PLANT OPER MAIN 2yr'!M9+'SCHOLAR FELLOW 2yr'!M9+'All Other 2yr'!M9)-M9</f>
        <v>0</v>
      </c>
      <c r="AP9" s="75">
        <f>('INSTRUCTION-2YR'!N9+'RESEARCH 2yr'!N9+'PUBLIC SERVICE 2yr'!N9+'ASptISptSSv 2yr'!N9+'PLANT OPER MAIN 2yr'!N9+'SCHOLAR FELLOW 2yr'!N9+'All Other 2yr'!N9)-N9</f>
        <v>0</v>
      </c>
      <c r="AQ9" s="75">
        <f>('INSTRUCTION-2YR'!O9+'RESEARCH 2yr'!O9+'PUBLIC SERVICE 2yr'!O9+'ASptISptSSv 2yr'!O9+'PLANT OPER MAIN 2yr'!O9+'SCHOLAR FELLOW 2yr'!O9+'All Other 2yr'!O9)-O9</f>
        <v>0</v>
      </c>
      <c r="AR9" s="75">
        <f>('INSTRUCTION-2YR'!P9+'RESEARCH 2yr'!P9+'PUBLIC SERVICE 2yr'!P9+'ASptISptSSv 2yr'!P9+'PLANT OPER MAIN 2yr'!P9+'SCHOLAR FELLOW 2yr'!P9+'All Other 2yr'!P9)-P9</f>
        <v>0</v>
      </c>
      <c r="AS9" s="75">
        <f>('INSTRUCTION-2YR'!Q9+'RESEARCH 2yr'!Q9+'PUBLIC SERVICE 2yr'!Q9+'ASptISptSSv 2yr'!Q9+'PLANT OPER MAIN 2yr'!Q9+'SCHOLAR FELLOW 2yr'!Q9+'All Other 2yr'!Q9)-Q9</f>
        <v>0</v>
      </c>
      <c r="AT9" s="75">
        <f>('INSTRUCTION-2YR'!R9+'RESEARCH 2yr'!R9+'PUBLIC SERVICE 2yr'!R9+'ASptISptSSv 2yr'!R9+'PLANT OPER MAIN 2yr'!R9+'SCHOLAR FELLOW 2yr'!R9+'All Other 2yr'!R9)-R9</f>
        <v>0</v>
      </c>
      <c r="AU9" s="75">
        <f>('INSTRUCTION-2YR'!S9+'RESEARCH 2yr'!S9+'PUBLIC SERVICE 2yr'!S9+'ASptISptSSv 2yr'!S9+'PLANT OPER MAIN 2yr'!S9+'SCHOLAR FELLOW 2yr'!S9+'All Other 2yr'!S9)-S9</f>
        <v>0</v>
      </c>
      <c r="AV9" s="75">
        <f>('INSTRUCTION-2YR'!T9+'RESEARCH 2yr'!T9+'PUBLIC SERVICE 2yr'!T9+'ASptISptSSv 2yr'!T9+'PLANT OPER MAIN 2yr'!T9+'SCHOLAR FELLOW 2yr'!T9+'All Other 2yr'!T9)-T9</f>
        <v>0</v>
      </c>
      <c r="AW9" s="75">
        <f>('INSTRUCTION-2YR'!U9+'RESEARCH 2yr'!U9+'PUBLIC SERVICE 2yr'!U9+'ASptISptSSv 2yr'!U9+'PLANT OPER MAIN 2yr'!U9+'SCHOLAR FELLOW 2yr'!U9+'All Other 2yr'!U9)-U9</f>
        <v>0</v>
      </c>
      <c r="AX9" s="75">
        <f>('INSTRUCTION-2YR'!V9+'RESEARCH 2yr'!V9+'PUBLIC SERVICE 2yr'!V9+'ASptISptSSv 2yr'!V9+'PLANT OPER MAIN 2yr'!V9+'SCHOLAR FELLOW 2yr'!V9+'All Other 2yr'!V9)-V9</f>
        <v>0</v>
      </c>
      <c r="AY9" s="75">
        <f>('INSTRUCTION-2YR'!W9+'RESEARCH 2yr'!W9+'PUBLIC SERVICE 2yr'!W9+'ASptISptSSv 2yr'!W9+'PLANT OPER MAIN 2yr'!W9+'SCHOLAR FELLOW 2yr'!W9+'All Other 2yr'!W9)-W9</f>
        <v>0</v>
      </c>
      <c r="AZ9" s="75">
        <f>('INSTRUCTION-2YR'!X9+'RESEARCH 2yr'!X9+'PUBLIC SERVICE 2yr'!X9+'ASptISptSSv 2yr'!X9+'PLANT OPER MAIN 2yr'!X9+'SCHOLAR FELLOW 2yr'!X9+'All Other 2yr'!X9)-X9</f>
        <v>0</v>
      </c>
      <c r="BA9" s="75">
        <f>('INSTRUCTION-2YR'!Y9+'RESEARCH 2yr'!Y9+'PUBLIC SERVICE 2yr'!Y9+'ASptISptSSv 2yr'!Y9+'PLANT OPER MAIN 2yr'!Y9+'SCHOLAR FELLOW 2yr'!Y9+'All Other 2yr'!Y9)-Y9</f>
        <v>0</v>
      </c>
      <c r="BB9" s="75">
        <f>('INSTRUCTION-2YR'!Z9+'RESEARCH 2yr'!Z9+'PUBLIC SERVICE 2yr'!Z9+'ASptISptSSv 2yr'!Z9+'PLANT OPER MAIN 2yr'!Z9+'SCHOLAR FELLOW 2yr'!Z9+'All Other 2yr'!Z9)-Z9</f>
        <v>0</v>
      </c>
      <c r="BC9" s="75">
        <f>('INSTRUCTION-2YR'!AA9+'RESEARCH 2yr'!AA9+'PUBLIC SERVICE 2yr'!AA9+'ASptISptSSv 2yr'!AA9+'PLANT OPER MAIN 2yr'!AA9+'SCHOLAR FELLOW 2yr'!AA9+'All Other 2yr'!AA9)-AA9</f>
        <v>0</v>
      </c>
      <c r="BD9" s="75">
        <f>('INSTRUCTION-2YR'!AB9+'RESEARCH 2yr'!AB9+'PUBLIC SERVICE 2yr'!AB9+'ASptISptSSv 2yr'!AB9+'PLANT OPER MAIN 2yr'!AB9+'SCHOLAR FELLOW 2yr'!AB9+'All Other 2yr'!AB9)-AB9</f>
        <v>0</v>
      </c>
      <c r="BE9" s="75">
        <f>('INSTRUCTION-2YR'!AC9+'RESEARCH 2yr'!AC9+'PUBLIC SERVICE 2yr'!AC9+'ASptISptSSv 2yr'!AC9+'PLANT OPER MAIN 2yr'!AC9+'SCHOLAR FELLOW 2yr'!AC9+'All Other 2yr'!AC9)-AC9</f>
        <v>0</v>
      </c>
    </row>
    <row r="10" spans="1:57">
      <c r="A10" s="1" t="s">
        <v>4</v>
      </c>
      <c r="B10" s="1">
        <v>31071</v>
      </c>
      <c r="C10" s="1">
        <v>36911</v>
      </c>
      <c r="D10" s="1">
        <v>39446</v>
      </c>
      <c r="E10" s="1">
        <v>58890.580999999998</v>
      </c>
      <c r="F10" s="42">
        <v>67148.671000000002</v>
      </c>
      <c r="G10" s="1">
        <v>82405.843000000008</v>
      </c>
      <c r="H10" s="1">
        <v>90251.467999999993</v>
      </c>
      <c r="I10" s="1">
        <v>99772.172000000006</v>
      </c>
      <c r="J10" s="1">
        <v>144281.31599999999</v>
      </c>
      <c r="K10" s="1">
        <v>136457.02900000001</v>
      </c>
      <c r="L10" s="1">
        <v>200873.49500000005</v>
      </c>
      <c r="M10" s="1">
        <v>221818.32399999999</v>
      </c>
      <c r="N10" s="1">
        <v>266982.89500000002</v>
      </c>
      <c r="O10" s="1">
        <v>268232.19099999999</v>
      </c>
      <c r="P10" s="1">
        <v>304814.21000000002</v>
      </c>
      <c r="Q10" s="1">
        <v>321185.011</v>
      </c>
      <c r="R10" s="1">
        <v>341944.39899999998</v>
      </c>
      <c r="S10" s="1">
        <v>423091.02100000001</v>
      </c>
      <c r="T10" s="1">
        <v>473345.277</v>
      </c>
      <c r="U10" s="1">
        <v>444596.68599999999</v>
      </c>
      <c r="V10" s="1">
        <v>516657.95799999998</v>
      </c>
      <c r="W10" s="1">
        <v>584237.03099999996</v>
      </c>
      <c r="X10" s="1">
        <v>584831.81799999997</v>
      </c>
      <c r="Y10" s="1">
        <v>569240.951</v>
      </c>
      <c r="Z10" s="1">
        <v>565387.152</v>
      </c>
      <c r="AA10" s="1">
        <v>540157.85499999998</v>
      </c>
      <c r="AB10" s="1">
        <v>519879.37099999998</v>
      </c>
      <c r="AC10" s="1">
        <v>516888.21799999999</v>
      </c>
      <c r="AD10" s="75">
        <f>('INSTRUCTION-2YR'!B10+'RESEARCH 2yr'!B10+'PUBLIC SERVICE 2yr'!B10+'ASptISptSSv 2yr'!B10+'PLANT OPER MAIN 2yr'!B10+'SCHOLAR FELLOW 2yr'!B10+'All Other 2yr'!B10)-B10</f>
        <v>0</v>
      </c>
      <c r="AE10" s="75">
        <f>('INSTRUCTION-2YR'!C10+'RESEARCH 2yr'!C10+'PUBLIC SERVICE 2yr'!C10+'ASptISptSSv 2yr'!C10+'PLANT OPER MAIN 2yr'!C10+'SCHOLAR FELLOW 2yr'!C10+'All Other 2yr'!C10)-C10</f>
        <v>0</v>
      </c>
      <c r="AF10" s="75">
        <f>('INSTRUCTION-2YR'!D10+'RESEARCH 2yr'!D10+'PUBLIC SERVICE 2yr'!D10+'ASptISptSSv 2yr'!D10+'PLANT OPER MAIN 2yr'!D10+'SCHOLAR FELLOW 2yr'!D10+'All Other 2yr'!D10)-D10</f>
        <v>0</v>
      </c>
      <c r="AG10" s="75">
        <f>('INSTRUCTION-2YR'!E10+'RESEARCH 2yr'!E10+'PUBLIC SERVICE 2yr'!E10+'ASptISptSSv 2yr'!E10+'PLANT OPER MAIN 2yr'!E10+'SCHOLAR FELLOW 2yr'!E10+'All Other 2yr'!E10)-E10</f>
        <v>0</v>
      </c>
      <c r="AH10" s="75">
        <f>('INSTRUCTION-2YR'!F10+'RESEARCH 2yr'!F10+'PUBLIC SERVICE 2yr'!F10+'ASptISptSSv 2yr'!F10+'PLANT OPER MAIN 2yr'!F10+'SCHOLAR FELLOW 2yr'!F10+'All Other 2yr'!F10)-F10</f>
        <v>0</v>
      </c>
      <c r="AI10" s="75">
        <f>('INSTRUCTION-2YR'!G10+'RESEARCH 2yr'!G10+'PUBLIC SERVICE 2yr'!G10+'ASptISptSSv 2yr'!G10+'PLANT OPER MAIN 2yr'!G10+'SCHOLAR FELLOW 2yr'!G10+'All Other 2yr'!G10)-G10</f>
        <v>0</v>
      </c>
      <c r="AJ10" s="75">
        <f>('INSTRUCTION-2YR'!H10+'RESEARCH 2yr'!H10+'PUBLIC SERVICE 2yr'!H10+'ASptISptSSv 2yr'!H10+'PLANT OPER MAIN 2yr'!H10+'SCHOLAR FELLOW 2yr'!H10+'All Other 2yr'!H10)-H10</f>
        <v>0</v>
      </c>
      <c r="AK10" s="75">
        <f>('INSTRUCTION-2YR'!I10+'RESEARCH 2yr'!I10+'PUBLIC SERVICE 2yr'!I10+'ASptISptSSv 2yr'!I10+'PLANT OPER MAIN 2yr'!I10+'SCHOLAR FELLOW 2yr'!I10+'All Other 2yr'!I10)-I10</f>
        <v>0</v>
      </c>
      <c r="AL10" s="75">
        <f>('INSTRUCTION-2YR'!J10+'RESEARCH 2yr'!J10+'PUBLIC SERVICE 2yr'!J10+'ASptISptSSv 2yr'!J10+'PLANT OPER MAIN 2yr'!J10+'SCHOLAR FELLOW 2yr'!J10+'All Other 2yr'!J10)-J10</f>
        <v>0</v>
      </c>
      <c r="AM10" s="75">
        <f>('INSTRUCTION-2YR'!K10+'RESEARCH 2yr'!K10+'PUBLIC SERVICE 2yr'!K10+'ASptISptSSv 2yr'!K10+'PLANT OPER MAIN 2yr'!K10+'SCHOLAR FELLOW 2yr'!K10+'All Other 2yr'!K10)-K10</f>
        <v>0</v>
      </c>
      <c r="AN10" s="75">
        <f>('INSTRUCTION-2YR'!L10+'RESEARCH 2yr'!L10+'PUBLIC SERVICE 2yr'!L10+'ASptISptSSv 2yr'!L10+'PLANT OPER MAIN 2yr'!L10+'SCHOLAR FELLOW 2yr'!L10+'All Other 2yr'!L10)-L10</f>
        <v>0</v>
      </c>
      <c r="AO10" s="75">
        <f>('INSTRUCTION-2YR'!M10+'RESEARCH 2yr'!M10+'PUBLIC SERVICE 2yr'!M10+'ASptISptSSv 2yr'!M10+'PLANT OPER MAIN 2yr'!M10+'SCHOLAR FELLOW 2yr'!M10+'All Other 2yr'!M10)-M10</f>
        <v>0</v>
      </c>
      <c r="AP10" s="75">
        <f>('INSTRUCTION-2YR'!N10+'RESEARCH 2yr'!N10+'PUBLIC SERVICE 2yr'!N10+'ASptISptSSv 2yr'!N10+'PLANT OPER MAIN 2yr'!N10+'SCHOLAR FELLOW 2yr'!N10+'All Other 2yr'!N10)-N10</f>
        <v>0</v>
      </c>
      <c r="AQ10" s="75">
        <f>('INSTRUCTION-2YR'!O10+'RESEARCH 2yr'!O10+'PUBLIC SERVICE 2yr'!O10+'ASptISptSSv 2yr'!O10+'PLANT OPER MAIN 2yr'!O10+'SCHOLAR FELLOW 2yr'!O10+'All Other 2yr'!O10)-O10</f>
        <v>0</v>
      </c>
      <c r="AR10" s="75">
        <f>('INSTRUCTION-2YR'!P10+'RESEARCH 2yr'!P10+'PUBLIC SERVICE 2yr'!P10+'ASptISptSSv 2yr'!P10+'PLANT OPER MAIN 2yr'!P10+'SCHOLAR FELLOW 2yr'!P10+'All Other 2yr'!P10)-P10</f>
        <v>0</v>
      </c>
      <c r="AS10" s="75">
        <f>('INSTRUCTION-2YR'!Q10+'RESEARCH 2yr'!Q10+'PUBLIC SERVICE 2yr'!Q10+'ASptISptSSv 2yr'!Q10+'PLANT OPER MAIN 2yr'!Q10+'SCHOLAR FELLOW 2yr'!Q10+'All Other 2yr'!Q10)-Q10</f>
        <v>0</v>
      </c>
      <c r="AT10" s="75">
        <f>('INSTRUCTION-2YR'!R10+'RESEARCH 2yr'!R10+'PUBLIC SERVICE 2yr'!R10+'ASptISptSSv 2yr'!R10+'PLANT OPER MAIN 2yr'!R10+'SCHOLAR FELLOW 2yr'!R10+'All Other 2yr'!R10)-R10</f>
        <v>0</v>
      </c>
      <c r="AU10" s="75">
        <f>('INSTRUCTION-2YR'!S10+'RESEARCH 2yr'!S10+'PUBLIC SERVICE 2yr'!S10+'ASptISptSSv 2yr'!S10+'PLANT OPER MAIN 2yr'!S10+'SCHOLAR FELLOW 2yr'!S10+'All Other 2yr'!S10)-S10</f>
        <v>0</v>
      </c>
      <c r="AV10" s="75">
        <f>('INSTRUCTION-2YR'!T10+'RESEARCH 2yr'!T10+'PUBLIC SERVICE 2yr'!T10+'ASptISptSSv 2yr'!T10+'PLANT OPER MAIN 2yr'!T10+'SCHOLAR FELLOW 2yr'!T10+'All Other 2yr'!T10)-T10</f>
        <v>0</v>
      </c>
      <c r="AW10" s="75">
        <f>('INSTRUCTION-2YR'!U10+'RESEARCH 2yr'!U10+'PUBLIC SERVICE 2yr'!U10+'ASptISptSSv 2yr'!U10+'PLANT OPER MAIN 2yr'!U10+'SCHOLAR FELLOW 2yr'!U10+'All Other 2yr'!U10)-U10</f>
        <v>0</v>
      </c>
      <c r="AX10" s="75">
        <f>('INSTRUCTION-2YR'!V10+'RESEARCH 2yr'!V10+'PUBLIC SERVICE 2yr'!V10+'ASptISptSSv 2yr'!V10+'PLANT OPER MAIN 2yr'!V10+'SCHOLAR FELLOW 2yr'!V10+'All Other 2yr'!V10)-V10</f>
        <v>0</v>
      </c>
      <c r="AY10" s="75">
        <f>('INSTRUCTION-2YR'!W10+'RESEARCH 2yr'!W10+'PUBLIC SERVICE 2yr'!W10+'ASptISptSSv 2yr'!W10+'PLANT OPER MAIN 2yr'!W10+'SCHOLAR FELLOW 2yr'!W10+'All Other 2yr'!W10)-W10</f>
        <v>0</v>
      </c>
      <c r="AZ10" s="75">
        <f>('INSTRUCTION-2YR'!X10+'RESEARCH 2yr'!X10+'PUBLIC SERVICE 2yr'!X10+'ASptISptSSv 2yr'!X10+'PLANT OPER MAIN 2yr'!X10+'SCHOLAR FELLOW 2yr'!X10+'All Other 2yr'!X10)-X10</f>
        <v>0</v>
      </c>
      <c r="BA10" s="75">
        <f>('INSTRUCTION-2YR'!Y10+'RESEARCH 2yr'!Y10+'PUBLIC SERVICE 2yr'!Y10+'ASptISptSSv 2yr'!Y10+'PLANT OPER MAIN 2yr'!Y10+'SCHOLAR FELLOW 2yr'!Y10+'All Other 2yr'!Y10)-Y10</f>
        <v>0</v>
      </c>
      <c r="BB10" s="75">
        <f>('INSTRUCTION-2YR'!Z10+'RESEARCH 2yr'!Z10+'PUBLIC SERVICE 2yr'!Z10+'ASptISptSSv 2yr'!Z10+'PLANT OPER MAIN 2yr'!Z10+'SCHOLAR FELLOW 2yr'!Z10+'All Other 2yr'!Z10)-Z10</f>
        <v>0</v>
      </c>
      <c r="BC10" s="75">
        <f>('INSTRUCTION-2YR'!AA10+'RESEARCH 2yr'!AA10+'PUBLIC SERVICE 2yr'!AA10+'ASptISptSSv 2yr'!AA10+'PLANT OPER MAIN 2yr'!AA10+'SCHOLAR FELLOW 2yr'!AA10+'All Other 2yr'!AA10)-AA10</f>
        <v>0</v>
      </c>
      <c r="BD10" s="75">
        <f>('INSTRUCTION-2YR'!AB10+'RESEARCH 2yr'!AB10+'PUBLIC SERVICE 2yr'!AB10+'ASptISptSSv 2yr'!AB10+'PLANT OPER MAIN 2yr'!AB10+'SCHOLAR FELLOW 2yr'!AB10+'All Other 2yr'!AB10)-AB10</f>
        <v>0</v>
      </c>
      <c r="BE10" s="75">
        <f>('INSTRUCTION-2YR'!AC10+'RESEARCH 2yr'!AC10+'PUBLIC SERVICE 2yr'!AC10+'ASptISptSSv 2yr'!AC10+'PLANT OPER MAIN 2yr'!AC10+'SCHOLAR FELLOW 2yr'!AC10+'All Other 2yr'!AC10)-AC10</f>
        <v>0</v>
      </c>
    </row>
    <row r="11" spans="1:57">
      <c r="A11" s="1" t="s">
        <v>52</v>
      </c>
      <c r="B11" s="1">
        <v>0</v>
      </c>
      <c r="C11" s="1">
        <v>0</v>
      </c>
      <c r="D11" s="1">
        <v>23734</v>
      </c>
      <c r="E11" s="1">
        <v>46956.055</v>
      </c>
      <c r="F11" s="42">
        <v>56203.652999999998</v>
      </c>
      <c r="G11" s="1">
        <v>0</v>
      </c>
      <c r="I11" s="1">
        <v>60935.749000000003</v>
      </c>
      <c r="J11" s="1">
        <v>68486.539999999994</v>
      </c>
      <c r="K11" s="1">
        <v>75083.567999999999</v>
      </c>
      <c r="L11" s="1">
        <v>81041.463999999993</v>
      </c>
      <c r="M11" s="1">
        <v>85989.555999999997</v>
      </c>
      <c r="N11" s="1">
        <v>87222.962</v>
      </c>
      <c r="O11" s="1">
        <v>91890.752999999997</v>
      </c>
      <c r="P11" s="1">
        <v>92469.815000000002</v>
      </c>
      <c r="Q11" s="1">
        <v>99784.84</v>
      </c>
      <c r="R11" s="1">
        <v>107363.92200000001</v>
      </c>
      <c r="S11" s="1">
        <v>112037.696</v>
      </c>
      <c r="T11" s="1">
        <v>119470.11</v>
      </c>
      <c r="U11" s="1">
        <v>122234.717</v>
      </c>
      <c r="V11" s="1">
        <v>129977.052</v>
      </c>
      <c r="W11" s="1">
        <v>149016.864</v>
      </c>
      <c r="X11" s="1">
        <v>155520.625</v>
      </c>
      <c r="Y11" s="1">
        <v>156848.46</v>
      </c>
      <c r="Z11" s="1">
        <v>163789.15900000001</v>
      </c>
      <c r="AA11" s="1">
        <v>158278.86600000001</v>
      </c>
      <c r="AB11" s="1">
        <v>163706.18400000001</v>
      </c>
      <c r="AC11" s="1">
        <v>161533.864</v>
      </c>
      <c r="AD11" s="75">
        <f>('INSTRUCTION-2YR'!B11+'RESEARCH 2yr'!B11+'PUBLIC SERVICE 2yr'!B11+'ASptISptSSv 2yr'!B11+'PLANT OPER MAIN 2yr'!B11+'SCHOLAR FELLOW 2yr'!B11+'All Other 2yr'!B11)-B11</f>
        <v>0</v>
      </c>
      <c r="AE11" s="75">
        <f>('INSTRUCTION-2YR'!C11+'RESEARCH 2yr'!C11+'PUBLIC SERVICE 2yr'!C11+'ASptISptSSv 2yr'!C11+'PLANT OPER MAIN 2yr'!C11+'SCHOLAR FELLOW 2yr'!C11+'All Other 2yr'!C11)-C11</f>
        <v>0</v>
      </c>
      <c r="AF11" s="75">
        <f>('INSTRUCTION-2YR'!D11+'RESEARCH 2yr'!D11+'PUBLIC SERVICE 2yr'!D11+'ASptISptSSv 2yr'!D11+'PLANT OPER MAIN 2yr'!D11+'SCHOLAR FELLOW 2yr'!D11+'All Other 2yr'!D11)-D11</f>
        <v>0</v>
      </c>
      <c r="AG11" s="75">
        <f>('INSTRUCTION-2YR'!E11+'RESEARCH 2yr'!E11+'PUBLIC SERVICE 2yr'!E11+'ASptISptSSv 2yr'!E11+'PLANT OPER MAIN 2yr'!E11+'SCHOLAR FELLOW 2yr'!E11+'All Other 2yr'!E11)-E11</f>
        <v>0</v>
      </c>
      <c r="AH11" s="75">
        <f>('INSTRUCTION-2YR'!F11+'RESEARCH 2yr'!F11+'PUBLIC SERVICE 2yr'!F11+'ASptISptSSv 2yr'!F11+'PLANT OPER MAIN 2yr'!F11+'SCHOLAR FELLOW 2yr'!F11+'All Other 2yr'!F11)-F11</f>
        <v>0</v>
      </c>
      <c r="AI11" s="75">
        <f>('INSTRUCTION-2YR'!G11+'RESEARCH 2yr'!G11+'PUBLIC SERVICE 2yr'!G11+'ASptISptSSv 2yr'!G11+'PLANT OPER MAIN 2yr'!G11+'SCHOLAR FELLOW 2yr'!G11+'All Other 2yr'!G11)-G11</f>
        <v>0</v>
      </c>
      <c r="AJ11" s="75">
        <f>('INSTRUCTION-2YR'!H11+'RESEARCH 2yr'!H11+'PUBLIC SERVICE 2yr'!H11+'ASptISptSSv 2yr'!H11+'PLANT OPER MAIN 2yr'!H11+'SCHOLAR FELLOW 2yr'!H11+'All Other 2yr'!H11)-H11</f>
        <v>0</v>
      </c>
      <c r="AK11" s="75">
        <f>('INSTRUCTION-2YR'!I11+'RESEARCH 2yr'!I11+'PUBLIC SERVICE 2yr'!I11+'ASptISptSSv 2yr'!I11+'PLANT OPER MAIN 2yr'!I11+'SCHOLAR FELLOW 2yr'!I11+'All Other 2yr'!I11)-I11</f>
        <v>0</v>
      </c>
      <c r="AL11" s="75">
        <f>('INSTRUCTION-2YR'!J11+'RESEARCH 2yr'!J11+'PUBLIC SERVICE 2yr'!J11+'ASptISptSSv 2yr'!J11+'PLANT OPER MAIN 2yr'!J11+'SCHOLAR FELLOW 2yr'!J11+'All Other 2yr'!J11)-J11</f>
        <v>0</v>
      </c>
      <c r="AM11" s="75">
        <f>('INSTRUCTION-2YR'!K11+'RESEARCH 2yr'!K11+'PUBLIC SERVICE 2yr'!K11+'ASptISptSSv 2yr'!K11+'PLANT OPER MAIN 2yr'!K11+'SCHOLAR FELLOW 2yr'!K11+'All Other 2yr'!K11)-K11</f>
        <v>0</v>
      </c>
      <c r="AN11" s="75">
        <f>('INSTRUCTION-2YR'!L11+'RESEARCH 2yr'!L11+'PUBLIC SERVICE 2yr'!L11+'ASptISptSSv 2yr'!L11+'PLANT OPER MAIN 2yr'!L11+'SCHOLAR FELLOW 2yr'!L11+'All Other 2yr'!L11)-L11</f>
        <v>0</v>
      </c>
      <c r="AO11" s="75">
        <f>('INSTRUCTION-2YR'!M11+'RESEARCH 2yr'!M11+'PUBLIC SERVICE 2yr'!M11+'ASptISptSSv 2yr'!M11+'PLANT OPER MAIN 2yr'!M11+'SCHOLAR FELLOW 2yr'!M11+'All Other 2yr'!M11)-M11</f>
        <v>0</v>
      </c>
      <c r="AP11" s="75">
        <f>('INSTRUCTION-2YR'!N11+'RESEARCH 2yr'!N11+'PUBLIC SERVICE 2yr'!N11+'ASptISptSSv 2yr'!N11+'PLANT OPER MAIN 2yr'!N11+'SCHOLAR FELLOW 2yr'!N11+'All Other 2yr'!N11)-N11</f>
        <v>0</v>
      </c>
      <c r="AQ11" s="75">
        <f>('INSTRUCTION-2YR'!O11+'RESEARCH 2yr'!O11+'PUBLIC SERVICE 2yr'!O11+'ASptISptSSv 2yr'!O11+'PLANT OPER MAIN 2yr'!O11+'SCHOLAR FELLOW 2yr'!O11+'All Other 2yr'!O11)-O11</f>
        <v>0</v>
      </c>
      <c r="AR11" s="75">
        <f>('INSTRUCTION-2YR'!P11+'RESEARCH 2yr'!P11+'PUBLIC SERVICE 2yr'!P11+'ASptISptSSv 2yr'!P11+'PLANT OPER MAIN 2yr'!P11+'SCHOLAR FELLOW 2yr'!P11+'All Other 2yr'!P11)-P11</f>
        <v>0</v>
      </c>
      <c r="AS11" s="75">
        <f>('INSTRUCTION-2YR'!Q11+'RESEARCH 2yr'!Q11+'PUBLIC SERVICE 2yr'!Q11+'ASptISptSSv 2yr'!Q11+'PLANT OPER MAIN 2yr'!Q11+'SCHOLAR FELLOW 2yr'!Q11+'All Other 2yr'!Q11)-Q11</f>
        <v>0</v>
      </c>
      <c r="AT11" s="75">
        <f>('INSTRUCTION-2YR'!R11+'RESEARCH 2yr'!R11+'PUBLIC SERVICE 2yr'!R11+'ASptISptSSv 2yr'!R11+'PLANT OPER MAIN 2yr'!R11+'SCHOLAR FELLOW 2yr'!R11+'All Other 2yr'!R11)-R11</f>
        <v>0</v>
      </c>
      <c r="AU11" s="75">
        <f>('INSTRUCTION-2YR'!S11+'RESEARCH 2yr'!S11+'PUBLIC SERVICE 2yr'!S11+'ASptISptSSv 2yr'!S11+'PLANT OPER MAIN 2yr'!S11+'SCHOLAR FELLOW 2yr'!S11+'All Other 2yr'!S11)-S11</f>
        <v>0</v>
      </c>
      <c r="AV11" s="75">
        <f>('INSTRUCTION-2YR'!T11+'RESEARCH 2yr'!T11+'PUBLIC SERVICE 2yr'!T11+'ASptISptSSv 2yr'!T11+'PLANT OPER MAIN 2yr'!T11+'SCHOLAR FELLOW 2yr'!T11+'All Other 2yr'!T11)-T11</f>
        <v>0</v>
      </c>
      <c r="AW11" s="75">
        <f>('INSTRUCTION-2YR'!U11+'RESEARCH 2yr'!U11+'PUBLIC SERVICE 2yr'!U11+'ASptISptSSv 2yr'!U11+'PLANT OPER MAIN 2yr'!U11+'SCHOLAR FELLOW 2yr'!U11+'All Other 2yr'!U11)-U11</f>
        <v>0</v>
      </c>
      <c r="AX11" s="75">
        <f>('INSTRUCTION-2YR'!V11+'RESEARCH 2yr'!V11+'PUBLIC SERVICE 2yr'!V11+'ASptISptSSv 2yr'!V11+'PLANT OPER MAIN 2yr'!V11+'SCHOLAR FELLOW 2yr'!V11+'All Other 2yr'!V11)-V11</f>
        <v>0</v>
      </c>
      <c r="AY11" s="75">
        <f>('INSTRUCTION-2YR'!W11+'RESEARCH 2yr'!W11+'PUBLIC SERVICE 2yr'!W11+'ASptISptSSv 2yr'!W11+'PLANT OPER MAIN 2yr'!W11+'SCHOLAR FELLOW 2yr'!W11+'All Other 2yr'!W11)-W11</f>
        <v>0</v>
      </c>
      <c r="AZ11" s="75">
        <f>('INSTRUCTION-2YR'!X11+'RESEARCH 2yr'!X11+'PUBLIC SERVICE 2yr'!X11+'ASptISptSSv 2yr'!X11+'PLANT OPER MAIN 2yr'!X11+'SCHOLAR FELLOW 2yr'!X11+'All Other 2yr'!X11)-X11</f>
        <v>0</v>
      </c>
      <c r="BA11" s="75">
        <f>('INSTRUCTION-2YR'!Y11+'RESEARCH 2yr'!Y11+'PUBLIC SERVICE 2yr'!Y11+'ASptISptSSv 2yr'!Y11+'PLANT OPER MAIN 2yr'!Y11+'SCHOLAR FELLOW 2yr'!Y11+'All Other 2yr'!Y11)-Y11</f>
        <v>0</v>
      </c>
      <c r="BB11" s="75">
        <f>('INSTRUCTION-2YR'!Z11+'RESEARCH 2yr'!Z11+'PUBLIC SERVICE 2yr'!Z11+'ASptISptSSv 2yr'!Z11+'PLANT OPER MAIN 2yr'!Z11+'SCHOLAR FELLOW 2yr'!Z11+'All Other 2yr'!Z11)-Z11</f>
        <v>0</v>
      </c>
      <c r="BC11" s="75">
        <f>('INSTRUCTION-2YR'!AA11+'RESEARCH 2yr'!AA11+'PUBLIC SERVICE 2yr'!AA11+'ASptISptSSv 2yr'!AA11+'PLANT OPER MAIN 2yr'!AA11+'SCHOLAR FELLOW 2yr'!AA11+'All Other 2yr'!AA11)-AA11</f>
        <v>0</v>
      </c>
      <c r="BD11" s="75">
        <f>('INSTRUCTION-2YR'!AB11+'RESEARCH 2yr'!AB11+'PUBLIC SERVICE 2yr'!AB11+'ASptISptSSv 2yr'!AB11+'PLANT OPER MAIN 2yr'!AB11+'SCHOLAR FELLOW 2yr'!AB11+'All Other 2yr'!AB11)-AB11</f>
        <v>0</v>
      </c>
      <c r="BE11" s="75">
        <f>('INSTRUCTION-2YR'!AC11+'RESEARCH 2yr'!AC11+'PUBLIC SERVICE 2yr'!AC11+'ASptISptSSv 2yr'!AC11+'PLANT OPER MAIN 2yr'!AC11+'SCHOLAR FELLOW 2yr'!AC11+'All Other 2yr'!AC11)-AC11</f>
        <v>0</v>
      </c>
    </row>
    <row r="12" spans="1:57">
      <c r="A12" s="1" t="s">
        <v>5</v>
      </c>
      <c r="B12" s="1">
        <v>496300</v>
      </c>
      <c r="C12" s="1">
        <v>525187</v>
      </c>
      <c r="D12" s="1">
        <v>551913</v>
      </c>
      <c r="E12" s="1">
        <v>930547.99</v>
      </c>
      <c r="F12" s="42">
        <v>978219.36499999999</v>
      </c>
      <c r="G12" s="1">
        <v>1062826.784</v>
      </c>
      <c r="H12" s="1">
        <v>1129359.17</v>
      </c>
      <c r="I12" s="1">
        <v>1165565.8700000001</v>
      </c>
      <c r="J12" s="1">
        <v>1182152.3289999999</v>
      </c>
      <c r="K12" s="1">
        <v>1255810.24</v>
      </c>
      <c r="L12" s="1">
        <v>1562668.8869999996</v>
      </c>
      <c r="M12" s="1">
        <v>1908268.4850000001</v>
      </c>
      <c r="N12" s="1">
        <v>1839403.53</v>
      </c>
      <c r="O12" s="1">
        <v>1543252.986</v>
      </c>
      <c r="P12" s="1">
        <v>1584176.068</v>
      </c>
      <c r="Q12" s="1">
        <v>1671261.885</v>
      </c>
      <c r="R12" s="1">
        <v>1730091.872</v>
      </c>
      <c r="S12" s="1">
        <v>2151315.7200000002</v>
      </c>
      <c r="T12" s="1">
        <v>2236858.665</v>
      </c>
      <c r="U12" s="1">
        <v>2873394.9569999999</v>
      </c>
      <c r="V12" s="1">
        <v>3273071.35</v>
      </c>
      <c r="W12" s="1">
        <v>3644548.2259999998</v>
      </c>
      <c r="X12" s="1">
        <v>3592723.5660000001</v>
      </c>
      <c r="Y12" s="1">
        <v>3531840.9330000002</v>
      </c>
      <c r="Z12" s="1">
        <v>3614381.1710000001</v>
      </c>
      <c r="AA12" s="1">
        <v>3647672.443</v>
      </c>
      <c r="AB12" s="1">
        <v>3768643.6830000002</v>
      </c>
      <c r="AC12" s="1">
        <v>3608188.4810000001</v>
      </c>
      <c r="AD12" s="75">
        <f>('INSTRUCTION-2YR'!B12+'RESEARCH 2yr'!B12+'PUBLIC SERVICE 2yr'!B12+'ASptISptSSv 2yr'!B12+'PLANT OPER MAIN 2yr'!B12+'SCHOLAR FELLOW 2yr'!B12+'All Other 2yr'!B12)-B12</f>
        <v>0</v>
      </c>
      <c r="AE12" s="75">
        <f>('INSTRUCTION-2YR'!C12+'RESEARCH 2yr'!C12+'PUBLIC SERVICE 2yr'!C12+'ASptISptSSv 2yr'!C12+'PLANT OPER MAIN 2yr'!C12+'SCHOLAR FELLOW 2yr'!C12+'All Other 2yr'!C12)-C12</f>
        <v>0</v>
      </c>
      <c r="AF12" s="75">
        <f>('INSTRUCTION-2YR'!D12+'RESEARCH 2yr'!D12+'PUBLIC SERVICE 2yr'!D12+'ASptISptSSv 2yr'!D12+'PLANT OPER MAIN 2yr'!D12+'SCHOLAR FELLOW 2yr'!D12+'All Other 2yr'!D12)-D12</f>
        <v>0</v>
      </c>
      <c r="AG12" s="75">
        <f>('INSTRUCTION-2YR'!E12+'RESEARCH 2yr'!E12+'PUBLIC SERVICE 2yr'!E12+'ASptISptSSv 2yr'!E12+'PLANT OPER MAIN 2yr'!E12+'SCHOLAR FELLOW 2yr'!E12+'All Other 2yr'!E12)-E12</f>
        <v>0</v>
      </c>
      <c r="AH12" s="75">
        <f>('INSTRUCTION-2YR'!F12+'RESEARCH 2yr'!F12+'PUBLIC SERVICE 2yr'!F12+'ASptISptSSv 2yr'!F12+'PLANT OPER MAIN 2yr'!F12+'SCHOLAR FELLOW 2yr'!F12+'All Other 2yr'!F12)-F12</f>
        <v>0</v>
      </c>
      <c r="AI12" s="75">
        <f>('INSTRUCTION-2YR'!G12+'RESEARCH 2yr'!G12+'PUBLIC SERVICE 2yr'!G12+'ASptISptSSv 2yr'!G12+'PLANT OPER MAIN 2yr'!G12+'SCHOLAR FELLOW 2yr'!G12+'All Other 2yr'!G12)-G12</f>
        <v>0</v>
      </c>
      <c r="AJ12" s="75">
        <f>('INSTRUCTION-2YR'!H12+'RESEARCH 2yr'!H12+'PUBLIC SERVICE 2yr'!H12+'ASptISptSSv 2yr'!H12+'PLANT OPER MAIN 2yr'!H12+'SCHOLAR FELLOW 2yr'!H12+'All Other 2yr'!H12)-H12</f>
        <v>0</v>
      </c>
      <c r="AK12" s="75">
        <f>('INSTRUCTION-2YR'!I12+'RESEARCH 2yr'!I12+'PUBLIC SERVICE 2yr'!I12+'ASptISptSSv 2yr'!I12+'PLANT OPER MAIN 2yr'!I12+'SCHOLAR FELLOW 2yr'!I12+'All Other 2yr'!I12)-I12</f>
        <v>0</v>
      </c>
      <c r="AL12" s="75">
        <f>('INSTRUCTION-2YR'!J12+'RESEARCH 2yr'!J12+'PUBLIC SERVICE 2yr'!J12+'ASptISptSSv 2yr'!J12+'PLANT OPER MAIN 2yr'!J12+'SCHOLAR FELLOW 2yr'!J12+'All Other 2yr'!J12)-J12</f>
        <v>0</v>
      </c>
      <c r="AM12" s="75">
        <f>('INSTRUCTION-2YR'!K12+'RESEARCH 2yr'!K12+'PUBLIC SERVICE 2yr'!K12+'ASptISptSSv 2yr'!K12+'PLANT OPER MAIN 2yr'!K12+'SCHOLAR FELLOW 2yr'!K12+'All Other 2yr'!K12)-K12</f>
        <v>0</v>
      </c>
      <c r="AN12" s="75">
        <f>('INSTRUCTION-2YR'!L12+'RESEARCH 2yr'!L12+'PUBLIC SERVICE 2yr'!L12+'ASptISptSSv 2yr'!L12+'PLANT OPER MAIN 2yr'!L12+'SCHOLAR FELLOW 2yr'!L12+'All Other 2yr'!L12)-L12</f>
        <v>0</v>
      </c>
      <c r="AO12" s="75">
        <f>('INSTRUCTION-2YR'!M12+'RESEARCH 2yr'!M12+'PUBLIC SERVICE 2yr'!M12+'ASptISptSSv 2yr'!M12+'PLANT OPER MAIN 2yr'!M12+'SCHOLAR FELLOW 2yr'!M12+'All Other 2yr'!M12)-M12</f>
        <v>0</v>
      </c>
      <c r="AP12" s="75">
        <f>('INSTRUCTION-2YR'!N12+'RESEARCH 2yr'!N12+'PUBLIC SERVICE 2yr'!N12+'ASptISptSSv 2yr'!N12+'PLANT OPER MAIN 2yr'!N12+'SCHOLAR FELLOW 2yr'!N12+'All Other 2yr'!N12)-N12</f>
        <v>0</v>
      </c>
      <c r="AQ12" s="75">
        <f>('INSTRUCTION-2YR'!O12+'RESEARCH 2yr'!O12+'PUBLIC SERVICE 2yr'!O12+'ASptISptSSv 2yr'!O12+'PLANT OPER MAIN 2yr'!O12+'SCHOLAR FELLOW 2yr'!O12+'All Other 2yr'!O12)-O12</f>
        <v>0</v>
      </c>
      <c r="AR12" s="75">
        <f>('INSTRUCTION-2YR'!P12+'RESEARCH 2yr'!P12+'PUBLIC SERVICE 2yr'!P12+'ASptISptSSv 2yr'!P12+'PLANT OPER MAIN 2yr'!P12+'SCHOLAR FELLOW 2yr'!P12+'All Other 2yr'!P12)-P12</f>
        <v>0</v>
      </c>
      <c r="AS12" s="75">
        <f>('INSTRUCTION-2YR'!Q12+'RESEARCH 2yr'!Q12+'PUBLIC SERVICE 2yr'!Q12+'ASptISptSSv 2yr'!Q12+'PLANT OPER MAIN 2yr'!Q12+'SCHOLAR FELLOW 2yr'!Q12+'All Other 2yr'!Q12)-Q12</f>
        <v>0</v>
      </c>
      <c r="AT12" s="75">
        <f>('INSTRUCTION-2YR'!R12+'RESEARCH 2yr'!R12+'PUBLIC SERVICE 2yr'!R12+'ASptISptSSv 2yr'!R12+'PLANT OPER MAIN 2yr'!R12+'SCHOLAR FELLOW 2yr'!R12+'All Other 2yr'!R12)-R12</f>
        <v>0</v>
      </c>
      <c r="AU12" s="75">
        <f>('INSTRUCTION-2YR'!S12+'RESEARCH 2yr'!S12+'PUBLIC SERVICE 2yr'!S12+'ASptISptSSv 2yr'!S12+'PLANT OPER MAIN 2yr'!S12+'SCHOLAR FELLOW 2yr'!S12+'All Other 2yr'!S12)-S12</f>
        <v>0</v>
      </c>
      <c r="AV12" s="75">
        <f>('INSTRUCTION-2YR'!T12+'RESEARCH 2yr'!T12+'PUBLIC SERVICE 2yr'!T12+'ASptISptSSv 2yr'!T12+'PLANT OPER MAIN 2yr'!T12+'SCHOLAR FELLOW 2yr'!T12+'All Other 2yr'!T12)-T12</f>
        <v>0</v>
      </c>
      <c r="AW12" s="75">
        <f>('INSTRUCTION-2YR'!U12+'RESEARCH 2yr'!U12+'PUBLIC SERVICE 2yr'!U12+'ASptISptSSv 2yr'!U12+'PLANT OPER MAIN 2yr'!U12+'SCHOLAR FELLOW 2yr'!U12+'All Other 2yr'!U12)-U12</f>
        <v>0</v>
      </c>
      <c r="AX12" s="75">
        <f>('INSTRUCTION-2YR'!V12+'RESEARCH 2yr'!V12+'PUBLIC SERVICE 2yr'!V12+'ASptISptSSv 2yr'!V12+'PLANT OPER MAIN 2yr'!V12+'SCHOLAR FELLOW 2yr'!V12+'All Other 2yr'!V12)-V12</f>
        <v>0</v>
      </c>
      <c r="AY12" s="75">
        <f>('INSTRUCTION-2YR'!W12+'RESEARCH 2yr'!W12+'PUBLIC SERVICE 2yr'!W12+'ASptISptSSv 2yr'!W12+'PLANT OPER MAIN 2yr'!W12+'SCHOLAR FELLOW 2yr'!W12+'All Other 2yr'!W12)-W12</f>
        <v>0</v>
      </c>
      <c r="AZ12" s="75">
        <f>('INSTRUCTION-2YR'!X12+'RESEARCH 2yr'!X12+'PUBLIC SERVICE 2yr'!X12+'ASptISptSSv 2yr'!X12+'PLANT OPER MAIN 2yr'!X12+'SCHOLAR FELLOW 2yr'!X12+'All Other 2yr'!X12)-X12</f>
        <v>0</v>
      </c>
      <c r="BA12" s="75">
        <f>('INSTRUCTION-2YR'!Y12+'RESEARCH 2yr'!Y12+'PUBLIC SERVICE 2yr'!Y12+'ASptISptSSv 2yr'!Y12+'PLANT OPER MAIN 2yr'!Y12+'SCHOLAR FELLOW 2yr'!Y12+'All Other 2yr'!Y12)-Y12</f>
        <v>0</v>
      </c>
      <c r="BB12" s="75">
        <f>('INSTRUCTION-2YR'!Z12+'RESEARCH 2yr'!Z12+'PUBLIC SERVICE 2yr'!Z12+'ASptISptSSv 2yr'!Z12+'PLANT OPER MAIN 2yr'!Z12+'SCHOLAR FELLOW 2yr'!Z12+'All Other 2yr'!Z12)-Z12</f>
        <v>0</v>
      </c>
      <c r="BC12" s="75">
        <f>('INSTRUCTION-2YR'!AA12+'RESEARCH 2yr'!AA12+'PUBLIC SERVICE 2yr'!AA12+'ASptISptSSv 2yr'!AA12+'PLANT OPER MAIN 2yr'!AA12+'SCHOLAR FELLOW 2yr'!AA12+'All Other 2yr'!AA12)-AA12</f>
        <v>0</v>
      </c>
      <c r="BD12" s="75">
        <f>('INSTRUCTION-2YR'!AB12+'RESEARCH 2yr'!AB12+'PUBLIC SERVICE 2yr'!AB12+'ASptISptSSv 2yr'!AB12+'PLANT OPER MAIN 2yr'!AB12+'SCHOLAR FELLOW 2yr'!AB12+'All Other 2yr'!AB12)-AB12</f>
        <v>0</v>
      </c>
      <c r="BE12" s="75">
        <f>('INSTRUCTION-2YR'!AC12+'RESEARCH 2yr'!AC12+'PUBLIC SERVICE 2yr'!AC12+'ASptISptSSv 2yr'!AC12+'PLANT OPER MAIN 2yr'!AC12+'SCHOLAR FELLOW 2yr'!AC12+'All Other 2yr'!AC12)-AC12</f>
        <v>0</v>
      </c>
    </row>
    <row r="13" spans="1:57">
      <c r="A13" s="1" t="s">
        <v>6</v>
      </c>
      <c r="B13" s="1">
        <v>92557</v>
      </c>
      <c r="C13" s="1">
        <v>97452</v>
      </c>
      <c r="D13" s="1">
        <v>103612</v>
      </c>
      <c r="E13" s="1">
        <v>276908.11099999998</v>
      </c>
      <c r="F13" s="42">
        <v>314762.66899999999</v>
      </c>
      <c r="G13" s="1">
        <v>356591.09099999996</v>
      </c>
      <c r="H13" s="1">
        <v>409930.20699999999</v>
      </c>
      <c r="I13" s="1">
        <v>466839.62</v>
      </c>
      <c r="J13" s="1">
        <v>381510.196</v>
      </c>
      <c r="K13" s="1">
        <v>403942.97198000003</v>
      </c>
      <c r="L13" s="1">
        <v>668642.57199999993</v>
      </c>
      <c r="M13" s="1">
        <v>754180.48600000003</v>
      </c>
      <c r="N13" s="1">
        <v>877870.27</v>
      </c>
      <c r="O13" s="1">
        <v>819172.75199999998</v>
      </c>
      <c r="P13" s="1">
        <v>880616.06400000001</v>
      </c>
      <c r="Q13" s="1">
        <v>916855.89500000002</v>
      </c>
      <c r="R13" s="1">
        <v>963167.89099999995</v>
      </c>
      <c r="S13" s="1">
        <v>980885.17500000005</v>
      </c>
      <c r="T13" s="1">
        <v>1017286.847</v>
      </c>
      <c r="U13" s="1">
        <v>574136.02</v>
      </c>
      <c r="V13" s="1">
        <v>1445982.3259999999</v>
      </c>
      <c r="W13" s="1">
        <v>1640961.92</v>
      </c>
      <c r="X13" s="1">
        <v>1670105.054</v>
      </c>
      <c r="Y13" s="1">
        <v>565785.61499999999</v>
      </c>
      <c r="Z13" s="1">
        <v>589627.48899999994</v>
      </c>
      <c r="AA13" s="1">
        <v>587747.50199999998</v>
      </c>
      <c r="AB13" s="1">
        <v>1365830.4080000001</v>
      </c>
      <c r="AC13" s="1">
        <v>482489.58</v>
      </c>
      <c r="AD13" s="75">
        <f>('INSTRUCTION-2YR'!B13+'RESEARCH 2yr'!B13+'PUBLIC SERVICE 2yr'!B13+'ASptISptSSv 2yr'!B13+'PLANT OPER MAIN 2yr'!B13+'SCHOLAR FELLOW 2yr'!B13+'All Other 2yr'!B13)-B13</f>
        <v>0</v>
      </c>
      <c r="AE13" s="75">
        <f>('INSTRUCTION-2YR'!C13+'RESEARCH 2yr'!C13+'PUBLIC SERVICE 2yr'!C13+'ASptISptSSv 2yr'!C13+'PLANT OPER MAIN 2yr'!C13+'SCHOLAR FELLOW 2yr'!C13+'All Other 2yr'!C13)-C13</f>
        <v>0</v>
      </c>
      <c r="AF13" s="75">
        <f>('INSTRUCTION-2YR'!D13+'RESEARCH 2yr'!D13+'PUBLIC SERVICE 2yr'!D13+'ASptISptSSv 2yr'!D13+'PLANT OPER MAIN 2yr'!D13+'SCHOLAR FELLOW 2yr'!D13+'All Other 2yr'!D13)-D13</f>
        <v>0</v>
      </c>
      <c r="AG13" s="75">
        <f>('INSTRUCTION-2YR'!E13+'RESEARCH 2yr'!E13+'PUBLIC SERVICE 2yr'!E13+'ASptISptSSv 2yr'!E13+'PLANT OPER MAIN 2yr'!E13+'SCHOLAR FELLOW 2yr'!E13+'All Other 2yr'!E13)-E13</f>
        <v>0</v>
      </c>
      <c r="AH13" s="75">
        <f>('INSTRUCTION-2YR'!F13+'RESEARCH 2yr'!F13+'PUBLIC SERVICE 2yr'!F13+'ASptISptSSv 2yr'!F13+'PLANT OPER MAIN 2yr'!F13+'SCHOLAR FELLOW 2yr'!F13+'All Other 2yr'!F13)-F13</f>
        <v>0</v>
      </c>
      <c r="AI13" s="75">
        <f>('INSTRUCTION-2YR'!G13+'RESEARCH 2yr'!G13+'PUBLIC SERVICE 2yr'!G13+'ASptISptSSv 2yr'!G13+'PLANT OPER MAIN 2yr'!G13+'SCHOLAR FELLOW 2yr'!G13+'All Other 2yr'!G13)-G13</f>
        <v>0</v>
      </c>
      <c r="AJ13" s="75">
        <f>('INSTRUCTION-2YR'!H13+'RESEARCH 2yr'!H13+'PUBLIC SERVICE 2yr'!H13+'ASptISptSSv 2yr'!H13+'PLANT OPER MAIN 2yr'!H13+'SCHOLAR FELLOW 2yr'!H13+'All Other 2yr'!H13)-H13</f>
        <v>0</v>
      </c>
      <c r="AK13" s="75">
        <f>('INSTRUCTION-2YR'!I13+'RESEARCH 2yr'!I13+'PUBLIC SERVICE 2yr'!I13+'ASptISptSSv 2yr'!I13+'PLANT OPER MAIN 2yr'!I13+'SCHOLAR FELLOW 2yr'!I13+'All Other 2yr'!I13)-I13</f>
        <v>0</v>
      </c>
      <c r="AL13" s="75">
        <f>('INSTRUCTION-2YR'!J13+'RESEARCH 2yr'!J13+'PUBLIC SERVICE 2yr'!J13+'ASptISptSSv 2yr'!J13+'PLANT OPER MAIN 2yr'!J13+'SCHOLAR FELLOW 2yr'!J13+'All Other 2yr'!J13)-J13</f>
        <v>0</v>
      </c>
      <c r="AM13" s="75">
        <f>('INSTRUCTION-2YR'!K13+'RESEARCH 2yr'!K13+'PUBLIC SERVICE 2yr'!K13+'ASptISptSSv 2yr'!K13+'PLANT OPER MAIN 2yr'!K13+'SCHOLAR FELLOW 2yr'!K13+'All Other 2yr'!K13)-K13</f>
        <v>0</v>
      </c>
      <c r="AN13" s="75">
        <f>('INSTRUCTION-2YR'!L13+'RESEARCH 2yr'!L13+'PUBLIC SERVICE 2yr'!L13+'ASptISptSSv 2yr'!L13+'PLANT OPER MAIN 2yr'!L13+'SCHOLAR FELLOW 2yr'!L13+'All Other 2yr'!L13)-L13</f>
        <v>0</v>
      </c>
      <c r="AO13" s="75">
        <f>('INSTRUCTION-2YR'!M13+'RESEARCH 2yr'!M13+'PUBLIC SERVICE 2yr'!M13+'ASptISptSSv 2yr'!M13+'PLANT OPER MAIN 2yr'!M13+'SCHOLAR FELLOW 2yr'!M13+'All Other 2yr'!M13)-M13</f>
        <v>0</v>
      </c>
      <c r="AP13" s="75">
        <f>('INSTRUCTION-2YR'!N13+'RESEARCH 2yr'!N13+'PUBLIC SERVICE 2yr'!N13+'ASptISptSSv 2yr'!N13+'PLANT OPER MAIN 2yr'!N13+'SCHOLAR FELLOW 2yr'!N13+'All Other 2yr'!N13)-N13</f>
        <v>0</v>
      </c>
      <c r="AQ13" s="75">
        <f>('INSTRUCTION-2YR'!O13+'RESEARCH 2yr'!O13+'PUBLIC SERVICE 2yr'!O13+'ASptISptSSv 2yr'!O13+'PLANT OPER MAIN 2yr'!O13+'SCHOLAR FELLOW 2yr'!O13+'All Other 2yr'!O13)-O13</f>
        <v>0</v>
      </c>
      <c r="AR13" s="75">
        <f>('INSTRUCTION-2YR'!P13+'RESEARCH 2yr'!P13+'PUBLIC SERVICE 2yr'!P13+'ASptISptSSv 2yr'!P13+'PLANT OPER MAIN 2yr'!P13+'SCHOLAR FELLOW 2yr'!P13+'All Other 2yr'!P13)-P13</f>
        <v>0</v>
      </c>
      <c r="AS13" s="75">
        <f>('INSTRUCTION-2YR'!Q13+'RESEARCH 2yr'!Q13+'PUBLIC SERVICE 2yr'!Q13+'ASptISptSSv 2yr'!Q13+'PLANT OPER MAIN 2yr'!Q13+'SCHOLAR FELLOW 2yr'!Q13+'All Other 2yr'!Q13)-Q13</f>
        <v>0</v>
      </c>
      <c r="AT13" s="75">
        <f>('INSTRUCTION-2YR'!R13+'RESEARCH 2yr'!R13+'PUBLIC SERVICE 2yr'!R13+'ASptISptSSv 2yr'!R13+'PLANT OPER MAIN 2yr'!R13+'SCHOLAR FELLOW 2yr'!R13+'All Other 2yr'!R13)-R13</f>
        <v>0</v>
      </c>
      <c r="AU13" s="75">
        <f>('INSTRUCTION-2YR'!S13+'RESEARCH 2yr'!S13+'PUBLIC SERVICE 2yr'!S13+'ASptISptSSv 2yr'!S13+'PLANT OPER MAIN 2yr'!S13+'SCHOLAR FELLOW 2yr'!S13+'All Other 2yr'!S13)-S13</f>
        <v>0</v>
      </c>
      <c r="AV13" s="75">
        <f>('INSTRUCTION-2YR'!T13+'RESEARCH 2yr'!T13+'PUBLIC SERVICE 2yr'!T13+'ASptISptSSv 2yr'!T13+'PLANT OPER MAIN 2yr'!T13+'SCHOLAR FELLOW 2yr'!T13+'All Other 2yr'!T13)-T13</f>
        <v>0</v>
      </c>
      <c r="AW13" s="75">
        <f>('INSTRUCTION-2YR'!U13+'RESEARCH 2yr'!U13+'PUBLIC SERVICE 2yr'!U13+'ASptISptSSv 2yr'!U13+'PLANT OPER MAIN 2yr'!U13+'SCHOLAR FELLOW 2yr'!U13+'All Other 2yr'!U13)-U13</f>
        <v>0</v>
      </c>
      <c r="AX13" s="75">
        <f>('INSTRUCTION-2YR'!V13+'RESEARCH 2yr'!V13+'PUBLIC SERVICE 2yr'!V13+'ASptISptSSv 2yr'!V13+'PLANT OPER MAIN 2yr'!V13+'SCHOLAR FELLOW 2yr'!V13+'All Other 2yr'!V13)-V13</f>
        <v>0</v>
      </c>
      <c r="AY13" s="75">
        <f>('INSTRUCTION-2YR'!W13+'RESEARCH 2yr'!W13+'PUBLIC SERVICE 2yr'!W13+'ASptISptSSv 2yr'!W13+'PLANT OPER MAIN 2yr'!W13+'SCHOLAR FELLOW 2yr'!W13+'All Other 2yr'!W13)-W13</f>
        <v>0</v>
      </c>
      <c r="AZ13" s="75">
        <f>('INSTRUCTION-2YR'!X13+'RESEARCH 2yr'!X13+'PUBLIC SERVICE 2yr'!X13+'ASptISptSSv 2yr'!X13+'PLANT OPER MAIN 2yr'!X13+'SCHOLAR FELLOW 2yr'!X13+'All Other 2yr'!X13)-X13</f>
        <v>0</v>
      </c>
      <c r="BA13" s="75">
        <f>('INSTRUCTION-2YR'!Y13+'RESEARCH 2yr'!Y13+'PUBLIC SERVICE 2yr'!Y13+'ASptISptSSv 2yr'!Y13+'PLANT OPER MAIN 2yr'!Y13+'SCHOLAR FELLOW 2yr'!Y13+'All Other 2yr'!Y13)-Y13</f>
        <v>0</v>
      </c>
      <c r="BB13" s="75">
        <f>('INSTRUCTION-2YR'!Z13+'RESEARCH 2yr'!Z13+'PUBLIC SERVICE 2yr'!Z13+'ASptISptSSv 2yr'!Z13+'PLANT OPER MAIN 2yr'!Z13+'SCHOLAR FELLOW 2yr'!Z13+'All Other 2yr'!Z13)-Z13</f>
        <v>0</v>
      </c>
      <c r="BC13" s="75">
        <f>('INSTRUCTION-2YR'!AA13+'RESEARCH 2yr'!AA13+'PUBLIC SERVICE 2yr'!AA13+'ASptISptSSv 2yr'!AA13+'PLANT OPER MAIN 2yr'!AA13+'SCHOLAR FELLOW 2yr'!AA13+'All Other 2yr'!AA13)-AA13</f>
        <v>0</v>
      </c>
      <c r="BD13" s="75">
        <f>('INSTRUCTION-2YR'!AB13+'RESEARCH 2yr'!AB13+'PUBLIC SERVICE 2yr'!AB13+'ASptISptSSv 2yr'!AB13+'PLANT OPER MAIN 2yr'!AB13+'SCHOLAR FELLOW 2yr'!AB13+'All Other 2yr'!AB13)-AB13</f>
        <v>0</v>
      </c>
      <c r="BE13" s="75">
        <f>('INSTRUCTION-2YR'!AC13+'RESEARCH 2yr'!AC13+'PUBLIC SERVICE 2yr'!AC13+'ASptISptSSv 2yr'!AC13+'PLANT OPER MAIN 2yr'!AC13+'SCHOLAR FELLOW 2yr'!AC13+'All Other 2yr'!AC13)-AC13</f>
        <v>0</v>
      </c>
    </row>
    <row r="14" spans="1:57">
      <c r="A14" s="1" t="s">
        <v>7</v>
      </c>
      <c r="B14" s="1">
        <v>45600</v>
      </c>
      <c r="C14" s="1">
        <v>48321</v>
      </c>
      <c r="D14" s="1">
        <v>52568</v>
      </c>
      <c r="E14" s="1">
        <v>107696.897</v>
      </c>
      <c r="F14" s="42">
        <v>131542.65100000001</v>
      </c>
      <c r="G14" s="1">
        <v>137530.81099999999</v>
      </c>
      <c r="H14" s="1">
        <v>148071.261</v>
      </c>
      <c r="I14" s="1">
        <v>152919.465</v>
      </c>
      <c r="J14" s="1">
        <v>156377.97409999999</v>
      </c>
      <c r="K14" s="1">
        <v>173886.166</v>
      </c>
      <c r="L14" s="1">
        <v>351288.79200000007</v>
      </c>
      <c r="M14" s="1">
        <v>380337.82</v>
      </c>
      <c r="N14" s="1">
        <v>31797.375</v>
      </c>
      <c r="O14" s="1">
        <v>34278.483999999997</v>
      </c>
      <c r="P14" s="1">
        <v>37770.050999999999</v>
      </c>
      <c r="Q14" s="1">
        <v>417438.40100000001</v>
      </c>
      <c r="R14" s="1">
        <v>452354.63199999998</v>
      </c>
      <c r="S14" s="1">
        <v>483430.83399999997</v>
      </c>
      <c r="T14" s="1">
        <v>535707.87600000005</v>
      </c>
      <c r="U14" s="1">
        <v>514774.576</v>
      </c>
      <c r="V14" s="1">
        <v>705728.17599999998</v>
      </c>
      <c r="W14" s="1">
        <v>727662.38899999997</v>
      </c>
      <c r="X14" s="1">
        <v>731178.81499999994</v>
      </c>
      <c r="Y14" s="1">
        <v>653402.89399999997</v>
      </c>
      <c r="Z14" s="1">
        <v>603374.99699999997</v>
      </c>
      <c r="AA14" s="1">
        <v>601966.34699999995</v>
      </c>
      <c r="AB14" s="1">
        <v>649069.80799999996</v>
      </c>
      <c r="AC14" s="1">
        <v>537973.11</v>
      </c>
      <c r="AD14" s="75">
        <f>('INSTRUCTION-2YR'!B14+'RESEARCH 2yr'!B14+'PUBLIC SERVICE 2yr'!B14+'ASptISptSSv 2yr'!B14+'PLANT OPER MAIN 2yr'!B14+'SCHOLAR FELLOW 2yr'!B14+'All Other 2yr'!B14)-B14</f>
        <v>0</v>
      </c>
      <c r="AE14" s="75">
        <f>('INSTRUCTION-2YR'!C14+'RESEARCH 2yr'!C14+'PUBLIC SERVICE 2yr'!C14+'ASptISptSSv 2yr'!C14+'PLANT OPER MAIN 2yr'!C14+'SCHOLAR FELLOW 2yr'!C14+'All Other 2yr'!C14)-C14</f>
        <v>0</v>
      </c>
      <c r="AF14" s="75">
        <f>('INSTRUCTION-2YR'!D14+'RESEARCH 2yr'!D14+'PUBLIC SERVICE 2yr'!D14+'ASptISptSSv 2yr'!D14+'PLANT OPER MAIN 2yr'!D14+'SCHOLAR FELLOW 2yr'!D14+'All Other 2yr'!D14)-D14</f>
        <v>0</v>
      </c>
      <c r="AG14" s="75">
        <f>('INSTRUCTION-2YR'!E14+'RESEARCH 2yr'!E14+'PUBLIC SERVICE 2yr'!E14+'ASptISptSSv 2yr'!E14+'PLANT OPER MAIN 2yr'!E14+'SCHOLAR FELLOW 2yr'!E14+'All Other 2yr'!E14)-E14</f>
        <v>0</v>
      </c>
      <c r="AH14" s="75">
        <f>('INSTRUCTION-2YR'!F14+'RESEARCH 2yr'!F14+'PUBLIC SERVICE 2yr'!F14+'ASptISptSSv 2yr'!F14+'PLANT OPER MAIN 2yr'!F14+'SCHOLAR FELLOW 2yr'!F14+'All Other 2yr'!F14)-F14</f>
        <v>0</v>
      </c>
      <c r="AI14" s="75">
        <f>('INSTRUCTION-2YR'!G14+'RESEARCH 2yr'!G14+'PUBLIC SERVICE 2yr'!G14+'ASptISptSSv 2yr'!G14+'PLANT OPER MAIN 2yr'!G14+'SCHOLAR FELLOW 2yr'!G14+'All Other 2yr'!G14)-G14</f>
        <v>0</v>
      </c>
      <c r="AJ14" s="75">
        <f>('INSTRUCTION-2YR'!H14+'RESEARCH 2yr'!H14+'PUBLIC SERVICE 2yr'!H14+'ASptISptSSv 2yr'!H14+'PLANT OPER MAIN 2yr'!H14+'SCHOLAR FELLOW 2yr'!H14+'All Other 2yr'!H14)-H14</f>
        <v>0</v>
      </c>
      <c r="AK14" s="75">
        <f>('INSTRUCTION-2YR'!I14+'RESEARCH 2yr'!I14+'PUBLIC SERVICE 2yr'!I14+'ASptISptSSv 2yr'!I14+'PLANT OPER MAIN 2yr'!I14+'SCHOLAR FELLOW 2yr'!I14+'All Other 2yr'!I14)-I14</f>
        <v>0</v>
      </c>
      <c r="AL14" s="75">
        <f>('INSTRUCTION-2YR'!J14+'RESEARCH 2yr'!J14+'PUBLIC SERVICE 2yr'!J14+'ASptISptSSv 2yr'!J14+'PLANT OPER MAIN 2yr'!J14+'SCHOLAR FELLOW 2yr'!J14+'All Other 2yr'!J14)-J14</f>
        <v>0</v>
      </c>
      <c r="AM14" s="75">
        <f>('INSTRUCTION-2YR'!K14+'RESEARCH 2yr'!K14+'PUBLIC SERVICE 2yr'!K14+'ASptISptSSv 2yr'!K14+'PLANT OPER MAIN 2yr'!K14+'SCHOLAR FELLOW 2yr'!K14+'All Other 2yr'!K14)-K14</f>
        <v>0</v>
      </c>
      <c r="AN14" s="75">
        <f>('INSTRUCTION-2YR'!L14+'RESEARCH 2yr'!L14+'PUBLIC SERVICE 2yr'!L14+'ASptISptSSv 2yr'!L14+'PLANT OPER MAIN 2yr'!L14+'SCHOLAR FELLOW 2yr'!L14+'All Other 2yr'!L14)-L14</f>
        <v>0</v>
      </c>
      <c r="AO14" s="75">
        <f>('INSTRUCTION-2YR'!M14+'RESEARCH 2yr'!M14+'PUBLIC SERVICE 2yr'!M14+'ASptISptSSv 2yr'!M14+'PLANT OPER MAIN 2yr'!M14+'SCHOLAR FELLOW 2yr'!M14+'All Other 2yr'!M14)-M14</f>
        <v>0</v>
      </c>
      <c r="AP14" s="75">
        <f>('INSTRUCTION-2YR'!N14+'RESEARCH 2yr'!N14+'PUBLIC SERVICE 2yr'!N14+'ASptISptSSv 2yr'!N14+'PLANT OPER MAIN 2yr'!N14+'SCHOLAR FELLOW 2yr'!N14+'All Other 2yr'!N14)-N14</f>
        <v>0</v>
      </c>
      <c r="AQ14" s="75">
        <f>('INSTRUCTION-2YR'!O14+'RESEARCH 2yr'!O14+'PUBLIC SERVICE 2yr'!O14+'ASptISptSSv 2yr'!O14+'PLANT OPER MAIN 2yr'!O14+'SCHOLAR FELLOW 2yr'!O14+'All Other 2yr'!O14)-O14</f>
        <v>0</v>
      </c>
      <c r="AR14" s="75">
        <f>('INSTRUCTION-2YR'!P14+'RESEARCH 2yr'!P14+'PUBLIC SERVICE 2yr'!P14+'ASptISptSSv 2yr'!P14+'PLANT OPER MAIN 2yr'!P14+'SCHOLAR FELLOW 2yr'!P14+'All Other 2yr'!P14)-P14</f>
        <v>0</v>
      </c>
      <c r="AS14" s="75">
        <f>('INSTRUCTION-2YR'!Q14+'RESEARCH 2yr'!Q14+'PUBLIC SERVICE 2yr'!Q14+'ASptISptSSv 2yr'!Q14+'PLANT OPER MAIN 2yr'!Q14+'SCHOLAR FELLOW 2yr'!Q14+'All Other 2yr'!Q14)-Q14</f>
        <v>0</v>
      </c>
      <c r="AT14" s="75">
        <f>('INSTRUCTION-2YR'!R14+'RESEARCH 2yr'!R14+'PUBLIC SERVICE 2yr'!R14+'ASptISptSSv 2yr'!R14+'PLANT OPER MAIN 2yr'!R14+'SCHOLAR FELLOW 2yr'!R14+'All Other 2yr'!R14)-R14</f>
        <v>0</v>
      </c>
      <c r="AU14" s="75">
        <f>('INSTRUCTION-2YR'!S14+'RESEARCH 2yr'!S14+'PUBLIC SERVICE 2yr'!S14+'ASptISptSSv 2yr'!S14+'PLANT OPER MAIN 2yr'!S14+'SCHOLAR FELLOW 2yr'!S14+'All Other 2yr'!S14)-S14</f>
        <v>0</v>
      </c>
      <c r="AV14" s="75">
        <f>('INSTRUCTION-2YR'!T14+'RESEARCH 2yr'!T14+'PUBLIC SERVICE 2yr'!T14+'ASptISptSSv 2yr'!T14+'PLANT OPER MAIN 2yr'!T14+'SCHOLAR FELLOW 2yr'!T14+'All Other 2yr'!T14)-T14</f>
        <v>0</v>
      </c>
      <c r="AW14" s="75">
        <f>('INSTRUCTION-2YR'!U14+'RESEARCH 2yr'!U14+'PUBLIC SERVICE 2yr'!U14+'ASptISptSSv 2yr'!U14+'PLANT OPER MAIN 2yr'!U14+'SCHOLAR FELLOW 2yr'!U14+'All Other 2yr'!U14)-U14</f>
        <v>0</v>
      </c>
      <c r="AX14" s="75">
        <f>('INSTRUCTION-2YR'!V14+'RESEARCH 2yr'!V14+'PUBLIC SERVICE 2yr'!V14+'ASptISptSSv 2yr'!V14+'PLANT OPER MAIN 2yr'!V14+'SCHOLAR FELLOW 2yr'!V14+'All Other 2yr'!V14)-V14</f>
        <v>0</v>
      </c>
      <c r="AY14" s="75">
        <f>('INSTRUCTION-2YR'!W14+'RESEARCH 2yr'!W14+'PUBLIC SERVICE 2yr'!W14+'ASptISptSSv 2yr'!W14+'PLANT OPER MAIN 2yr'!W14+'SCHOLAR FELLOW 2yr'!W14+'All Other 2yr'!W14)-W14</f>
        <v>0</v>
      </c>
      <c r="AZ14" s="75">
        <f>('INSTRUCTION-2YR'!X14+'RESEARCH 2yr'!X14+'PUBLIC SERVICE 2yr'!X14+'ASptISptSSv 2yr'!X14+'PLANT OPER MAIN 2yr'!X14+'SCHOLAR FELLOW 2yr'!X14+'All Other 2yr'!X14)-X14</f>
        <v>0</v>
      </c>
      <c r="BA14" s="75">
        <f>('INSTRUCTION-2YR'!Y14+'RESEARCH 2yr'!Y14+'PUBLIC SERVICE 2yr'!Y14+'ASptISptSSv 2yr'!Y14+'PLANT OPER MAIN 2yr'!Y14+'SCHOLAR FELLOW 2yr'!Y14+'All Other 2yr'!Y14)-Y14</f>
        <v>0</v>
      </c>
      <c r="BB14" s="75">
        <f>('INSTRUCTION-2YR'!Z14+'RESEARCH 2yr'!Z14+'PUBLIC SERVICE 2yr'!Z14+'ASptISptSSv 2yr'!Z14+'PLANT OPER MAIN 2yr'!Z14+'SCHOLAR FELLOW 2yr'!Z14+'All Other 2yr'!Z14)-Z14</f>
        <v>0</v>
      </c>
      <c r="BC14" s="75">
        <f>('INSTRUCTION-2YR'!AA14+'RESEARCH 2yr'!AA14+'PUBLIC SERVICE 2yr'!AA14+'ASptISptSSv 2yr'!AA14+'PLANT OPER MAIN 2yr'!AA14+'SCHOLAR FELLOW 2yr'!AA14+'All Other 2yr'!AA14)-AA14</f>
        <v>0</v>
      </c>
      <c r="BD14" s="75">
        <f>('INSTRUCTION-2YR'!AB14+'RESEARCH 2yr'!AB14+'PUBLIC SERVICE 2yr'!AB14+'ASptISptSSv 2yr'!AB14+'PLANT OPER MAIN 2yr'!AB14+'SCHOLAR FELLOW 2yr'!AB14+'All Other 2yr'!AB14)-AB14</f>
        <v>0</v>
      </c>
      <c r="BE14" s="75">
        <f>('INSTRUCTION-2YR'!AC14+'RESEARCH 2yr'!AC14+'PUBLIC SERVICE 2yr'!AC14+'ASptISptSSv 2yr'!AC14+'PLANT OPER MAIN 2yr'!AC14+'SCHOLAR FELLOW 2yr'!AC14+'All Other 2yr'!AC14)-AC14</f>
        <v>0</v>
      </c>
    </row>
    <row r="15" spans="1:57">
      <c r="A15" s="1" t="s">
        <v>8</v>
      </c>
      <c r="B15" s="1">
        <v>34238</v>
      </c>
      <c r="C15" s="1">
        <v>38472</v>
      </c>
      <c r="D15" s="1">
        <v>39754</v>
      </c>
      <c r="E15" s="1">
        <v>66792.229000000007</v>
      </c>
      <c r="F15" s="42">
        <v>73977.137000000002</v>
      </c>
      <c r="G15" s="1">
        <v>83409.632000000012</v>
      </c>
      <c r="H15" s="1">
        <v>92926.380999999994</v>
      </c>
      <c r="I15" s="1">
        <v>93837.740999999995</v>
      </c>
      <c r="J15" s="1">
        <v>157895.19900000002</v>
      </c>
      <c r="K15" s="1">
        <v>169344.67828000002</v>
      </c>
      <c r="L15" s="1">
        <v>209811.40299999999</v>
      </c>
      <c r="M15" s="1">
        <v>226305.58199999999</v>
      </c>
      <c r="N15" s="1">
        <v>275454.29499999998</v>
      </c>
      <c r="O15" s="1">
        <v>323574.7</v>
      </c>
      <c r="P15" s="1">
        <v>371339.54</v>
      </c>
      <c r="Q15" s="1">
        <v>388563.451</v>
      </c>
      <c r="R15" s="1">
        <v>373155.92700000003</v>
      </c>
      <c r="S15" s="1">
        <v>428495.81800000003</v>
      </c>
      <c r="T15" s="1">
        <v>556018.04500000004</v>
      </c>
      <c r="U15" s="1">
        <v>350946.12300000002</v>
      </c>
      <c r="V15" s="1">
        <v>549338.43799999997</v>
      </c>
      <c r="W15" s="1">
        <v>595415.89899999998</v>
      </c>
      <c r="X15" s="1">
        <v>596479.28599999996</v>
      </c>
      <c r="Y15" s="1">
        <v>429958.47100000002</v>
      </c>
      <c r="Z15" s="1">
        <v>449773.505</v>
      </c>
      <c r="AA15" s="1">
        <v>459599.53700000001</v>
      </c>
      <c r="AB15" s="1">
        <v>577554.39800000004</v>
      </c>
      <c r="AC15" s="1">
        <v>446406.86</v>
      </c>
      <c r="AD15" s="75">
        <f>('INSTRUCTION-2YR'!B15+'RESEARCH 2yr'!B15+'PUBLIC SERVICE 2yr'!B15+'ASptISptSSv 2yr'!B15+'PLANT OPER MAIN 2yr'!B15+'SCHOLAR FELLOW 2yr'!B15+'All Other 2yr'!B15)-B15</f>
        <v>0</v>
      </c>
      <c r="AE15" s="75">
        <f>('INSTRUCTION-2YR'!C15+'RESEARCH 2yr'!C15+'PUBLIC SERVICE 2yr'!C15+'ASptISptSSv 2yr'!C15+'PLANT OPER MAIN 2yr'!C15+'SCHOLAR FELLOW 2yr'!C15+'All Other 2yr'!C15)-C15</f>
        <v>0</v>
      </c>
      <c r="AF15" s="75">
        <f>('INSTRUCTION-2YR'!D15+'RESEARCH 2yr'!D15+'PUBLIC SERVICE 2yr'!D15+'ASptISptSSv 2yr'!D15+'PLANT OPER MAIN 2yr'!D15+'SCHOLAR FELLOW 2yr'!D15+'All Other 2yr'!D15)-D15</f>
        <v>0</v>
      </c>
      <c r="AG15" s="75">
        <f>('INSTRUCTION-2YR'!E15+'RESEARCH 2yr'!E15+'PUBLIC SERVICE 2yr'!E15+'ASptISptSSv 2yr'!E15+'PLANT OPER MAIN 2yr'!E15+'SCHOLAR FELLOW 2yr'!E15+'All Other 2yr'!E15)-E15</f>
        <v>0</v>
      </c>
      <c r="AH15" s="75">
        <f>('INSTRUCTION-2YR'!F15+'RESEARCH 2yr'!F15+'PUBLIC SERVICE 2yr'!F15+'ASptISptSSv 2yr'!F15+'PLANT OPER MAIN 2yr'!F15+'SCHOLAR FELLOW 2yr'!F15+'All Other 2yr'!F15)-F15</f>
        <v>0</v>
      </c>
      <c r="AI15" s="75">
        <f>('INSTRUCTION-2YR'!G15+'RESEARCH 2yr'!G15+'PUBLIC SERVICE 2yr'!G15+'ASptISptSSv 2yr'!G15+'PLANT OPER MAIN 2yr'!G15+'SCHOLAR FELLOW 2yr'!G15+'All Other 2yr'!G15)-G15</f>
        <v>0</v>
      </c>
      <c r="AJ15" s="75">
        <f>('INSTRUCTION-2YR'!H15+'RESEARCH 2yr'!H15+'PUBLIC SERVICE 2yr'!H15+'ASptISptSSv 2yr'!H15+'PLANT OPER MAIN 2yr'!H15+'SCHOLAR FELLOW 2yr'!H15+'All Other 2yr'!H15)-H15</f>
        <v>0</v>
      </c>
      <c r="AK15" s="75">
        <f>('INSTRUCTION-2YR'!I15+'RESEARCH 2yr'!I15+'PUBLIC SERVICE 2yr'!I15+'ASptISptSSv 2yr'!I15+'PLANT OPER MAIN 2yr'!I15+'SCHOLAR FELLOW 2yr'!I15+'All Other 2yr'!I15)-I15</f>
        <v>0</v>
      </c>
      <c r="AL15" s="75">
        <f>('INSTRUCTION-2YR'!J15+'RESEARCH 2yr'!J15+'PUBLIC SERVICE 2yr'!J15+'ASptISptSSv 2yr'!J15+'PLANT OPER MAIN 2yr'!J15+'SCHOLAR FELLOW 2yr'!J15+'All Other 2yr'!J15)-J15</f>
        <v>0</v>
      </c>
      <c r="AM15" s="75">
        <f>('INSTRUCTION-2YR'!K15+'RESEARCH 2yr'!K15+'PUBLIC SERVICE 2yr'!K15+'ASptISptSSv 2yr'!K15+'PLANT OPER MAIN 2yr'!K15+'SCHOLAR FELLOW 2yr'!K15+'All Other 2yr'!K15)-K15</f>
        <v>0</v>
      </c>
      <c r="AN15" s="75">
        <f>('INSTRUCTION-2YR'!L15+'RESEARCH 2yr'!L15+'PUBLIC SERVICE 2yr'!L15+'ASptISptSSv 2yr'!L15+'PLANT OPER MAIN 2yr'!L15+'SCHOLAR FELLOW 2yr'!L15+'All Other 2yr'!L15)-L15</f>
        <v>0</v>
      </c>
      <c r="AO15" s="75">
        <f>('INSTRUCTION-2YR'!M15+'RESEARCH 2yr'!M15+'PUBLIC SERVICE 2yr'!M15+'ASptISptSSv 2yr'!M15+'PLANT OPER MAIN 2yr'!M15+'SCHOLAR FELLOW 2yr'!M15+'All Other 2yr'!M15)-M15</f>
        <v>0</v>
      </c>
      <c r="AP15" s="75">
        <f>('INSTRUCTION-2YR'!N15+'RESEARCH 2yr'!N15+'PUBLIC SERVICE 2yr'!N15+'ASptISptSSv 2yr'!N15+'PLANT OPER MAIN 2yr'!N15+'SCHOLAR FELLOW 2yr'!N15+'All Other 2yr'!N15)-N15</f>
        <v>0</v>
      </c>
      <c r="AQ15" s="75">
        <f>('INSTRUCTION-2YR'!O15+'RESEARCH 2yr'!O15+'PUBLIC SERVICE 2yr'!O15+'ASptISptSSv 2yr'!O15+'PLANT OPER MAIN 2yr'!O15+'SCHOLAR FELLOW 2yr'!O15+'All Other 2yr'!O15)-O15</f>
        <v>0</v>
      </c>
      <c r="AR15" s="75">
        <f>('INSTRUCTION-2YR'!P15+'RESEARCH 2yr'!P15+'PUBLIC SERVICE 2yr'!P15+'ASptISptSSv 2yr'!P15+'PLANT OPER MAIN 2yr'!P15+'SCHOLAR FELLOW 2yr'!P15+'All Other 2yr'!P15)-P15</f>
        <v>0</v>
      </c>
      <c r="AS15" s="75">
        <f>('INSTRUCTION-2YR'!Q15+'RESEARCH 2yr'!Q15+'PUBLIC SERVICE 2yr'!Q15+'ASptISptSSv 2yr'!Q15+'PLANT OPER MAIN 2yr'!Q15+'SCHOLAR FELLOW 2yr'!Q15+'All Other 2yr'!Q15)-Q15</f>
        <v>0</v>
      </c>
      <c r="AT15" s="75">
        <f>('INSTRUCTION-2YR'!R15+'RESEARCH 2yr'!R15+'PUBLIC SERVICE 2yr'!R15+'ASptISptSSv 2yr'!R15+'PLANT OPER MAIN 2yr'!R15+'SCHOLAR FELLOW 2yr'!R15+'All Other 2yr'!R15)-R15</f>
        <v>0</v>
      </c>
      <c r="AU15" s="75">
        <f>('INSTRUCTION-2YR'!S15+'RESEARCH 2yr'!S15+'PUBLIC SERVICE 2yr'!S15+'ASptISptSSv 2yr'!S15+'PLANT OPER MAIN 2yr'!S15+'SCHOLAR FELLOW 2yr'!S15+'All Other 2yr'!S15)-S15</f>
        <v>0</v>
      </c>
      <c r="AV15" s="75">
        <f>('INSTRUCTION-2YR'!T15+'RESEARCH 2yr'!T15+'PUBLIC SERVICE 2yr'!T15+'ASptISptSSv 2yr'!T15+'PLANT OPER MAIN 2yr'!T15+'SCHOLAR FELLOW 2yr'!T15+'All Other 2yr'!T15)-T15</f>
        <v>0</v>
      </c>
      <c r="AW15" s="75">
        <f>('INSTRUCTION-2YR'!U15+'RESEARCH 2yr'!U15+'PUBLIC SERVICE 2yr'!U15+'ASptISptSSv 2yr'!U15+'PLANT OPER MAIN 2yr'!U15+'SCHOLAR FELLOW 2yr'!U15+'All Other 2yr'!U15)-U15</f>
        <v>0</v>
      </c>
      <c r="AX15" s="75">
        <f>('INSTRUCTION-2YR'!V15+'RESEARCH 2yr'!V15+'PUBLIC SERVICE 2yr'!V15+'ASptISptSSv 2yr'!V15+'PLANT OPER MAIN 2yr'!V15+'SCHOLAR FELLOW 2yr'!V15+'All Other 2yr'!V15)-V15</f>
        <v>0</v>
      </c>
      <c r="AY15" s="75">
        <f>('INSTRUCTION-2YR'!W15+'RESEARCH 2yr'!W15+'PUBLIC SERVICE 2yr'!W15+'ASptISptSSv 2yr'!W15+'PLANT OPER MAIN 2yr'!W15+'SCHOLAR FELLOW 2yr'!W15+'All Other 2yr'!W15)-W15</f>
        <v>0</v>
      </c>
      <c r="AZ15" s="75">
        <f>('INSTRUCTION-2YR'!X15+'RESEARCH 2yr'!X15+'PUBLIC SERVICE 2yr'!X15+'ASptISptSSv 2yr'!X15+'PLANT OPER MAIN 2yr'!X15+'SCHOLAR FELLOW 2yr'!X15+'All Other 2yr'!X15)-X15</f>
        <v>0</v>
      </c>
      <c r="BA15" s="75">
        <f>('INSTRUCTION-2YR'!Y15+'RESEARCH 2yr'!Y15+'PUBLIC SERVICE 2yr'!Y15+'ASptISptSSv 2yr'!Y15+'PLANT OPER MAIN 2yr'!Y15+'SCHOLAR FELLOW 2yr'!Y15+'All Other 2yr'!Y15)-Y15</f>
        <v>0</v>
      </c>
      <c r="BB15" s="75">
        <f>('INSTRUCTION-2YR'!Z15+'RESEARCH 2yr'!Z15+'PUBLIC SERVICE 2yr'!Z15+'ASptISptSSv 2yr'!Z15+'PLANT OPER MAIN 2yr'!Z15+'SCHOLAR FELLOW 2yr'!Z15+'All Other 2yr'!Z15)-Z15</f>
        <v>0</v>
      </c>
      <c r="BC15" s="75">
        <f>('INSTRUCTION-2YR'!AA15+'RESEARCH 2yr'!AA15+'PUBLIC SERVICE 2yr'!AA15+'ASptISptSSv 2yr'!AA15+'PLANT OPER MAIN 2yr'!AA15+'SCHOLAR FELLOW 2yr'!AA15+'All Other 2yr'!AA15)-AA15</f>
        <v>0</v>
      </c>
      <c r="BD15" s="75">
        <f>('INSTRUCTION-2YR'!AB15+'RESEARCH 2yr'!AB15+'PUBLIC SERVICE 2yr'!AB15+'ASptISptSSv 2yr'!AB15+'PLANT OPER MAIN 2yr'!AB15+'SCHOLAR FELLOW 2yr'!AB15+'All Other 2yr'!AB15)-AB15</f>
        <v>0</v>
      </c>
      <c r="BE15" s="75">
        <f>('INSTRUCTION-2YR'!AC15+'RESEARCH 2yr'!AC15+'PUBLIC SERVICE 2yr'!AC15+'ASptISptSSv 2yr'!AC15+'PLANT OPER MAIN 2yr'!AC15+'SCHOLAR FELLOW 2yr'!AC15+'All Other 2yr'!AC15)-AC15</f>
        <v>0</v>
      </c>
    </row>
    <row r="16" spans="1:57">
      <c r="A16" s="1" t="s">
        <v>9</v>
      </c>
      <c r="B16" s="1">
        <v>225182</v>
      </c>
      <c r="C16" s="1">
        <v>235832</v>
      </c>
      <c r="D16" s="1">
        <v>257123</v>
      </c>
      <c r="E16" s="1">
        <v>363508.83100000001</v>
      </c>
      <c r="F16" s="42">
        <v>301518.74800000002</v>
      </c>
      <c r="G16" s="1">
        <v>399877.35</v>
      </c>
      <c r="H16" s="1">
        <v>432919.01299999998</v>
      </c>
      <c r="I16" s="1">
        <v>364605.17200000002</v>
      </c>
      <c r="J16" s="1">
        <v>470264.92700000008</v>
      </c>
      <c r="K16" s="1">
        <v>478464.63400000002</v>
      </c>
      <c r="L16" s="1">
        <v>587578.10900000005</v>
      </c>
      <c r="M16" s="1">
        <v>648421.58600000001</v>
      </c>
      <c r="N16" s="1">
        <v>717604.49199999997</v>
      </c>
      <c r="O16" s="1">
        <v>815251.71900000004</v>
      </c>
      <c r="P16" s="1">
        <v>830172.40399999998</v>
      </c>
      <c r="Q16" s="1">
        <v>886995.27500000002</v>
      </c>
      <c r="R16" s="1">
        <v>947579.21299999999</v>
      </c>
      <c r="S16" s="1">
        <v>1019198.458</v>
      </c>
      <c r="T16" s="1">
        <v>1096948.24</v>
      </c>
      <c r="U16" s="1">
        <v>1201828.69</v>
      </c>
      <c r="V16" s="1">
        <v>1283886.1640000001</v>
      </c>
      <c r="W16" s="1">
        <v>1388056.5279999999</v>
      </c>
      <c r="X16" s="1">
        <v>1416646.6459999999</v>
      </c>
      <c r="Y16" s="1">
        <v>1411068.6950000001</v>
      </c>
      <c r="Z16" s="1">
        <v>1460885.89</v>
      </c>
      <c r="AA16" s="1">
        <v>1486996.3319999999</v>
      </c>
      <c r="AB16" s="1">
        <v>1502073.3189999999</v>
      </c>
      <c r="AC16" s="1">
        <v>1503130.571</v>
      </c>
      <c r="AD16" s="75">
        <f>('INSTRUCTION-2YR'!B16+'RESEARCH 2yr'!B16+'PUBLIC SERVICE 2yr'!B16+'ASptISptSSv 2yr'!B16+'PLANT OPER MAIN 2yr'!B16+'SCHOLAR FELLOW 2yr'!B16+'All Other 2yr'!B16)-B16</f>
        <v>0</v>
      </c>
      <c r="AE16" s="75">
        <f>('INSTRUCTION-2YR'!C16+'RESEARCH 2yr'!C16+'PUBLIC SERVICE 2yr'!C16+'ASptISptSSv 2yr'!C16+'PLANT OPER MAIN 2yr'!C16+'SCHOLAR FELLOW 2yr'!C16+'All Other 2yr'!C16)-C16</f>
        <v>0</v>
      </c>
      <c r="AF16" s="75">
        <f>('INSTRUCTION-2YR'!D16+'RESEARCH 2yr'!D16+'PUBLIC SERVICE 2yr'!D16+'ASptISptSSv 2yr'!D16+'PLANT OPER MAIN 2yr'!D16+'SCHOLAR FELLOW 2yr'!D16+'All Other 2yr'!D16)-D16</f>
        <v>0</v>
      </c>
      <c r="AG16" s="75">
        <f>('INSTRUCTION-2YR'!E16+'RESEARCH 2yr'!E16+'PUBLIC SERVICE 2yr'!E16+'ASptISptSSv 2yr'!E16+'PLANT OPER MAIN 2yr'!E16+'SCHOLAR FELLOW 2yr'!E16+'All Other 2yr'!E16)-E16</f>
        <v>0</v>
      </c>
      <c r="AH16" s="75">
        <f>('INSTRUCTION-2YR'!F16+'RESEARCH 2yr'!F16+'PUBLIC SERVICE 2yr'!F16+'ASptISptSSv 2yr'!F16+'PLANT OPER MAIN 2yr'!F16+'SCHOLAR FELLOW 2yr'!F16+'All Other 2yr'!F16)-F16</f>
        <v>0</v>
      </c>
      <c r="AI16" s="75">
        <f>('INSTRUCTION-2YR'!G16+'RESEARCH 2yr'!G16+'PUBLIC SERVICE 2yr'!G16+'ASptISptSSv 2yr'!G16+'PLANT OPER MAIN 2yr'!G16+'SCHOLAR FELLOW 2yr'!G16+'All Other 2yr'!G16)-G16</f>
        <v>0</v>
      </c>
      <c r="AJ16" s="75">
        <f>('INSTRUCTION-2YR'!H16+'RESEARCH 2yr'!H16+'PUBLIC SERVICE 2yr'!H16+'ASptISptSSv 2yr'!H16+'PLANT OPER MAIN 2yr'!H16+'SCHOLAR FELLOW 2yr'!H16+'All Other 2yr'!H16)-H16</f>
        <v>0</v>
      </c>
      <c r="AK16" s="75">
        <f>('INSTRUCTION-2YR'!I16+'RESEARCH 2yr'!I16+'PUBLIC SERVICE 2yr'!I16+'ASptISptSSv 2yr'!I16+'PLANT OPER MAIN 2yr'!I16+'SCHOLAR FELLOW 2yr'!I16+'All Other 2yr'!I16)-I16</f>
        <v>0</v>
      </c>
      <c r="AL16" s="75">
        <f>('INSTRUCTION-2YR'!J16+'RESEARCH 2yr'!J16+'PUBLIC SERVICE 2yr'!J16+'ASptISptSSv 2yr'!J16+'PLANT OPER MAIN 2yr'!J16+'SCHOLAR FELLOW 2yr'!J16+'All Other 2yr'!J16)-J16</f>
        <v>0</v>
      </c>
      <c r="AM16" s="75">
        <f>('INSTRUCTION-2YR'!K16+'RESEARCH 2yr'!K16+'PUBLIC SERVICE 2yr'!K16+'ASptISptSSv 2yr'!K16+'PLANT OPER MAIN 2yr'!K16+'SCHOLAR FELLOW 2yr'!K16+'All Other 2yr'!K16)-K16</f>
        <v>0</v>
      </c>
      <c r="AN16" s="75">
        <f>('INSTRUCTION-2YR'!L16+'RESEARCH 2yr'!L16+'PUBLIC SERVICE 2yr'!L16+'ASptISptSSv 2yr'!L16+'PLANT OPER MAIN 2yr'!L16+'SCHOLAR FELLOW 2yr'!L16+'All Other 2yr'!L16)-L16</f>
        <v>0</v>
      </c>
      <c r="AO16" s="75">
        <f>('INSTRUCTION-2YR'!M16+'RESEARCH 2yr'!M16+'PUBLIC SERVICE 2yr'!M16+'ASptISptSSv 2yr'!M16+'PLANT OPER MAIN 2yr'!M16+'SCHOLAR FELLOW 2yr'!M16+'All Other 2yr'!M16)-M16</f>
        <v>0</v>
      </c>
      <c r="AP16" s="75">
        <f>('INSTRUCTION-2YR'!N16+'RESEARCH 2yr'!N16+'PUBLIC SERVICE 2yr'!N16+'ASptISptSSv 2yr'!N16+'PLANT OPER MAIN 2yr'!N16+'SCHOLAR FELLOW 2yr'!N16+'All Other 2yr'!N16)-N16</f>
        <v>0</v>
      </c>
      <c r="AQ16" s="75">
        <f>('INSTRUCTION-2YR'!O16+'RESEARCH 2yr'!O16+'PUBLIC SERVICE 2yr'!O16+'ASptISptSSv 2yr'!O16+'PLANT OPER MAIN 2yr'!O16+'SCHOLAR FELLOW 2yr'!O16+'All Other 2yr'!O16)-O16</f>
        <v>0</v>
      </c>
      <c r="AR16" s="75">
        <f>('INSTRUCTION-2YR'!P16+'RESEARCH 2yr'!P16+'PUBLIC SERVICE 2yr'!P16+'ASptISptSSv 2yr'!P16+'PLANT OPER MAIN 2yr'!P16+'SCHOLAR FELLOW 2yr'!P16+'All Other 2yr'!P16)-P16</f>
        <v>0</v>
      </c>
      <c r="AS16" s="75">
        <f>('INSTRUCTION-2YR'!Q16+'RESEARCH 2yr'!Q16+'PUBLIC SERVICE 2yr'!Q16+'ASptISptSSv 2yr'!Q16+'PLANT OPER MAIN 2yr'!Q16+'SCHOLAR FELLOW 2yr'!Q16+'All Other 2yr'!Q16)-Q16</f>
        <v>0</v>
      </c>
      <c r="AT16" s="75">
        <f>('INSTRUCTION-2YR'!R16+'RESEARCH 2yr'!R16+'PUBLIC SERVICE 2yr'!R16+'ASptISptSSv 2yr'!R16+'PLANT OPER MAIN 2yr'!R16+'SCHOLAR FELLOW 2yr'!R16+'All Other 2yr'!R16)-R16</f>
        <v>0</v>
      </c>
      <c r="AU16" s="75">
        <f>('INSTRUCTION-2YR'!S16+'RESEARCH 2yr'!S16+'PUBLIC SERVICE 2yr'!S16+'ASptISptSSv 2yr'!S16+'PLANT OPER MAIN 2yr'!S16+'SCHOLAR FELLOW 2yr'!S16+'All Other 2yr'!S16)-S16</f>
        <v>0</v>
      </c>
      <c r="AV16" s="75">
        <f>('INSTRUCTION-2YR'!T16+'RESEARCH 2yr'!T16+'PUBLIC SERVICE 2yr'!T16+'ASptISptSSv 2yr'!T16+'PLANT OPER MAIN 2yr'!T16+'SCHOLAR FELLOW 2yr'!T16+'All Other 2yr'!T16)-T16</f>
        <v>0</v>
      </c>
      <c r="AW16" s="75">
        <f>('INSTRUCTION-2YR'!U16+'RESEARCH 2yr'!U16+'PUBLIC SERVICE 2yr'!U16+'ASptISptSSv 2yr'!U16+'PLANT OPER MAIN 2yr'!U16+'SCHOLAR FELLOW 2yr'!U16+'All Other 2yr'!U16)-U16</f>
        <v>0</v>
      </c>
      <c r="AX16" s="75">
        <f>('INSTRUCTION-2YR'!V16+'RESEARCH 2yr'!V16+'PUBLIC SERVICE 2yr'!V16+'ASptISptSSv 2yr'!V16+'PLANT OPER MAIN 2yr'!V16+'SCHOLAR FELLOW 2yr'!V16+'All Other 2yr'!V16)-V16</f>
        <v>0</v>
      </c>
      <c r="AY16" s="75">
        <f>('INSTRUCTION-2YR'!W16+'RESEARCH 2yr'!W16+'PUBLIC SERVICE 2yr'!W16+'ASptISptSSv 2yr'!W16+'PLANT OPER MAIN 2yr'!W16+'SCHOLAR FELLOW 2yr'!W16+'All Other 2yr'!W16)-W16</f>
        <v>0</v>
      </c>
      <c r="AZ16" s="75">
        <f>('INSTRUCTION-2YR'!X16+'RESEARCH 2yr'!X16+'PUBLIC SERVICE 2yr'!X16+'ASptISptSSv 2yr'!X16+'PLANT OPER MAIN 2yr'!X16+'SCHOLAR FELLOW 2yr'!X16+'All Other 2yr'!X16)-X16</f>
        <v>0</v>
      </c>
      <c r="BA16" s="75">
        <f>('INSTRUCTION-2YR'!Y16+'RESEARCH 2yr'!Y16+'PUBLIC SERVICE 2yr'!Y16+'ASptISptSSv 2yr'!Y16+'PLANT OPER MAIN 2yr'!Y16+'SCHOLAR FELLOW 2yr'!Y16+'All Other 2yr'!Y16)-Y16</f>
        <v>0</v>
      </c>
      <c r="BB16" s="75">
        <f>('INSTRUCTION-2YR'!Z16+'RESEARCH 2yr'!Z16+'PUBLIC SERVICE 2yr'!Z16+'ASptISptSSv 2yr'!Z16+'PLANT OPER MAIN 2yr'!Z16+'SCHOLAR FELLOW 2yr'!Z16+'All Other 2yr'!Z16)-Z16</f>
        <v>0</v>
      </c>
      <c r="BC16" s="75">
        <f>('INSTRUCTION-2YR'!AA16+'RESEARCH 2yr'!AA16+'PUBLIC SERVICE 2yr'!AA16+'ASptISptSSv 2yr'!AA16+'PLANT OPER MAIN 2yr'!AA16+'SCHOLAR FELLOW 2yr'!AA16+'All Other 2yr'!AA16)-AA16</f>
        <v>0</v>
      </c>
      <c r="BD16" s="75">
        <f>('INSTRUCTION-2YR'!AB16+'RESEARCH 2yr'!AB16+'PUBLIC SERVICE 2yr'!AB16+'ASptISptSSv 2yr'!AB16+'PLANT OPER MAIN 2yr'!AB16+'SCHOLAR FELLOW 2yr'!AB16+'All Other 2yr'!AB16)-AB16</f>
        <v>0</v>
      </c>
      <c r="BE16" s="75">
        <f>('INSTRUCTION-2YR'!AC16+'RESEARCH 2yr'!AC16+'PUBLIC SERVICE 2yr'!AC16+'ASptISptSSv 2yr'!AC16+'PLANT OPER MAIN 2yr'!AC16+'SCHOLAR FELLOW 2yr'!AC16+'All Other 2yr'!AC16)-AC16</f>
        <v>0</v>
      </c>
    </row>
    <row r="17" spans="1:57">
      <c r="A17" s="1" t="s">
        <v>10</v>
      </c>
      <c r="B17" s="1">
        <v>129644</v>
      </c>
      <c r="C17" s="1">
        <v>133004</v>
      </c>
      <c r="D17" s="1">
        <v>148127</v>
      </c>
      <c r="E17" s="1">
        <v>211036.44899999999</v>
      </c>
      <c r="F17" s="42">
        <v>215799.08300000001</v>
      </c>
      <c r="G17" s="1">
        <v>236869.23600000003</v>
      </c>
      <c r="H17" s="1">
        <v>257017.959</v>
      </c>
      <c r="I17" s="1">
        <v>295702.75199999998</v>
      </c>
      <c r="J17" s="1">
        <v>322618.49400000001</v>
      </c>
      <c r="K17" s="1">
        <v>334602.53000000003</v>
      </c>
      <c r="L17" s="1">
        <v>414818.12199999997</v>
      </c>
      <c r="M17" s="1">
        <v>428330.54</v>
      </c>
      <c r="N17" s="1">
        <v>451846.46399999998</v>
      </c>
      <c r="O17" s="1">
        <v>537814.05200000003</v>
      </c>
      <c r="P17" s="1">
        <v>550422.25100000005</v>
      </c>
      <c r="Q17" s="1">
        <v>574565.13600000006</v>
      </c>
      <c r="R17" s="1">
        <v>611661.74899999995</v>
      </c>
      <c r="S17" s="1">
        <v>640286.13600000006</v>
      </c>
      <c r="T17" s="1">
        <v>700451.26800000004</v>
      </c>
      <c r="U17" s="1">
        <v>739100.9</v>
      </c>
      <c r="V17" s="1">
        <v>847826.49600000004</v>
      </c>
      <c r="W17" s="1">
        <v>904421.39</v>
      </c>
      <c r="X17" s="1">
        <v>882757.08400000003</v>
      </c>
      <c r="Y17" s="1">
        <v>851763.27500000002</v>
      </c>
      <c r="Z17" s="1">
        <v>847476.94900000002</v>
      </c>
      <c r="AA17" s="1">
        <v>856326.64800000004</v>
      </c>
      <c r="AB17" s="1">
        <v>866589.522</v>
      </c>
      <c r="AC17" s="1">
        <v>916885.00199999998</v>
      </c>
      <c r="AD17" s="75">
        <f>('INSTRUCTION-2YR'!B17+'RESEARCH 2yr'!B17+'PUBLIC SERVICE 2yr'!B17+'ASptISptSSv 2yr'!B17+'PLANT OPER MAIN 2yr'!B17+'SCHOLAR FELLOW 2yr'!B17+'All Other 2yr'!B17)-B17</f>
        <v>0</v>
      </c>
      <c r="AE17" s="75">
        <f>('INSTRUCTION-2YR'!C17+'RESEARCH 2yr'!C17+'PUBLIC SERVICE 2yr'!C17+'ASptISptSSv 2yr'!C17+'PLANT OPER MAIN 2yr'!C17+'SCHOLAR FELLOW 2yr'!C17+'All Other 2yr'!C17)-C17</f>
        <v>0</v>
      </c>
      <c r="AF17" s="75">
        <f>('INSTRUCTION-2YR'!D17+'RESEARCH 2yr'!D17+'PUBLIC SERVICE 2yr'!D17+'ASptISptSSv 2yr'!D17+'PLANT OPER MAIN 2yr'!D17+'SCHOLAR FELLOW 2yr'!D17+'All Other 2yr'!D17)-D17</f>
        <v>0</v>
      </c>
      <c r="AG17" s="75">
        <f>('INSTRUCTION-2YR'!E17+'RESEARCH 2yr'!E17+'PUBLIC SERVICE 2yr'!E17+'ASptISptSSv 2yr'!E17+'PLANT OPER MAIN 2yr'!E17+'SCHOLAR FELLOW 2yr'!E17+'All Other 2yr'!E17)-E17</f>
        <v>0</v>
      </c>
      <c r="AH17" s="75">
        <f>('INSTRUCTION-2YR'!F17+'RESEARCH 2yr'!F17+'PUBLIC SERVICE 2yr'!F17+'ASptISptSSv 2yr'!F17+'PLANT OPER MAIN 2yr'!F17+'SCHOLAR FELLOW 2yr'!F17+'All Other 2yr'!F17)-F17</f>
        <v>0</v>
      </c>
      <c r="AI17" s="75">
        <f>('INSTRUCTION-2YR'!G17+'RESEARCH 2yr'!G17+'PUBLIC SERVICE 2yr'!G17+'ASptISptSSv 2yr'!G17+'PLANT OPER MAIN 2yr'!G17+'SCHOLAR FELLOW 2yr'!G17+'All Other 2yr'!G17)-G17</f>
        <v>0</v>
      </c>
      <c r="AJ17" s="75">
        <f>('INSTRUCTION-2YR'!H17+'RESEARCH 2yr'!H17+'PUBLIC SERVICE 2yr'!H17+'ASptISptSSv 2yr'!H17+'PLANT OPER MAIN 2yr'!H17+'SCHOLAR FELLOW 2yr'!H17+'All Other 2yr'!H17)-H17</f>
        <v>0</v>
      </c>
      <c r="AK17" s="75">
        <f>('INSTRUCTION-2YR'!I17+'RESEARCH 2yr'!I17+'PUBLIC SERVICE 2yr'!I17+'ASptISptSSv 2yr'!I17+'PLANT OPER MAIN 2yr'!I17+'SCHOLAR FELLOW 2yr'!I17+'All Other 2yr'!I17)-I17</f>
        <v>0</v>
      </c>
      <c r="AL17" s="75">
        <f>('INSTRUCTION-2YR'!J17+'RESEARCH 2yr'!J17+'PUBLIC SERVICE 2yr'!J17+'ASptISptSSv 2yr'!J17+'PLANT OPER MAIN 2yr'!J17+'SCHOLAR FELLOW 2yr'!J17+'All Other 2yr'!J17)-J17</f>
        <v>0</v>
      </c>
      <c r="AM17" s="75">
        <f>('INSTRUCTION-2YR'!K17+'RESEARCH 2yr'!K17+'PUBLIC SERVICE 2yr'!K17+'ASptISptSSv 2yr'!K17+'PLANT OPER MAIN 2yr'!K17+'SCHOLAR FELLOW 2yr'!K17+'All Other 2yr'!K17)-K17</f>
        <v>0</v>
      </c>
      <c r="AN17" s="75">
        <f>('INSTRUCTION-2YR'!L17+'RESEARCH 2yr'!L17+'PUBLIC SERVICE 2yr'!L17+'ASptISptSSv 2yr'!L17+'PLANT OPER MAIN 2yr'!L17+'SCHOLAR FELLOW 2yr'!L17+'All Other 2yr'!L17)-L17</f>
        <v>0</v>
      </c>
      <c r="AO17" s="75">
        <f>('INSTRUCTION-2YR'!M17+'RESEARCH 2yr'!M17+'PUBLIC SERVICE 2yr'!M17+'ASptISptSSv 2yr'!M17+'PLANT OPER MAIN 2yr'!M17+'SCHOLAR FELLOW 2yr'!M17+'All Other 2yr'!M17)-M17</f>
        <v>0</v>
      </c>
      <c r="AP17" s="75">
        <f>('INSTRUCTION-2YR'!N17+'RESEARCH 2yr'!N17+'PUBLIC SERVICE 2yr'!N17+'ASptISptSSv 2yr'!N17+'PLANT OPER MAIN 2yr'!N17+'SCHOLAR FELLOW 2yr'!N17+'All Other 2yr'!N17)-N17</f>
        <v>0</v>
      </c>
      <c r="AQ17" s="75">
        <f>('INSTRUCTION-2YR'!O17+'RESEARCH 2yr'!O17+'PUBLIC SERVICE 2yr'!O17+'ASptISptSSv 2yr'!O17+'PLANT OPER MAIN 2yr'!O17+'SCHOLAR FELLOW 2yr'!O17+'All Other 2yr'!O17)-O17</f>
        <v>0</v>
      </c>
      <c r="AR17" s="75">
        <f>('INSTRUCTION-2YR'!P17+'RESEARCH 2yr'!P17+'PUBLIC SERVICE 2yr'!P17+'ASptISptSSv 2yr'!P17+'PLANT OPER MAIN 2yr'!P17+'SCHOLAR FELLOW 2yr'!P17+'All Other 2yr'!P17)-P17</f>
        <v>0</v>
      </c>
      <c r="AS17" s="75">
        <f>('INSTRUCTION-2YR'!Q17+'RESEARCH 2yr'!Q17+'PUBLIC SERVICE 2yr'!Q17+'ASptISptSSv 2yr'!Q17+'PLANT OPER MAIN 2yr'!Q17+'SCHOLAR FELLOW 2yr'!Q17+'All Other 2yr'!Q17)-Q17</f>
        <v>0</v>
      </c>
      <c r="AT17" s="75">
        <f>('INSTRUCTION-2YR'!R17+'RESEARCH 2yr'!R17+'PUBLIC SERVICE 2yr'!R17+'ASptISptSSv 2yr'!R17+'PLANT OPER MAIN 2yr'!R17+'SCHOLAR FELLOW 2yr'!R17+'All Other 2yr'!R17)-R17</f>
        <v>0</v>
      </c>
      <c r="AU17" s="75">
        <f>('INSTRUCTION-2YR'!S17+'RESEARCH 2yr'!S17+'PUBLIC SERVICE 2yr'!S17+'ASptISptSSv 2yr'!S17+'PLANT OPER MAIN 2yr'!S17+'SCHOLAR FELLOW 2yr'!S17+'All Other 2yr'!S17)-S17</f>
        <v>0</v>
      </c>
      <c r="AV17" s="75">
        <f>('INSTRUCTION-2YR'!T17+'RESEARCH 2yr'!T17+'PUBLIC SERVICE 2yr'!T17+'ASptISptSSv 2yr'!T17+'PLANT OPER MAIN 2yr'!T17+'SCHOLAR FELLOW 2yr'!T17+'All Other 2yr'!T17)-T17</f>
        <v>0</v>
      </c>
      <c r="AW17" s="75">
        <f>('INSTRUCTION-2YR'!U17+'RESEARCH 2yr'!U17+'PUBLIC SERVICE 2yr'!U17+'ASptISptSSv 2yr'!U17+'PLANT OPER MAIN 2yr'!U17+'SCHOLAR FELLOW 2yr'!U17+'All Other 2yr'!U17)-U17</f>
        <v>0</v>
      </c>
      <c r="AX17" s="75">
        <f>('INSTRUCTION-2YR'!V17+'RESEARCH 2yr'!V17+'PUBLIC SERVICE 2yr'!V17+'ASptISptSSv 2yr'!V17+'PLANT OPER MAIN 2yr'!V17+'SCHOLAR FELLOW 2yr'!V17+'All Other 2yr'!V17)-V17</f>
        <v>0</v>
      </c>
      <c r="AY17" s="75">
        <f>('INSTRUCTION-2YR'!W17+'RESEARCH 2yr'!W17+'PUBLIC SERVICE 2yr'!W17+'ASptISptSSv 2yr'!W17+'PLANT OPER MAIN 2yr'!W17+'SCHOLAR FELLOW 2yr'!W17+'All Other 2yr'!W17)-W17</f>
        <v>0</v>
      </c>
      <c r="AZ17" s="75">
        <f>('INSTRUCTION-2YR'!X17+'RESEARCH 2yr'!X17+'PUBLIC SERVICE 2yr'!X17+'ASptISptSSv 2yr'!X17+'PLANT OPER MAIN 2yr'!X17+'SCHOLAR FELLOW 2yr'!X17+'All Other 2yr'!X17)-X17</f>
        <v>0</v>
      </c>
      <c r="BA17" s="75">
        <f>('INSTRUCTION-2YR'!Y17+'RESEARCH 2yr'!Y17+'PUBLIC SERVICE 2yr'!Y17+'ASptISptSSv 2yr'!Y17+'PLANT OPER MAIN 2yr'!Y17+'SCHOLAR FELLOW 2yr'!Y17+'All Other 2yr'!Y17)-Y17</f>
        <v>0</v>
      </c>
      <c r="BB17" s="75">
        <f>('INSTRUCTION-2YR'!Z17+'RESEARCH 2yr'!Z17+'PUBLIC SERVICE 2yr'!Z17+'ASptISptSSv 2yr'!Z17+'PLANT OPER MAIN 2yr'!Z17+'SCHOLAR FELLOW 2yr'!Z17+'All Other 2yr'!Z17)-Z17</f>
        <v>0</v>
      </c>
      <c r="BC17" s="75">
        <f>('INSTRUCTION-2YR'!AA17+'RESEARCH 2yr'!AA17+'PUBLIC SERVICE 2yr'!AA17+'ASptISptSSv 2yr'!AA17+'PLANT OPER MAIN 2yr'!AA17+'SCHOLAR FELLOW 2yr'!AA17+'All Other 2yr'!AA17)-AA17</f>
        <v>0</v>
      </c>
      <c r="BD17" s="75">
        <f>('INSTRUCTION-2YR'!AB17+'RESEARCH 2yr'!AB17+'PUBLIC SERVICE 2yr'!AB17+'ASptISptSSv 2yr'!AB17+'PLANT OPER MAIN 2yr'!AB17+'SCHOLAR FELLOW 2yr'!AB17+'All Other 2yr'!AB17)-AB17</f>
        <v>0</v>
      </c>
      <c r="BE17" s="75">
        <f>('INSTRUCTION-2YR'!AC17+'RESEARCH 2yr'!AC17+'PUBLIC SERVICE 2yr'!AC17+'ASptISptSSv 2yr'!AC17+'PLANT OPER MAIN 2yr'!AC17+'SCHOLAR FELLOW 2yr'!AC17+'All Other 2yr'!AC17)-AC17</f>
        <v>0</v>
      </c>
    </row>
    <row r="18" spans="1:57">
      <c r="A18" s="1" t="s">
        <v>11</v>
      </c>
      <c r="B18" s="1">
        <v>291020</v>
      </c>
      <c r="C18" s="1">
        <v>317730</v>
      </c>
      <c r="D18" s="1">
        <v>348495</v>
      </c>
      <c r="E18" s="1">
        <v>504940.83100000001</v>
      </c>
      <c r="F18" s="42">
        <v>531034.33299999998</v>
      </c>
      <c r="G18" s="1">
        <v>584110.76699999988</v>
      </c>
      <c r="H18" s="1">
        <v>624068.37300000002</v>
      </c>
      <c r="I18" s="1">
        <v>656528.83499999996</v>
      </c>
      <c r="J18" s="1">
        <v>672336.80199999991</v>
      </c>
      <c r="K18" s="1">
        <v>710548.3759499999</v>
      </c>
      <c r="L18" s="1">
        <v>921608.00800000003</v>
      </c>
      <c r="M18" s="1">
        <v>995447.821</v>
      </c>
      <c r="N18" s="1">
        <v>1114570.4450000001</v>
      </c>
      <c r="O18" s="1">
        <v>1224503.5209999999</v>
      </c>
      <c r="P18" s="1">
        <v>1323571.1399999999</v>
      </c>
      <c r="Q18" s="1">
        <v>1430391.8570000001</v>
      </c>
      <c r="R18" s="1">
        <v>1510807.993</v>
      </c>
      <c r="S18" s="1">
        <v>1596187.787</v>
      </c>
      <c r="T18" s="1">
        <v>1722389.3640000001</v>
      </c>
      <c r="U18" s="1">
        <v>1838942.7579999999</v>
      </c>
      <c r="V18" s="1">
        <v>2082682.01</v>
      </c>
      <c r="W18" s="1">
        <v>2299038.1129999999</v>
      </c>
      <c r="X18" s="1">
        <v>2283125.7969999998</v>
      </c>
      <c r="Y18" s="1">
        <v>2333656.5890000002</v>
      </c>
      <c r="Z18" s="1">
        <v>2319750.9500000002</v>
      </c>
      <c r="AA18" s="1">
        <v>2291550.8450000002</v>
      </c>
      <c r="AB18" s="1">
        <v>2229708.523</v>
      </c>
      <c r="AC18" s="1">
        <v>2299223.9190000002</v>
      </c>
      <c r="AD18" s="75">
        <f>('INSTRUCTION-2YR'!B18+'RESEARCH 2yr'!B18+'PUBLIC SERVICE 2yr'!B18+'ASptISptSSv 2yr'!B18+'PLANT OPER MAIN 2yr'!B18+'SCHOLAR FELLOW 2yr'!B18+'All Other 2yr'!B18)-B18</f>
        <v>0</v>
      </c>
      <c r="AE18" s="75">
        <f>('INSTRUCTION-2YR'!C18+'RESEARCH 2yr'!C18+'PUBLIC SERVICE 2yr'!C18+'ASptISptSSv 2yr'!C18+'PLANT OPER MAIN 2yr'!C18+'SCHOLAR FELLOW 2yr'!C18+'All Other 2yr'!C18)-C18</f>
        <v>0</v>
      </c>
      <c r="AF18" s="75">
        <f>('INSTRUCTION-2YR'!D18+'RESEARCH 2yr'!D18+'PUBLIC SERVICE 2yr'!D18+'ASptISptSSv 2yr'!D18+'PLANT OPER MAIN 2yr'!D18+'SCHOLAR FELLOW 2yr'!D18+'All Other 2yr'!D18)-D18</f>
        <v>0</v>
      </c>
      <c r="AG18" s="75">
        <f>('INSTRUCTION-2YR'!E18+'RESEARCH 2yr'!E18+'PUBLIC SERVICE 2yr'!E18+'ASptISptSSv 2yr'!E18+'PLANT OPER MAIN 2yr'!E18+'SCHOLAR FELLOW 2yr'!E18+'All Other 2yr'!E18)-E18</f>
        <v>0</v>
      </c>
      <c r="AH18" s="75">
        <f>('INSTRUCTION-2YR'!F18+'RESEARCH 2yr'!F18+'PUBLIC SERVICE 2yr'!F18+'ASptISptSSv 2yr'!F18+'PLANT OPER MAIN 2yr'!F18+'SCHOLAR FELLOW 2yr'!F18+'All Other 2yr'!F18)-F18</f>
        <v>0</v>
      </c>
      <c r="AI18" s="75">
        <f>('INSTRUCTION-2YR'!G18+'RESEARCH 2yr'!G18+'PUBLIC SERVICE 2yr'!G18+'ASptISptSSv 2yr'!G18+'PLANT OPER MAIN 2yr'!G18+'SCHOLAR FELLOW 2yr'!G18+'All Other 2yr'!G18)-G18</f>
        <v>0</v>
      </c>
      <c r="AJ18" s="75">
        <f>('INSTRUCTION-2YR'!H18+'RESEARCH 2yr'!H18+'PUBLIC SERVICE 2yr'!H18+'ASptISptSSv 2yr'!H18+'PLANT OPER MAIN 2yr'!H18+'SCHOLAR FELLOW 2yr'!H18+'All Other 2yr'!H18)-H18</f>
        <v>0</v>
      </c>
      <c r="AK18" s="75">
        <f>('INSTRUCTION-2YR'!I18+'RESEARCH 2yr'!I18+'PUBLIC SERVICE 2yr'!I18+'ASptISptSSv 2yr'!I18+'PLANT OPER MAIN 2yr'!I18+'SCHOLAR FELLOW 2yr'!I18+'All Other 2yr'!I18)-I18</f>
        <v>0</v>
      </c>
      <c r="AL18" s="75">
        <f>('INSTRUCTION-2YR'!J18+'RESEARCH 2yr'!J18+'PUBLIC SERVICE 2yr'!J18+'ASptISptSSv 2yr'!J18+'PLANT OPER MAIN 2yr'!J18+'SCHOLAR FELLOW 2yr'!J18+'All Other 2yr'!J18)-J18</f>
        <v>0</v>
      </c>
      <c r="AM18" s="75">
        <f>('INSTRUCTION-2YR'!K18+'RESEARCH 2yr'!K18+'PUBLIC SERVICE 2yr'!K18+'ASptISptSSv 2yr'!K18+'PLANT OPER MAIN 2yr'!K18+'SCHOLAR FELLOW 2yr'!K18+'All Other 2yr'!K18)-K18</f>
        <v>0</v>
      </c>
      <c r="AN18" s="75">
        <f>('INSTRUCTION-2YR'!L18+'RESEARCH 2yr'!L18+'PUBLIC SERVICE 2yr'!L18+'ASptISptSSv 2yr'!L18+'PLANT OPER MAIN 2yr'!L18+'SCHOLAR FELLOW 2yr'!L18+'All Other 2yr'!L18)-L18</f>
        <v>0</v>
      </c>
      <c r="AO18" s="75">
        <f>('INSTRUCTION-2YR'!M18+'RESEARCH 2yr'!M18+'PUBLIC SERVICE 2yr'!M18+'ASptISptSSv 2yr'!M18+'PLANT OPER MAIN 2yr'!M18+'SCHOLAR FELLOW 2yr'!M18+'All Other 2yr'!M18)-M18</f>
        <v>0</v>
      </c>
      <c r="AP18" s="75">
        <f>('INSTRUCTION-2YR'!N18+'RESEARCH 2yr'!N18+'PUBLIC SERVICE 2yr'!N18+'ASptISptSSv 2yr'!N18+'PLANT OPER MAIN 2yr'!N18+'SCHOLAR FELLOW 2yr'!N18+'All Other 2yr'!N18)-N18</f>
        <v>0</v>
      </c>
      <c r="AQ18" s="75">
        <f>('INSTRUCTION-2YR'!O18+'RESEARCH 2yr'!O18+'PUBLIC SERVICE 2yr'!O18+'ASptISptSSv 2yr'!O18+'PLANT OPER MAIN 2yr'!O18+'SCHOLAR FELLOW 2yr'!O18+'All Other 2yr'!O18)-O18</f>
        <v>0</v>
      </c>
      <c r="AR18" s="75">
        <f>('INSTRUCTION-2YR'!P18+'RESEARCH 2yr'!P18+'PUBLIC SERVICE 2yr'!P18+'ASptISptSSv 2yr'!P18+'PLANT OPER MAIN 2yr'!P18+'SCHOLAR FELLOW 2yr'!P18+'All Other 2yr'!P18)-P18</f>
        <v>0</v>
      </c>
      <c r="AS18" s="75">
        <f>('INSTRUCTION-2YR'!Q18+'RESEARCH 2yr'!Q18+'PUBLIC SERVICE 2yr'!Q18+'ASptISptSSv 2yr'!Q18+'PLANT OPER MAIN 2yr'!Q18+'SCHOLAR FELLOW 2yr'!Q18+'All Other 2yr'!Q18)-Q18</f>
        <v>0</v>
      </c>
      <c r="AT18" s="75">
        <f>('INSTRUCTION-2YR'!R18+'RESEARCH 2yr'!R18+'PUBLIC SERVICE 2yr'!R18+'ASptISptSSv 2yr'!R18+'PLANT OPER MAIN 2yr'!R18+'SCHOLAR FELLOW 2yr'!R18+'All Other 2yr'!R18)-R18</f>
        <v>0</v>
      </c>
      <c r="AU18" s="75">
        <f>('INSTRUCTION-2YR'!S18+'RESEARCH 2yr'!S18+'PUBLIC SERVICE 2yr'!S18+'ASptISptSSv 2yr'!S18+'PLANT OPER MAIN 2yr'!S18+'SCHOLAR FELLOW 2yr'!S18+'All Other 2yr'!S18)-S18</f>
        <v>0</v>
      </c>
      <c r="AV18" s="75">
        <f>('INSTRUCTION-2YR'!T18+'RESEARCH 2yr'!T18+'PUBLIC SERVICE 2yr'!T18+'ASptISptSSv 2yr'!T18+'PLANT OPER MAIN 2yr'!T18+'SCHOLAR FELLOW 2yr'!T18+'All Other 2yr'!T18)-T18</f>
        <v>0</v>
      </c>
      <c r="AW18" s="75">
        <f>('INSTRUCTION-2YR'!U18+'RESEARCH 2yr'!U18+'PUBLIC SERVICE 2yr'!U18+'ASptISptSSv 2yr'!U18+'PLANT OPER MAIN 2yr'!U18+'SCHOLAR FELLOW 2yr'!U18+'All Other 2yr'!U18)-U18</f>
        <v>0</v>
      </c>
      <c r="AX18" s="75">
        <f>('INSTRUCTION-2YR'!V18+'RESEARCH 2yr'!V18+'PUBLIC SERVICE 2yr'!V18+'ASptISptSSv 2yr'!V18+'PLANT OPER MAIN 2yr'!V18+'SCHOLAR FELLOW 2yr'!V18+'All Other 2yr'!V18)-V18</f>
        <v>0</v>
      </c>
      <c r="AY18" s="75">
        <f>('INSTRUCTION-2YR'!W18+'RESEARCH 2yr'!W18+'PUBLIC SERVICE 2yr'!W18+'ASptISptSSv 2yr'!W18+'PLANT OPER MAIN 2yr'!W18+'SCHOLAR FELLOW 2yr'!W18+'All Other 2yr'!W18)-W18</f>
        <v>0</v>
      </c>
      <c r="AZ18" s="75">
        <f>('INSTRUCTION-2YR'!X18+'RESEARCH 2yr'!X18+'PUBLIC SERVICE 2yr'!X18+'ASptISptSSv 2yr'!X18+'PLANT OPER MAIN 2yr'!X18+'SCHOLAR FELLOW 2yr'!X18+'All Other 2yr'!X18)-X18</f>
        <v>0</v>
      </c>
      <c r="BA18" s="75">
        <f>('INSTRUCTION-2YR'!Y18+'RESEARCH 2yr'!Y18+'PUBLIC SERVICE 2yr'!Y18+'ASptISptSSv 2yr'!Y18+'PLANT OPER MAIN 2yr'!Y18+'SCHOLAR FELLOW 2yr'!Y18+'All Other 2yr'!Y18)-Y18</f>
        <v>0</v>
      </c>
      <c r="BB18" s="75">
        <f>('INSTRUCTION-2YR'!Z18+'RESEARCH 2yr'!Z18+'PUBLIC SERVICE 2yr'!Z18+'ASptISptSSv 2yr'!Z18+'PLANT OPER MAIN 2yr'!Z18+'SCHOLAR FELLOW 2yr'!Z18+'All Other 2yr'!Z18)-Z18</f>
        <v>0</v>
      </c>
      <c r="BC18" s="75">
        <f>('INSTRUCTION-2YR'!AA18+'RESEARCH 2yr'!AA18+'PUBLIC SERVICE 2yr'!AA18+'ASptISptSSv 2yr'!AA18+'PLANT OPER MAIN 2yr'!AA18+'SCHOLAR FELLOW 2yr'!AA18+'All Other 2yr'!AA18)-AA18</f>
        <v>0</v>
      </c>
      <c r="BD18" s="75">
        <f>('INSTRUCTION-2YR'!AB18+'RESEARCH 2yr'!AB18+'PUBLIC SERVICE 2yr'!AB18+'ASptISptSSv 2yr'!AB18+'PLANT OPER MAIN 2yr'!AB18+'SCHOLAR FELLOW 2yr'!AB18+'All Other 2yr'!AB18)-AB18</f>
        <v>0</v>
      </c>
      <c r="BE18" s="75">
        <f>('INSTRUCTION-2YR'!AC18+'RESEARCH 2yr'!AC18+'PUBLIC SERVICE 2yr'!AC18+'ASptISptSSv 2yr'!AC18+'PLANT OPER MAIN 2yr'!AC18+'SCHOLAR FELLOW 2yr'!AC18+'All Other 2yr'!AC18)-AC18</f>
        <v>0</v>
      </c>
    </row>
    <row r="19" spans="1:57">
      <c r="A19" s="1" t="s">
        <v>12</v>
      </c>
      <c r="B19" s="1">
        <v>89768</v>
      </c>
      <c r="C19" s="1">
        <v>96670</v>
      </c>
      <c r="D19" s="1">
        <v>107278</v>
      </c>
      <c r="E19" s="1">
        <v>167811.076</v>
      </c>
      <c r="F19" s="42">
        <v>191648.704</v>
      </c>
      <c r="G19" s="1">
        <v>190863.21699999998</v>
      </c>
      <c r="H19" s="1">
        <v>196704.43599999999</v>
      </c>
      <c r="I19" s="1">
        <v>208733.51199999999</v>
      </c>
      <c r="J19" s="1">
        <v>210961.56199999998</v>
      </c>
      <c r="K19" s="1">
        <v>232948.19021999999</v>
      </c>
      <c r="L19" s="1">
        <v>261875.66700000002</v>
      </c>
      <c r="M19" s="1">
        <v>390141.85100000002</v>
      </c>
      <c r="N19" s="1">
        <v>367845.967</v>
      </c>
      <c r="O19" s="1">
        <v>376259.36700000003</v>
      </c>
      <c r="P19" s="1">
        <v>363624.11499999999</v>
      </c>
      <c r="Q19" s="1">
        <v>368606.85399999999</v>
      </c>
      <c r="R19" s="1">
        <v>383374.04200000002</v>
      </c>
      <c r="S19" s="1">
        <v>390444.66600000003</v>
      </c>
      <c r="T19" s="1">
        <v>438414.38900000002</v>
      </c>
      <c r="U19" s="1">
        <v>499083.08399999997</v>
      </c>
      <c r="V19" s="1">
        <v>559871.03799999994</v>
      </c>
      <c r="W19" s="1">
        <v>587986.52500000002</v>
      </c>
      <c r="X19" s="1">
        <v>606906.54200000002</v>
      </c>
      <c r="Y19" s="1">
        <v>605767.64500000002</v>
      </c>
      <c r="Z19" s="1">
        <v>598773.89199999999</v>
      </c>
      <c r="AA19" s="1">
        <v>599331.16</v>
      </c>
      <c r="AB19" s="1">
        <v>599152.62300000002</v>
      </c>
      <c r="AC19" s="1">
        <v>592037.95299999998</v>
      </c>
      <c r="AD19" s="75">
        <f>('INSTRUCTION-2YR'!B19+'RESEARCH 2yr'!B19+'PUBLIC SERVICE 2yr'!B19+'ASptISptSSv 2yr'!B19+'PLANT OPER MAIN 2yr'!B19+'SCHOLAR FELLOW 2yr'!B19+'All Other 2yr'!B19)-B19</f>
        <v>0</v>
      </c>
      <c r="AE19" s="75">
        <f>('INSTRUCTION-2YR'!C19+'RESEARCH 2yr'!C19+'PUBLIC SERVICE 2yr'!C19+'ASptISptSSv 2yr'!C19+'PLANT OPER MAIN 2yr'!C19+'SCHOLAR FELLOW 2yr'!C19+'All Other 2yr'!C19)-C19</f>
        <v>0</v>
      </c>
      <c r="AF19" s="75">
        <f>('INSTRUCTION-2YR'!D19+'RESEARCH 2yr'!D19+'PUBLIC SERVICE 2yr'!D19+'ASptISptSSv 2yr'!D19+'PLANT OPER MAIN 2yr'!D19+'SCHOLAR FELLOW 2yr'!D19+'All Other 2yr'!D19)-D19</f>
        <v>0</v>
      </c>
      <c r="AG19" s="75">
        <f>('INSTRUCTION-2YR'!E19+'RESEARCH 2yr'!E19+'PUBLIC SERVICE 2yr'!E19+'ASptISptSSv 2yr'!E19+'PLANT OPER MAIN 2yr'!E19+'SCHOLAR FELLOW 2yr'!E19+'All Other 2yr'!E19)-E19</f>
        <v>0</v>
      </c>
      <c r="AH19" s="75">
        <f>('INSTRUCTION-2YR'!F19+'RESEARCH 2yr'!F19+'PUBLIC SERVICE 2yr'!F19+'ASptISptSSv 2yr'!F19+'PLANT OPER MAIN 2yr'!F19+'SCHOLAR FELLOW 2yr'!F19+'All Other 2yr'!F19)-F19</f>
        <v>0</v>
      </c>
      <c r="AI19" s="75">
        <f>('INSTRUCTION-2YR'!G19+'RESEARCH 2yr'!G19+'PUBLIC SERVICE 2yr'!G19+'ASptISptSSv 2yr'!G19+'PLANT OPER MAIN 2yr'!G19+'SCHOLAR FELLOW 2yr'!G19+'All Other 2yr'!G19)-G19</f>
        <v>0</v>
      </c>
      <c r="AJ19" s="75">
        <f>('INSTRUCTION-2YR'!H19+'RESEARCH 2yr'!H19+'PUBLIC SERVICE 2yr'!H19+'ASptISptSSv 2yr'!H19+'PLANT OPER MAIN 2yr'!H19+'SCHOLAR FELLOW 2yr'!H19+'All Other 2yr'!H19)-H19</f>
        <v>0</v>
      </c>
      <c r="AK19" s="75">
        <f>('INSTRUCTION-2YR'!I19+'RESEARCH 2yr'!I19+'PUBLIC SERVICE 2yr'!I19+'ASptISptSSv 2yr'!I19+'PLANT OPER MAIN 2yr'!I19+'SCHOLAR FELLOW 2yr'!I19+'All Other 2yr'!I19)-I19</f>
        <v>0</v>
      </c>
      <c r="AL19" s="75">
        <f>('INSTRUCTION-2YR'!J19+'RESEARCH 2yr'!J19+'PUBLIC SERVICE 2yr'!J19+'ASptISptSSv 2yr'!J19+'PLANT OPER MAIN 2yr'!J19+'SCHOLAR FELLOW 2yr'!J19+'All Other 2yr'!J19)-J19</f>
        <v>0</v>
      </c>
      <c r="AM19" s="75">
        <f>('INSTRUCTION-2YR'!K19+'RESEARCH 2yr'!K19+'PUBLIC SERVICE 2yr'!K19+'ASptISptSSv 2yr'!K19+'PLANT OPER MAIN 2yr'!K19+'SCHOLAR FELLOW 2yr'!K19+'All Other 2yr'!K19)-K19</f>
        <v>0</v>
      </c>
      <c r="AN19" s="75">
        <f>('INSTRUCTION-2YR'!L19+'RESEARCH 2yr'!L19+'PUBLIC SERVICE 2yr'!L19+'ASptISptSSv 2yr'!L19+'PLANT OPER MAIN 2yr'!L19+'SCHOLAR FELLOW 2yr'!L19+'All Other 2yr'!L19)-L19</f>
        <v>0</v>
      </c>
      <c r="AO19" s="75">
        <f>('INSTRUCTION-2YR'!M19+'RESEARCH 2yr'!M19+'PUBLIC SERVICE 2yr'!M19+'ASptISptSSv 2yr'!M19+'PLANT OPER MAIN 2yr'!M19+'SCHOLAR FELLOW 2yr'!M19+'All Other 2yr'!M19)-M19</f>
        <v>0</v>
      </c>
      <c r="AP19" s="75">
        <f>('INSTRUCTION-2YR'!N19+'RESEARCH 2yr'!N19+'PUBLIC SERVICE 2yr'!N19+'ASptISptSSv 2yr'!N19+'PLANT OPER MAIN 2yr'!N19+'SCHOLAR FELLOW 2yr'!N19+'All Other 2yr'!N19)-N19</f>
        <v>0</v>
      </c>
      <c r="AQ19" s="75">
        <f>('INSTRUCTION-2YR'!O19+'RESEARCH 2yr'!O19+'PUBLIC SERVICE 2yr'!O19+'ASptISptSSv 2yr'!O19+'PLANT OPER MAIN 2yr'!O19+'SCHOLAR FELLOW 2yr'!O19+'All Other 2yr'!O19)-O19</f>
        <v>0</v>
      </c>
      <c r="AR19" s="75">
        <f>('INSTRUCTION-2YR'!P19+'RESEARCH 2yr'!P19+'PUBLIC SERVICE 2yr'!P19+'ASptISptSSv 2yr'!P19+'PLANT OPER MAIN 2yr'!P19+'SCHOLAR FELLOW 2yr'!P19+'All Other 2yr'!P19)-P19</f>
        <v>0</v>
      </c>
      <c r="AS19" s="75">
        <f>('INSTRUCTION-2YR'!Q19+'RESEARCH 2yr'!Q19+'PUBLIC SERVICE 2yr'!Q19+'ASptISptSSv 2yr'!Q19+'PLANT OPER MAIN 2yr'!Q19+'SCHOLAR FELLOW 2yr'!Q19+'All Other 2yr'!Q19)-Q19</f>
        <v>0</v>
      </c>
      <c r="AT19" s="75">
        <f>('INSTRUCTION-2YR'!R19+'RESEARCH 2yr'!R19+'PUBLIC SERVICE 2yr'!R19+'ASptISptSSv 2yr'!R19+'PLANT OPER MAIN 2yr'!R19+'SCHOLAR FELLOW 2yr'!R19+'All Other 2yr'!R19)-R19</f>
        <v>0</v>
      </c>
      <c r="AU19" s="75">
        <f>('INSTRUCTION-2YR'!S19+'RESEARCH 2yr'!S19+'PUBLIC SERVICE 2yr'!S19+'ASptISptSSv 2yr'!S19+'PLANT OPER MAIN 2yr'!S19+'SCHOLAR FELLOW 2yr'!S19+'All Other 2yr'!S19)-S19</f>
        <v>0</v>
      </c>
      <c r="AV19" s="75">
        <f>('INSTRUCTION-2YR'!T19+'RESEARCH 2yr'!T19+'PUBLIC SERVICE 2yr'!T19+'ASptISptSSv 2yr'!T19+'PLANT OPER MAIN 2yr'!T19+'SCHOLAR FELLOW 2yr'!T19+'All Other 2yr'!T19)-T19</f>
        <v>0</v>
      </c>
      <c r="AW19" s="75">
        <f>('INSTRUCTION-2YR'!U19+'RESEARCH 2yr'!U19+'PUBLIC SERVICE 2yr'!U19+'ASptISptSSv 2yr'!U19+'PLANT OPER MAIN 2yr'!U19+'SCHOLAR FELLOW 2yr'!U19+'All Other 2yr'!U19)-U19</f>
        <v>0</v>
      </c>
      <c r="AX19" s="75">
        <f>('INSTRUCTION-2YR'!V19+'RESEARCH 2yr'!V19+'PUBLIC SERVICE 2yr'!V19+'ASptISptSSv 2yr'!V19+'PLANT OPER MAIN 2yr'!V19+'SCHOLAR FELLOW 2yr'!V19+'All Other 2yr'!V19)-V19</f>
        <v>0</v>
      </c>
      <c r="AY19" s="75">
        <f>('INSTRUCTION-2YR'!W19+'RESEARCH 2yr'!W19+'PUBLIC SERVICE 2yr'!W19+'ASptISptSSv 2yr'!W19+'PLANT OPER MAIN 2yr'!W19+'SCHOLAR FELLOW 2yr'!W19+'All Other 2yr'!W19)-W19</f>
        <v>0</v>
      </c>
      <c r="AZ19" s="75">
        <f>('INSTRUCTION-2YR'!X19+'RESEARCH 2yr'!X19+'PUBLIC SERVICE 2yr'!X19+'ASptISptSSv 2yr'!X19+'PLANT OPER MAIN 2yr'!X19+'SCHOLAR FELLOW 2yr'!X19+'All Other 2yr'!X19)-X19</f>
        <v>0</v>
      </c>
      <c r="BA19" s="75">
        <f>('INSTRUCTION-2YR'!Y19+'RESEARCH 2yr'!Y19+'PUBLIC SERVICE 2yr'!Y19+'ASptISptSSv 2yr'!Y19+'PLANT OPER MAIN 2yr'!Y19+'SCHOLAR FELLOW 2yr'!Y19+'All Other 2yr'!Y19)-Y19</f>
        <v>0</v>
      </c>
      <c r="BB19" s="75">
        <f>('INSTRUCTION-2YR'!Z19+'RESEARCH 2yr'!Z19+'PUBLIC SERVICE 2yr'!Z19+'ASptISptSSv 2yr'!Z19+'PLANT OPER MAIN 2yr'!Z19+'SCHOLAR FELLOW 2yr'!Z19+'All Other 2yr'!Z19)-Z19</f>
        <v>0</v>
      </c>
      <c r="BC19" s="75">
        <f>('INSTRUCTION-2YR'!AA19+'RESEARCH 2yr'!AA19+'PUBLIC SERVICE 2yr'!AA19+'ASptISptSSv 2yr'!AA19+'PLANT OPER MAIN 2yr'!AA19+'SCHOLAR FELLOW 2yr'!AA19+'All Other 2yr'!AA19)-AA19</f>
        <v>0</v>
      </c>
      <c r="BD19" s="75">
        <f>('INSTRUCTION-2YR'!AB19+'RESEARCH 2yr'!AB19+'PUBLIC SERVICE 2yr'!AB19+'ASptISptSSv 2yr'!AB19+'PLANT OPER MAIN 2yr'!AB19+'SCHOLAR FELLOW 2yr'!AB19+'All Other 2yr'!AB19)-AB19</f>
        <v>0</v>
      </c>
      <c r="BE19" s="75">
        <f>('INSTRUCTION-2YR'!AC19+'RESEARCH 2yr'!AC19+'PUBLIC SERVICE 2yr'!AC19+'ASptISptSSv 2yr'!AC19+'PLANT OPER MAIN 2yr'!AC19+'SCHOLAR FELLOW 2yr'!AC19+'All Other 2yr'!AC19)-AC19</f>
        <v>0</v>
      </c>
    </row>
    <row r="20" spans="1:57">
      <c r="A20" s="1" t="s">
        <v>13</v>
      </c>
      <c r="B20" s="1">
        <v>118337</v>
      </c>
      <c r="C20" s="1">
        <v>130056</v>
      </c>
      <c r="D20" s="1">
        <v>141479</v>
      </c>
      <c r="E20" s="1">
        <v>214579.598</v>
      </c>
      <c r="F20" s="42">
        <v>229798.62700000001</v>
      </c>
      <c r="G20" s="1">
        <v>250467.59199999998</v>
      </c>
      <c r="H20" s="1">
        <v>264273.81099999999</v>
      </c>
      <c r="I20" s="1">
        <v>277143.50300000003</v>
      </c>
      <c r="J20" s="1">
        <v>287270.17800000001</v>
      </c>
      <c r="K20" s="1">
        <v>309811.88500000001</v>
      </c>
      <c r="L20" s="1">
        <v>402257.42700000003</v>
      </c>
      <c r="M20" s="1">
        <v>431497.71799999999</v>
      </c>
      <c r="N20" s="1">
        <v>489790.46500000003</v>
      </c>
      <c r="O20" s="1">
        <v>576423.196</v>
      </c>
      <c r="P20" s="1">
        <v>596216.70200000005</v>
      </c>
      <c r="Q20" s="1">
        <v>623282.50600000005</v>
      </c>
      <c r="R20" s="1">
        <v>652346.99699999997</v>
      </c>
      <c r="S20" s="1">
        <v>706641.41200000001</v>
      </c>
      <c r="T20" s="1">
        <v>770955.68500000006</v>
      </c>
      <c r="U20" s="1">
        <v>803594.16099999996</v>
      </c>
      <c r="V20" s="1">
        <v>902369.99699999997</v>
      </c>
      <c r="W20" s="1">
        <v>951624.30799999996</v>
      </c>
      <c r="X20" s="1">
        <v>957298.36800000002</v>
      </c>
      <c r="Y20" s="1">
        <v>968556.32200000004</v>
      </c>
      <c r="Z20" s="1">
        <v>981639.01500000001</v>
      </c>
      <c r="AA20" s="1">
        <v>975944.30700000003</v>
      </c>
      <c r="AB20" s="1">
        <v>961148.66599999997</v>
      </c>
      <c r="AC20" s="1">
        <v>967631.31499999994</v>
      </c>
      <c r="AD20" s="75">
        <f>('INSTRUCTION-2YR'!B20+'RESEARCH 2yr'!B20+'PUBLIC SERVICE 2yr'!B20+'ASptISptSSv 2yr'!B20+'PLANT OPER MAIN 2yr'!B20+'SCHOLAR FELLOW 2yr'!B20+'All Other 2yr'!B20)-B20</f>
        <v>0</v>
      </c>
      <c r="AE20" s="75">
        <f>('INSTRUCTION-2YR'!C20+'RESEARCH 2yr'!C20+'PUBLIC SERVICE 2yr'!C20+'ASptISptSSv 2yr'!C20+'PLANT OPER MAIN 2yr'!C20+'SCHOLAR FELLOW 2yr'!C20+'All Other 2yr'!C20)-C20</f>
        <v>0</v>
      </c>
      <c r="AF20" s="75">
        <f>('INSTRUCTION-2YR'!D20+'RESEARCH 2yr'!D20+'PUBLIC SERVICE 2yr'!D20+'ASptISptSSv 2yr'!D20+'PLANT OPER MAIN 2yr'!D20+'SCHOLAR FELLOW 2yr'!D20+'All Other 2yr'!D20)-D20</f>
        <v>0</v>
      </c>
      <c r="AG20" s="75">
        <f>('INSTRUCTION-2YR'!E20+'RESEARCH 2yr'!E20+'PUBLIC SERVICE 2yr'!E20+'ASptISptSSv 2yr'!E20+'PLANT OPER MAIN 2yr'!E20+'SCHOLAR FELLOW 2yr'!E20+'All Other 2yr'!E20)-E20</f>
        <v>0</v>
      </c>
      <c r="AH20" s="75">
        <f>('INSTRUCTION-2YR'!F20+'RESEARCH 2yr'!F20+'PUBLIC SERVICE 2yr'!F20+'ASptISptSSv 2yr'!F20+'PLANT OPER MAIN 2yr'!F20+'SCHOLAR FELLOW 2yr'!F20+'All Other 2yr'!F20)-F20</f>
        <v>0</v>
      </c>
      <c r="AI20" s="75">
        <f>('INSTRUCTION-2YR'!G20+'RESEARCH 2yr'!G20+'PUBLIC SERVICE 2yr'!G20+'ASptISptSSv 2yr'!G20+'PLANT OPER MAIN 2yr'!G20+'SCHOLAR FELLOW 2yr'!G20+'All Other 2yr'!G20)-G20</f>
        <v>0</v>
      </c>
      <c r="AJ20" s="75">
        <f>('INSTRUCTION-2YR'!H20+'RESEARCH 2yr'!H20+'PUBLIC SERVICE 2yr'!H20+'ASptISptSSv 2yr'!H20+'PLANT OPER MAIN 2yr'!H20+'SCHOLAR FELLOW 2yr'!H20+'All Other 2yr'!H20)-H20</f>
        <v>0</v>
      </c>
      <c r="AK20" s="75">
        <f>('INSTRUCTION-2YR'!I20+'RESEARCH 2yr'!I20+'PUBLIC SERVICE 2yr'!I20+'ASptISptSSv 2yr'!I20+'PLANT OPER MAIN 2yr'!I20+'SCHOLAR FELLOW 2yr'!I20+'All Other 2yr'!I20)-I20</f>
        <v>0</v>
      </c>
      <c r="AL20" s="75">
        <f>('INSTRUCTION-2YR'!J20+'RESEARCH 2yr'!J20+'PUBLIC SERVICE 2yr'!J20+'ASptISptSSv 2yr'!J20+'PLANT OPER MAIN 2yr'!J20+'SCHOLAR FELLOW 2yr'!J20+'All Other 2yr'!J20)-J20</f>
        <v>0</v>
      </c>
      <c r="AM20" s="75">
        <f>('INSTRUCTION-2YR'!K20+'RESEARCH 2yr'!K20+'PUBLIC SERVICE 2yr'!K20+'ASptISptSSv 2yr'!K20+'PLANT OPER MAIN 2yr'!K20+'SCHOLAR FELLOW 2yr'!K20+'All Other 2yr'!K20)-K20</f>
        <v>0</v>
      </c>
      <c r="AN20" s="75">
        <f>('INSTRUCTION-2YR'!L20+'RESEARCH 2yr'!L20+'PUBLIC SERVICE 2yr'!L20+'ASptISptSSv 2yr'!L20+'PLANT OPER MAIN 2yr'!L20+'SCHOLAR FELLOW 2yr'!L20+'All Other 2yr'!L20)-L20</f>
        <v>0</v>
      </c>
      <c r="AO20" s="75">
        <f>('INSTRUCTION-2YR'!M20+'RESEARCH 2yr'!M20+'PUBLIC SERVICE 2yr'!M20+'ASptISptSSv 2yr'!M20+'PLANT OPER MAIN 2yr'!M20+'SCHOLAR FELLOW 2yr'!M20+'All Other 2yr'!M20)-M20</f>
        <v>0</v>
      </c>
      <c r="AP20" s="75">
        <f>('INSTRUCTION-2YR'!N20+'RESEARCH 2yr'!N20+'PUBLIC SERVICE 2yr'!N20+'ASptISptSSv 2yr'!N20+'PLANT OPER MAIN 2yr'!N20+'SCHOLAR FELLOW 2yr'!N20+'All Other 2yr'!N20)-N20</f>
        <v>0</v>
      </c>
      <c r="AQ20" s="75">
        <f>('INSTRUCTION-2YR'!O20+'RESEARCH 2yr'!O20+'PUBLIC SERVICE 2yr'!O20+'ASptISptSSv 2yr'!O20+'PLANT OPER MAIN 2yr'!O20+'SCHOLAR FELLOW 2yr'!O20+'All Other 2yr'!O20)-O20</f>
        <v>0</v>
      </c>
      <c r="AR20" s="75">
        <f>('INSTRUCTION-2YR'!P20+'RESEARCH 2yr'!P20+'PUBLIC SERVICE 2yr'!P20+'ASptISptSSv 2yr'!P20+'PLANT OPER MAIN 2yr'!P20+'SCHOLAR FELLOW 2yr'!P20+'All Other 2yr'!P20)-P20</f>
        <v>0</v>
      </c>
      <c r="AS20" s="75">
        <f>('INSTRUCTION-2YR'!Q20+'RESEARCH 2yr'!Q20+'PUBLIC SERVICE 2yr'!Q20+'ASptISptSSv 2yr'!Q20+'PLANT OPER MAIN 2yr'!Q20+'SCHOLAR FELLOW 2yr'!Q20+'All Other 2yr'!Q20)-Q20</f>
        <v>0</v>
      </c>
      <c r="AT20" s="75">
        <f>('INSTRUCTION-2YR'!R20+'RESEARCH 2yr'!R20+'PUBLIC SERVICE 2yr'!R20+'ASptISptSSv 2yr'!R20+'PLANT OPER MAIN 2yr'!R20+'SCHOLAR FELLOW 2yr'!R20+'All Other 2yr'!R20)-R20</f>
        <v>0</v>
      </c>
      <c r="AU20" s="75">
        <f>('INSTRUCTION-2YR'!S20+'RESEARCH 2yr'!S20+'PUBLIC SERVICE 2yr'!S20+'ASptISptSSv 2yr'!S20+'PLANT OPER MAIN 2yr'!S20+'SCHOLAR FELLOW 2yr'!S20+'All Other 2yr'!S20)-S20</f>
        <v>0</v>
      </c>
      <c r="AV20" s="75">
        <f>('INSTRUCTION-2YR'!T20+'RESEARCH 2yr'!T20+'PUBLIC SERVICE 2yr'!T20+'ASptISptSSv 2yr'!T20+'PLANT OPER MAIN 2yr'!T20+'SCHOLAR FELLOW 2yr'!T20+'All Other 2yr'!T20)-T20</f>
        <v>0</v>
      </c>
      <c r="AW20" s="75">
        <f>('INSTRUCTION-2YR'!U20+'RESEARCH 2yr'!U20+'PUBLIC SERVICE 2yr'!U20+'ASptISptSSv 2yr'!U20+'PLANT OPER MAIN 2yr'!U20+'SCHOLAR FELLOW 2yr'!U20+'All Other 2yr'!U20)-U20</f>
        <v>0</v>
      </c>
      <c r="AX20" s="75">
        <f>('INSTRUCTION-2YR'!V20+'RESEARCH 2yr'!V20+'PUBLIC SERVICE 2yr'!V20+'ASptISptSSv 2yr'!V20+'PLANT OPER MAIN 2yr'!V20+'SCHOLAR FELLOW 2yr'!V20+'All Other 2yr'!V20)-V20</f>
        <v>0</v>
      </c>
      <c r="AY20" s="75">
        <f>('INSTRUCTION-2YR'!W20+'RESEARCH 2yr'!W20+'PUBLIC SERVICE 2yr'!W20+'ASptISptSSv 2yr'!W20+'PLANT OPER MAIN 2yr'!W20+'SCHOLAR FELLOW 2yr'!W20+'All Other 2yr'!W20)-W20</f>
        <v>0</v>
      </c>
      <c r="AZ20" s="75">
        <f>('INSTRUCTION-2YR'!X20+'RESEARCH 2yr'!X20+'PUBLIC SERVICE 2yr'!X20+'ASptISptSSv 2yr'!X20+'PLANT OPER MAIN 2yr'!X20+'SCHOLAR FELLOW 2yr'!X20+'All Other 2yr'!X20)-X20</f>
        <v>0</v>
      </c>
      <c r="BA20" s="75">
        <f>('INSTRUCTION-2YR'!Y20+'RESEARCH 2yr'!Y20+'PUBLIC SERVICE 2yr'!Y20+'ASptISptSSv 2yr'!Y20+'PLANT OPER MAIN 2yr'!Y20+'SCHOLAR FELLOW 2yr'!Y20+'All Other 2yr'!Y20)-Y20</f>
        <v>0</v>
      </c>
      <c r="BB20" s="75">
        <f>('INSTRUCTION-2YR'!Z20+'RESEARCH 2yr'!Z20+'PUBLIC SERVICE 2yr'!Z20+'ASptISptSSv 2yr'!Z20+'PLANT OPER MAIN 2yr'!Z20+'SCHOLAR FELLOW 2yr'!Z20+'All Other 2yr'!Z20)-Z20</f>
        <v>0</v>
      </c>
      <c r="BC20" s="75">
        <f>('INSTRUCTION-2YR'!AA20+'RESEARCH 2yr'!AA20+'PUBLIC SERVICE 2yr'!AA20+'ASptISptSSv 2yr'!AA20+'PLANT OPER MAIN 2yr'!AA20+'SCHOLAR FELLOW 2yr'!AA20+'All Other 2yr'!AA20)-AA20</f>
        <v>0</v>
      </c>
      <c r="BD20" s="75">
        <f>('INSTRUCTION-2YR'!AB20+'RESEARCH 2yr'!AB20+'PUBLIC SERVICE 2yr'!AB20+'ASptISptSSv 2yr'!AB20+'PLANT OPER MAIN 2yr'!AB20+'SCHOLAR FELLOW 2yr'!AB20+'All Other 2yr'!AB20)-AB20</f>
        <v>0</v>
      </c>
      <c r="BE20" s="75">
        <f>('INSTRUCTION-2YR'!AC20+'RESEARCH 2yr'!AC20+'PUBLIC SERVICE 2yr'!AC20+'ASptISptSSv 2yr'!AC20+'PLANT OPER MAIN 2yr'!AC20+'SCHOLAR FELLOW 2yr'!AC20+'All Other 2yr'!AC20)-AC20</f>
        <v>0</v>
      </c>
    </row>
    <row r="21" spans="1:57" s="11" customFormat="1">
      <c r="A21" s="1" t="s">
        <v>14</v>
      </c>
      <c r="B21" s="1">
        <v>119970</v>
      </c>
      <c r="C21" s="1">
        <v>143850</v>
      </c>
      <c r="D21" s="1">
        <v>156595</v>
      </c>
      <c r="E21" s="1">
        <v>221401.927</v>
      </c>
      <c r="F21" s="42">
        <v>230747.66500000001</v>
      </c>
      <c r="G21" s="1">
        <v>258172.85500000001</v>
      </c>
      <c r="H21" s="1">
        <v>281221.43400000001</v>
      </c>
      <c r="I21" s="1">
        <v>293091.99900000001</v>
      </c>
      <c r="J21" s="1">
        <v>294822.07799999998</v>
      </c>
      <c r="K21" s="1">
        <v>308563.14199999999</v>
      </c>
      <c r="L21" s="1">
        <v>357961.66</v>
      </c>
      <c r="M21" s="1">
        <v>384071.70699999999</v>
      </c>
      <c r="N21" s="1">
        <v>411680.81599999999</v>
      </c>
      <c r="O21" s="1">
        <v>438262.261</v>
      </c>
      <c r="P21" s="1">
        <v>448292.48</v>
      </c>
      <c r="Q21" s="1">
        <v>486406.71299999999</v>
      </c>
      <c r="R21" s="1">
        <v>503955.56199999998</v>
      </c>
      <c r="S21" s="1">
        <v>536776.13100000005</v>
      </c>
      <c r="T21" s="1">
        <v>579337.152</v>
      </c>
      <c r="U21" s="1">
        <v>616628.36800000002</v>
      </c>
      <c r="V21" s="1">
        <v>728646.20799999998</v>
      </c>
      <c r="W21" s="1">
        <v>780698.09900000005</v>
      </c>
      <c r="X21" s="1">
        <v>778357.16500000004</v>
      </c>
      <c r="Y21" s="1">
        <v>786023.46900000004</v>
      </c>
      <c r="Z21" s="1">
        <v>770616.201</v>
      </c>
      <c r="AA21" s="1">
        <v>745037.90399999998</v>
      </c>
      <c r="AB21" s="1">
        <v>790894.54299999995</v>
      </c>
      <c r="AC21" s="1">
        <v>809058.12</v>
      </c>
      <c r="AD21" s="75">
        <f>('INSTRUCTION-2YR'!B21+'RESEARCH 2yr'!B21+'PUBLIC SERVICE 2yr'!B21+'ASptISptSSv 2yr'!B21+'PLANT OPER MAIN 2yr'!B21+'SCHOLAR FELLOW 2yr'!B21+'All Other 2yr'!B21)-B21</f>
        <v>0</v>
      </c>
      <c r="AE21" s="75">
        <f>('INSTRUCTION-2YR'!C21+'RESEARCH 2yr'!C21+'PUBLIC SERVICE 2yr'!C21+'ASptISptSSv 2yr'!C21+'PLANT OPER MAIN 2yr'!C21+'SCHOLAR FELLOW 2yr'!C21+'All Other 2yr'!C21)-C21</f>
        <v>0</v>
      </c>
      <c r="AF21" s="75">
        <f>('INSTRUCTION-2YR'!D21+'RESEARCH 2yr'!D21+'PUBLIC SERVICE 2yr'!D21+'ASptISptSSv 2yr'!D21+'PLANT OPER MAIN 2yr'!D21+'SCHOLAR FELLOW 2yr'!D21+'All Other 2yr'!D21)-D21</f>
        <v>0</v>
      </c>
      <c r="AG21" s="75">
        <f>('INSTRUCTION-2YR'!E21+'RESEARCH 2yr'!E21+'PUBLIC SERVICE 2yr'!E21+'ASptISptSSv 2yr'!E21+'PLANT OPER MAIN 2yr'!E21+'SCHOLAR FELLOW 2yr'!E21+'All Other 2yr'!E21)-E21</f>
        <v>0</v>
      </c>
      <c r="AH21" s="75">
        <f>('INSTRUCTION-2YR'!F21+'RESEARCH 2yr'!F21+'PUBLIC SERVICE 2yr'!F21+'ASptISptSSv 2yr'!F21+'PLANT OPER MAIN 2yr'!F21+'SCHOLAR FELLOW 2yr'!F21+'All Other 2yr'!F21)-F21</f>
        <v>0</v>
      </c>
      <c r="AI21" s="75">
        <f>('INSTRUCTION-2YR'!G21+'RESEARCH 2yr'!G21+'PUBLIC SERVICE 2yr'!G21+'ASptISptSSv 2yr'!G21+'PLANT OPER MAIN 2yr'!G21+'SCHOLAR FELLOW 2yr'!G21+'All Other 2yr'!G21)-G21</f>
        <v>0</v>
      </c>
      <c r="AJ21" s="75">
        <f>('INSTRUCTION-2YR'!H21+'RESEARCH 2yr'!H21+'PUBLIC SERVICE 2yr'!H21+'ASptISptSSv 2yr'!H21+'PLANT OPER MAIN 2yr'!H21+'SCHOLAR FELLOW 2yr'!H21+'All Other 2yr'!H21)-H21</f>
        <v>0</v>
      </c>
      <c r="AK21" s="75">
        <f>('INSTRUCTION-2YR'!I21+'RESEARCH 2yr'!I21+'PUBLIC SERVICE 2yr'!I21+'ASptISptSSv 2yr'!I21+'PLANT OPER MAIN 2yr'!I21+'SCHOLAR FELLOW 2yr'!I21+'All Other 2yr'!I21)-I21</f>
        <v>0</v>
      </c>
      <c r="AL21" s="75">
        <f>('INSTRUCTION-2YR'!J21+'RESEARCH 2yr'!J21+'PUBLIC SERVICE 2yr'!J21+'ASptISptSSv 2yr'!J21+'PLANT OPER MAIN 2yr'!J21+'SCHOLAR FELLOW 2yr'!J21+'All Other 2yr'!J21)-J21</f>
        <v>0</v>
      </c>
      <c r="AM21" s="75">
        <f>('INSTRUCTION-2YR'!K21+'RESEARCH 2yr'!K21+'PUBLIC SERVICE 2yr'!K21+'ASptISptSSv 2yr'!K21+'PLANT OPER MAIN 2yr'!K21+'SCHOLAR FELLOW 2yr'!K21+'All Other 2yr'!K21)-K21</f>
        <v>0</v>
      </c>
      <c r="AN21" s="75">
        <f>('INSTRUCTION-2YR'!L21+'RESEARCH 2yr'!L21+'PUBLIC SERVICE 2yr'!L21+'ASptISptSSv 2yr'!L21+'PLANT OPER MAIN 2yr'!L21+'SCHOLAR FELLOW 2yr'!L21+'All Other 2yr'!L21)-L21</f>
        <v>0</v>
      </c>
      <c r="AO21" s="75">
        <f>('INSTRUCTION-2YR'!M21+'RESEARCH 2yr'!M21+'PUBLIC SERVICE 2yr'!M21+'ASptISptSSv 2yr'!M21+'PLANT OPER MAIN 2yr'!M21+'SCHOLAR FELLOW 2yr'!M21+'All Other 2yr'!M21)-M21</f>
        <v>0</v>
      </c>
      <c r="AP21" s="75">
        <f>('INSTRUCTION-2YR'!N21+'RESEARCH 2yr'!N21+'PUBLIC SERVICE 2yr'!N21+'ASptISptSSv 2yr'!N21+'PLANT OPER MAIN 2yr'!N21+'SCHOLAR FELLOW 2yr'!N21+'All Other 2yr'!N21)-N21</f>
        <v>0</v>
      </c>
      <c r="AQ21" s="75">
        <f>('INSTRUCTION-2YR'!O21+'RESEARCH 2yr'!O21+'PUBLIC SERVICE 2yr'!O21+'ASptISptSSv 2yr'!O21+'PLANT OPER MAIN 2yr'!O21+'SCHOLAR FELLOW 2yr'!O21+'All Other 2yr'!O21)-O21</f>
        <v>0</v>
      </c>
      <c r="AR21" s="75">
        <f>('INSTRUCTION-2YR'!P21+'RESEARCH 2yr'!P21+'PUBLIC SERVICE 2yr'!P21+'ASptISptSSv 2yr'!P21+'PLANT OPER MAIN 2yr'!P21+'SCHOLAR FELLOW 2yr'!P21+'All Other 2yr'!P21)-P21</f>
        <v>0</v>
      </c>
      <c r="AS21" s="75">
        <f>('INSTRUCTION-2YR'!Q21+'RESEARCH 2yr'!Q21+'PUBLIC SERVICE 2yr'!Q21+'ASptISptSSv 2yr'!Q21+'PLANT OPER MAIN 2yr'!Q21+'SCHOLAR FELLOW 2yr'!Q21+'All Other 2yr'!Q21)-Q21</f>
        <v>0</v>
      </c>
      <c r="AT21" s="75">
        <f>('INSTRUCTION-2YR'!R21+'RESEARCH 2yr'!R21+'PUBLIC SERVICE 2yr'!R21+'ASptISptSSv 2yr'!R21+'PLANT OPER MAIN 2yr'!R21+'SCHOLAR FELLOW 2yr'!R21+'All Other 2yr'!R21)-R21</f>
        <v>0</v>
      </c>
      <c r="AU21" s="75">
        <f>('INSTRUCTION-2YR'!S21+'RESEARCH 2yr'!S21+'PUBLIC SERVICE 2yr'!S21+'ASptISptSSv 2yr'!S21+'PLANT OPER MAIN 2yr'!S21+'SCHOLAR FELLOW 2yr'!S21+'All Other 2yr'!S21)-S21</f>
        <v>0</v>
      </c>
      <c r="AV21" s="75">
        <f>('INSTRUCTION-2YR'!T21+'RESEARCH 2yr'!T21+'PUBLIC SERVICE 2yr'!T21+'ASptISptSSv 2yr'!T21+'PLANT OPER MAIN 2yr'!T21+'SCHOLAR FELLOW 2yr'!T21+'All Other 2yr'!T21)-T21</f>
        <v>0</v>
      </c>
      <c r="AW21" s="75">
        <f>('INSTRUCTION-2YR'!U21+'RESEARCH 2yr'!U21+'PUBLIC SERVICE 2yr'!U21+'ASptISptSSv 2yr'!U21+'PLANT OPER MAIN 2yr'!U21+'SCHOLAR FELLOW 2yr'!U21+'All Other 2yr'!U21)-U21</f>
        <v>0</v>
      </c>
      <c r="AX21" s="75">
        <f>('INSTRUCTION-2YR'!V21+'RESEARCH 2yr'!V21+'PUBLIC SERVICE 2yr'!V21+'ASptISptSSv 2yr'!V21+'PLANT OPER MAIN 2yr'!V21+'SCHOLAR FELLOW 2yr'!V21+'All Other 2yr'!V21)-V21</f>
        <v>0</v>
      </c>
      <c r="AY21" s="75">
        <f>('INSTRUCTION-2YR'!W21+'RESEARCH 2yr'!W21+'PUBLIC SERVICE 2yr'!W21+'ASptISptSSv 2yr'!W21+'PLANT OPER MAIN 2yr'!W21+'SCHOLAR FELLOW 2yr'!W21+'All Other 2yr'!W21)-W21</f>
        <v>0</v>
      </c>
      <c r="AZ21" s="75">
        <f>('INSTRUCTION-2YR'!X21+'RESEARCH 2yr'!X21+'PUBLIC SERVICE 2yr'!X21+'ASptISptSSv 2yr'!X21+'PLANT OPER MAIN 2yr'!X21+'SCHOLAR FELLOW 2yr'!X21+'All Other 2yr'!X21)-X21</f>
        <v>0</v>
      </c>
      <c r="BA21" s="75">
        <f>('INSTRUCTION-2YR'!Y21+'RESEARCH 2yr'!Y21+'PUBLIC SERVICE 2yr'!Y21+'ASptISptSSv 2yr'!Y21+'PLANT OPER MAIN 2yr'!Y21+'SCHOLAR FELLOW 2yr'!Y21+'All Other 2yr'!Y21)-Y21</f>
        <v>0</v>
      </c>
      <c r="BB21" s="75">
        <f>('INSTRUCTION-2YR'!Z21+'RESEARCH 2yr'!Z21+'PUBLIC SERVICE 2yr'!Z21+'ASptISptSSv 2yr'!Z21+'PLANT OPER MAIN 2yr'!Z21+'SCHOLAR FELLOW 2yr'!Z21+'All Other 2yr'!Z21)-Z21</f>
        <v>0</v>
      </c>
      <c r="BC21" s="75">
        <f>('INSTRUCTION-2YR'!AA21+'RESEARCH 2yr'!AA21+'PUBLIC SERVICE 2yr'!AA21+'ASptISptSSv 2yr'!AA21+'PLANT OPER MAIN 2yr'!AA21+'SCHOLAR FELLOW 2yr'!AA21+'All Other 2yr'!AA21)-AA21</f>
        <v>0</v>
      </c>
      <c r="BD21" s="75">
        <f>('INSTRUCTION-2YR'!AB21+'RESEARCH 2yr'!AB21+'PUBLIC SERVICE 2yr'!AB21+'ASptISptSSv 2yr'!AB21+'PLANT OPER MAIN 2yr'!AB21+'SCHOLAR FELLOW 2yr'!AB21+'All Other 2yr'!AB21)-AB21</f>
        <v>0</v>
      </c>
      <c r="BE21" s="75">
        <f>('INSTRUCTION-2YR'!AC21+'RESEARCH 2yr'!AC21+'PUBLIC SERVICE 2yr'!AC21+'ASptISptSSv 2yr'!AC21+'PLANT OPER MAIN 2yr'!AC21+'SCHOLAR FELLOW 2yr'!AC21+'All Other 2yr'!AC21)-AC21</f>
        <v>0</v>
      </c>
    </row>
    <row r="22" spans="1:57">
      <c r="A22" s="1" t="s">
        <v>15</v>
      </c>
      <c r="B22" s="1">
        <v>728432</v>
      </c>
      <c r="C22" s="1">
        <v>798403</v>
      </c>
      <c r="D22" s="1">
        <v>828196</v>
      </c>
      <c r="E22" s="1">
        <v>1215626.8189999999</v>
      </c>
      <c r="F22" s="42">
        <v>1267231.578</v>
      </c>
      <c r="G22" s="1">
        <v>1432157.047</v>
      </c>
      <c r="H22" s="1">
        <v>1577498.2749999999</v>
      </c>
      <c r="I22" s="1">
        <v>1542388.385</v>
      </c>
      <c r="J22" s="1">
        <v>1697435.0819999999</v>
      </c>
      <c r="K22" s="1">
        <v>1813766.7560000001</v>
      </c>
      <c r="L22" s="1">
        <v>2116173.0490000001</v>
      </c>
      <c r="M22" s="1">
        <v>2312158.0759999999</v>
      </c>
      <c r="N22" s="1">
        <v>2665251.6430000002</v>
      </c>
      <c r="O22" s="1">
        <v>2812156.8</v>
      </c>
      <c r="P22" s="1">
        <v>2895769.8569999998</v>
      </c>
      <c r="Q22" s="1">
        <v>3063059.7919999999</v>
      </c>
      <c r="R22" s="1">
        <v>3214587.0410000002</v>
      </c>
      <c r="S22" s="1">
        <v>3374762.9470000002</v>
      </c>
      <c r="T22" s="1">
        <v>3603498.4219999998</v>
      </c>
      <c r="U22" s="1">
        <v>4215237.0360000003</v>
      </c>
      <c r="V22" s="1">
        <v>4931264.6090000002</v>
      </c>
      <c r="W22" s="1">
        <v>5334846.7010000004</v>
      </c>
      <c r="X22" s="1">
        <v>5202887.5140000004</v>
      </c>
      <c r="Y22" s="1">
        <v>5361893.7139999997</v>
      </c>
      <c r="Z22" s="1">
        <v>5448976.2680000002</v>
      </c>
      <c r="AA22" s="1">
        <v>5398240.7879999997</v>
      </c>
      <c r="AB22" s="1">
        <v>5441702.9709999999</v>
      </c>
      <c r="AC22" s="1">
        <v>5881843.8480000002</v>
      </c>
      <c r="AD22" s="75">
        <f>('INSTRUCTION-2YR'!B22+'RESEARCH 2yr'!B22+'PUBLIC SERVICE 2yr'!B22+'ASptISptSSv 2yr'!B22+'PLANT OPER MAIN 2yr'!B22+'SCHOLAR FELLOW 2yr'!B22+'All Other 2yr'!B22)-B22</f>
        <v>0</v>
      </c>
      <c r="AE22" s="75">
        <f>('INSTRUCTION-2YR'!C22+'RESEARCH 2yr'!C22+'PUBLIC SERVICE 2yr'!C22+'ASptISptSSv 2yr'!C22+'PLANT OPER MAIN 2yr'!C22+'SCHOLAR FELLOW 2yr'!C22+'All Other 2yr'!C22)-C22</f>
        <v>0</v>
      </c>
      <c r="AF22" s="75">
        <f>('INSTRUCTION-2YR'!D22+'RESEARCH 2yr'!D22+'PUBLIC SERVICE 2yr'!D22+'ASptISptSSv 2yr'!D22+'PLANT OPER MAIN 2yr'!D22+'SCHOLAR FELLOW 2yr'!D22+'All Other 2yr'!D22)-D22</f>
        <v>0</v>
      </c>
      <c r="AG22" s="75">
        <f>('INSTRUCTION-2YR'!E22+'RESEARCH 2yr'!E22+'PUBLIC SERVICE 2yr'!E22+'ASptISptSSv 2yr'!E22+'PLANT OPER MAIN 2yr'!E22+'SCHOLAR FELLOW 2yr'!E22+'All Other 2yr'!E22)-E22</f>
        <v>0</v>
      </c>
      <c r="AH22" s="75">
        <f>('INSTRUCTION-2YR'!F22+'RESEARCH 2yr'!F22+'PUBLIC SERVICE 2yr'!F22+'ASptISptSSv 2yr'!F22+'PLANT OPER MAIN 2yr'!F22+'SCHOLAR FELLOW 2yr'!F22+'All Other 2yr'!F22)-F22</f>
        <v>0</v>
      </c>
      <c r="AI22" s="75">
        <f>('INSTRUCTION-2YR'!G22+'RESEARCH 2yr'!G22+'PUBLIC SERVICE 2yr'!G22+'ASptISptSSv 2yr'!G22+'PLANT OPER MAIN 2yr'!G22+'SCHOLAR FELLOW 2yr'!G22+'All Other 2yr'!G22)-G22</f>
        <v>0</v>
      </c>
      <c r="AJ22" s="75">
        <f>('INSTRUCTION-2YR'!H22+'RESEARCH 2yr'!H22+'PUBLIC SERVICE 2yr'!H22+'ASptISptSSv 2yr'!H22+'PLANT OPER MAIN 2yr'!H22+'SCHOLAR FELLOW 2yr'!H22+'All Other 2yr'!H22)-H22</f>
        <v>0</v>
      </c>
      <c r="AK22" s="75">
        <f>('INSTRUCTION-2YR'!I22+'RESEARCH 2yr'!I22+'PUBLIC SERVICE 2yr'!I22+'ASptISptSSv 2yr'!I22+'PLANT OPER MAIN 2yr'!I22+'SCHOLAR FELLOW 2yr'!I22+'All Other 2yr'!I22)-I22</f>
        <v>0</v>
      </c>
      <c r="AL22" s="75">
        <f>('INSTRUCTION-2YR'!J22+'RESEARCH 2yr'!J22+'PUBLIC SERVICE 2yr'!J22+'ASptISptSSv 2yr'!J22+'PLANT OPER MAIN 2yr'!J22+'SCHOLAR FELLOW 2yr'!J22+'All Other 2yr'!J22)-J22</f>
        <v>0</v>
      </c>
      <c r="AM22" s="75">
        <f>('INSTRUCTION-2YR'!K22+'RESEARCH 2yr'!K22+'PUBLIC SERVICE 2yr'!K22+'ASptISptSSv 2yr'!K22+'PLANT OPER MAIN 2yr'!K22+'SCHOLAR FELLOW 2yr'!K22+'All Other 2yr'!K22)-K22</f>
        <v>0</v>
      </c>
      <c r="AN22" s="75">
        <f>('INSTRUCTION-2YR'!L22+'RESEARCH 2yr'!L22+'PUBLIC SERVICE 2yr'!L22+'ASptISptSSv 2yr'!L22+'PLANT OPER MAIN 2yr'!L22+'SCHOLAR FELLOW 2yr'!L22+'All Other 2yr'!L22)-L22</f>
        <v>0</v>
      </c>
      <c r="AO22" s="75">
        <f>('INSTRUCTION-2YR'!M22+'RESEARCH 2yr'!M22+'PUBLIC SERVICE 2yr'!M22+'ASptISptSSv 2yr'!M22+'PLANT OPER MAIN 2yr'!M22+'SCHOLAR FELLOW 2yr'!M22+'All Other 2yr'!M22)-M22</f>
        <v>0</v>
      </c>
      <c r="AP22" s="75">
        <f>('INSTRUCTION-2YR'!N22+'RESEARCH 2yr'!N22+'PUBLIC SERVICE 2yr'!N22+'ASptISptSSv 2yr'!N22+'PLANT OPER MAIN 2yr'!N22+'SCHOLAR FELLOW 2yr'!N22+'All Other 2yr'!N22)-N22</f>
        <v>0</v>
      </c>
      <c r="AQ22" s="75">
        <f>('INSTRUCTION-2YR'!O22+'RESEARCH 2yr'!O22+'PUBLIC SERVICE 2yr'!O22+'ASptISptSSv 2yr'!O22+'PLANT OPER MAIN 2yr'!O22+'SCHOLAR FELLOW 2yr'!O22+'All Other 2yr'!O22)-O22</f>
        <v>0</v>
      </c>
      <c r="AR22" s="75">
        <f>('INSTRUCTION-2YR'!P22+'RESEARCH 2yr'!P22+'PUBLIC SERVICE 2yr'!P22+'ASptISptSSv 2yr'!P22+'PLANT OPER MAIN 2yr'!P22+'SCHOLAR FELLOW 2yr'!P22+'All Other 2yr'!P22)-P22</f>
        <v>0</v>
      </c>
      <c r="AS22" s="75">
        <f>('INSTRUCTION-2YR'!Q22+'RESEARCH 2yr'!Q22+'PUBLIC SERVICE 2yr'!Q22+'ASptISptSSv 2yr'!Q22+'PLANT OPER MAIN 2yr'!Q22+'SCHOLAR FELLOW 2yr'!Q22+'All Other 2yr'!Q22)-Q22</f>
        <v>0</v>
      </c>
      <c r="AT22" s="75">
        <f>('INSTRUCTION-2YR'!R22+'RESEARCH 2yr'!R22+'PUBLIC SERVICE 2yr'!R22+'ASptISptSSv 2yr'!R22+'PLANT OPER MAIN 2yr'!R22+'SCHOLAR FELLOW 2yr'!R22+'All Other 2yr'!R22)-R22</f>
        <v>0</v>
      </c>
      <c r="AU22" s="75">
        <f>('INSTRUCTION-2YR'!S22+'RESEARCH 2yr'!S22+'PUBLIC SERVICE 2yr'!S22+'ASptISptSSv 2yr'!S22+'PLANT OPER MAIN 2yr'!S22+'SCHOLAR FELLOW 2yr'!S22+'All Other 2yr'!S22)-S22</f>
        <v>0</v>
      </c>
      <c r="AV22" s="75">
        <f>('INSTRUCTION-2YR'!T22+'RESEARCH 2yr'!T22+'PUBLIC SERVICE 2yr'!T22+'ASptISptSSv 2yr'!T22+'PLANT OPER MAIN 2yr'!T22+'SCHOLAR FELLOW 2yr'!T22+'All Other 2yr'!T22)-T22</f>
        <v>0</v>
      </c>
      <c r="AW22" s="75">
        <f>('INSTRUCTION-2YR'!U22+'RESEARCH 2yr'!U22+'PUBLIC SERVICE 2yr'!U22+'ASptISptSSv 2yr'!U22+'PLANT OPER MAIN 2yr'!U22+'SCHOLAR FELLOW 2yr'!U22+'All Other 2yr'!U22)-U22</f>
        <v>0</v>
      </c>
      <c r="AX22" s="75">
        <f>('INSTRUCTION-2YR'!V22+'RESEARCH 2yr'!V22+'PUBLIC SERVICE 2yr'!V22+'ASptISptSSv 2yr'!V22+'PLANT OPER MAIN 2yr'!V22+'SCHOLAR FELLOW 2yr'!V22+'All Other 2yr'!V22)-V22</f>
        <v>0</v>
      </c>
      <c r="AY22" s="75">
        <f>('INSTRUCTION-2YR'!W22+'RESEARCH 2yr'!W22+'PUBLIC SERVICE 2yr'!W22+'ASptISptSSv 2yr'!W22+'PLANT OPER MAIN 2yr'!W22+'SCHOLAR FELLOW 2yr'!W22+'All Other 2yr'!W22)-W22</f>
        <v>0</v>
      </c>
      <c r="AZ22" s="75">
        <f>('INSTRUCTION-2YR'!X22+'RESEARCH 2yr'!X22+'PUBLIC SERVICE 2yr'!X22+'ASptISptSSv 2yr'!X22+'PLANT OPER MAIN 2yr'!X22+'SCHOLAR FELLOW 2yr'!X22+'All Other 2yr'!X22)-X22</f>
        <v>0</v>
      </c>
      <c r="BA22" s="75">
        <f>('INSTRUCTION-2YR'!Y22+'RESEARCH 2yr'!Y22+'PUBLIC SERVICE 2yr'!Y22+'ASptISptSSv 2yr'!Y22+'PLANT OPER MAIN 2yr'!Y22+'SCHOLAR FELLOW 2yr'!Y22+'All Other 2yr'!Y22)-Y22</f>
        <v>0</v>
      </c>
      <c r="BB22" s="75">
        <f>('INSTRUCTION-2YR'!Z22+'RESEARCH 2yr'!Z22+'PUBLIC SERVICE 2yr'!Z22+'ASptISptSSv 2yr'!Z22+'PLANT OPER MAIN 2yr'!Z22+'SCHOLAR FELLOW 2yr'!Z22+'All Other 2yr'!Z22)-Z22</f>
        <v>0</v>
      </c>
      <c r="BC22" s="75">
        <f>('INSTRUCTION-2YR'!AA22+'RESEARCH 2yr'!AA22+'PUBLIC SERVICE 2yr'!AA22+'ASptISptSSv 2yr'!AA22+'PLANT OPER MAIN 2yr'!AA22+'SCHOLAR FELLOW 2yr'!AA22+'All Other 2yr'!AA22)-AA22</f>
        <v>0</v>
      </c>
      <c r="BD22" s="75">
        <f>('INSTRUCTION-2YR'!AB22+'RESEARCH 2yr'!AB22+'PUBLIC SERVICE 2yr'!AB22+'ASptISptSSv 2yr'!AB22+'PLANT OPER MAIN 2yr'!AB22+'SCHOLAR FELLOW 2yr'!AB22+'All Other 2yr'!AB22)-AB22</f>
        <v>147830.73900000006</v>
      </c>
      <c r="BE22" s="75">
        <f>('INSTRUCTION-2YR'!AC22+'RESEARCH 2yr'!AC22+'PUBLIC SERVICE 2yr'!AC22+'ASptISptSSv 2yr'!AC22+'PLANT OPER MAIN 2yr'!AC22+'SCHOLAR FELLOW 2yr'!AC22+'All Other 2yr'!AC22)-AC22</f>
        <v>0</v>
      </c>
    </row>
    <row r="23" spans="1:57">
      <c r="A23" s="1" t="s">
        <v>16</v>
      </c>
      <c r="B23" s="1">
        <v>178406</v>
      </c>
      <c r="C23" s="1">
        <v>199925</v>
      </c>
      <c r="D23" s="1">
        <v>214451</v>
      </c>
      <c r="E23" s="1">
        <v>296642.53899999999</v>
      </c>
      <c r="F23" s="42">
        <v>316898.272</v>
      </c>
      <c r="G23" s="1">
        <v>347438.23800000001</v>
      </c>
      <c r="H23" s="1">
        <v>363036.36099999998</v>
      </c>
      <c r="I23" s="1">
        <v>379206.41899999999</v>
      </c>
      <c r="J23" s="1">
        <v>382307.44700000004</v>
      </c>
      <c r="K23" s="1">
        <v>406173.03399999999</v>
      </c>
      <c r="L23" s="1">
        <v>500247.87799999997</v>
      </c>
      <c r="M23" s="1">
        <v>533471.07900000003</v>
      </c>
      <c r="N23" s="1">
        <v>565758.27899999998</v>
      </c>
      <c r="O23" s="1">
        <v>589824.72400000005</v>
      </c>
      <c r="P23" s="1">
        <v>632388.84400000004</v>
      </c>
      <c r="Q23" s="1">
        <v>672255.674</v>
      </c>
      <c r="R23" s="1">
        <v>726644.16799999995</v>
      </c>
      <c r="S23" s="1">
        <v>797456.25800000003</v>
      </c>
      <c r="T23" s="1">
        <v>874993.04200000002</v>
      </c>
      <c r="U23" s="1">
        <v>921464.09600000002</v>
      </c>
      <c r="V23" s="1">
        <v>1063767.1569999999</v>
      </c>
      <c r="W23" s="1">
        <v>1192618.2139999999</v>
      </c>
      <c r="X23" s="1">
        <v>1281801.933</v>
      </c>
      <c r="Y23" s="1">
        <v>1311545.2649999999</v>
      </c>
      <c r="Z23" s="1">
        <v>1324506.773</v>
      </c>
      <c r="AA23" s="1">
        <v>1338466.0349999999</v>
      </c>
      <c r="AB23" s="1">
        <v>1315284.598</v>
      </c>
      <c r="AC23" s="1">
        <v>1281824.118</v>
      </c>
      <c r="AD23" s="75">
        <f>('INSTRUCTION-2YR'!B23+'RESEARCH 2yr'!B23+'PUBLIC SERVICE 2yr'!B23+'ASptISptSSv 2yr'!B23+'PLANT OPER MAIN 2yr'!B23+'SCHOLAR FELLOW 2yr'!B23+'All Other 2yr'!B23)-B23</f>
        <v>0</v>
      </c>
      <c r="AE23" s="75">
        <f>('INSTRUCTION-2YR'!C23+'RESEARCH 2yr'!C23+'PUBLIC SERVICE 2yr'!C23+'ASptISptSSv 2yr'!C23+'PLANT OPER MAIN 2yr'!C23+'SCHOLAR FELLOW 2yr'!C23+'All Other 2yr'!C23)-C23</f>
        <v>0</v>
      </c>
      <c r="AF23" s="75">
        <f>('INSTRUCTION-2YR'!D23+'RESEARCH 2yr'!D23+'PUBLIC SERVICE 2yr'!D23+'ASptISptSSv 2yr'!D23+'PLANT OPER MAIN 2yr'!D23+'SCHOLAR FELLOW 2yr'!D23+'All Other 2yr'!D23)-D23</f>
        <v>0</v>
      </c>
      <c r="AG23" s="75">
        <f>('INSTRUCTION-2YR'!E23+'RESEARCH 2yr'!E23+'PUBLIC SERVICE 2yr'!E23+'ASptISptSSv 2yr'!E23+'PLANT OPER MAIN 2yr'!E23+'SCHOLAR FELLOW 2yr'!E23+'All Other 2yr'!E23)-E23</f>
        <v>0</v>
      </c>
      <c r="AH23" s="75">
        <f>('INSTRUCTION-2YR'!F23+'RESEARCH 2yr'!F23+'PUBLIC SERVICE 2yr'!F23+'ASptISptSSv 2yr'!F23+'PLANT OPER MAIN 2yr'!F23+'SCHOLAR FELLOW 2yr'!F23+'All Other 2yr'!F23)-F23</f>
        <v>0</v>
      </c>
      <c r="AI23" s="75">
        <f>('INSTRUCTION-2YR'!G23+'RESEARCH 2yr'!G23+'PUBLIC SERVICE 2yr'!G23+'ASptISptSSv 2yr'!G23+'PLANT OPER MAIN 2yr'!G23+'SCHOLAR FELLOW 2yr'!G23+'All Other 2yr'!G23)-G23</f>
        <v>0</v>
      </c>
      <c r="AJ23" s="75">
        <f>('INSTRUCTION-2YR'!H23+'RESEARCH 2yr'!H23+'PUBLIC SERVICE 2yr'!H23+'ASptISptSSv 2yr'!H23+'PLANT OPER MAIN 2yr'!H23+'SCHOLAR FELLOW 2yr'!H23+'All Other 2yr'!H23)-H23</f>
        <v>0</v>
      </c>
      <c r="AK23" s="75">
        <f>('INSTRUCTION-2YR'!I23+'RESEARCH 2yr'!I23+'PUBLIC SERVICE 2yr'!I23+'ASptISptSSv 2yr'!I23+'PLANT OPER MAIN 2yr'!I23+'SCHOLAR FELLOW 2yr'!I23+'All Other 2yr'!I23)-I23</f>
        <v>0</v>
      </c>
      <c r="AL23" s="75">
        <f>('INSTRUCTION-2YR'!J23+'RESEARCH 2yr'!J23+'PUBLIC SERVICE 2yr'!J23+'ASptISptSSv 2yr'!J23+'PLANT OPER MAIN 2yr'!J23+'SCHOLAR FELLOW 2yr'!J23+'All Other 2yr'!J23)-J23</f>
        <v>0</v>
      </c>
      <c r="AM23" s="75">
        <f>('INSTRUCTION-2YR'!K23+'RESEARCH 2yr'!K23+'PUBLIC SERVICE 2yr'!K23+'ASptISptSSv 2yr'!K23+'PLANT OPER MAIN 2yr'!K23+'SCHOLAR FELLOW 2yr'!K23+'All Other 2yr'!K23)-K23</f>
        <v>0</v>
      </c>
      <c r="AN23" s="75">
        <f>('INSTRUCTION-2YR'!L23+'RESEARCH 2yr'!L23+'PUBLIC SERVICE 2yr'!L23+'ASptISptSSv 2yr'!L23+'PLANT OPER MAIN 2yr'!L23+'SCHOLAR FELLOW 2yr'!L23+'All Other 2yr'!L23)-L23</f>
        <v>0</v>
      </c>
      <c r="AO23" s="75">
        <f>('INSTRUCTION-2YR'!M23+'RESEARCH 2yr'!M23+'PUBLIC SERVICE 2yr'!M23+'ASptISptSSv 2yr'!M23+'PLANT OPER MAIN 2yr'!M23+'SCHOLAR FELLOW 2yr'!M23+'All Other 2yr'!M23)-M23</f>
        <v>0</v>
      </c>
      <c r="AP23" s="75">
        <f>('INSTRUCTION-2YR'!N23+'RESEARCH 2yr'!N23+'PUBLIC SERVICE 2yr'!N23+'ASptISptSSv 2yr'!N23+'PLANT OPER MAIN 2yr'!N23+'SCHOLAR FELLOW 2yr'!N23+'All Other 2yr'!N23)-N23</f>
        <v>0</v>
      </c>
      <c r="AQ23" s="75">
        <f>('INSTRUCTION-2YR'!O23+'RESEARCH 2yr'!O23+'PUBLIC SERVICE 2yr'!O23+'ASptISptSSv 2yr'!O23+'PLANT OPER MAIN 2yr'!O23+'SCHOLAR FELLOW 2yr'!O23+'All Other 2yr'!O23)-O23</f>
        <v>0</v>
      </c>
      <c r="AR23" s="75">
        <f>('INSTRUCTION-2YR'!P23+'RESEARCH 2yr'!P23+'PUBLIC SERVICE 2yr'!P23+'ASptISptSSv 2yr'!P23+'PLANT OPER MAIN 2yr'!P23+'SCHOLAR FELLOW 2yr'!P23+'All Other 2yr'!P23)-P23</f>
        <v>0</v>
      </c>
      <c r="AS23" s="75">
        <f>('INSTRUCTION-2YR'!Q23+'RESEARCH 2yr'!Q23+'PUBLIC SERVICE 2yr'!Q23+'ASptISptSSv 2yr'!Q23+'PLANT OPER MAIN 2yr'!Q23+'SCHOLAR FELLOW 2yr'!Q23+'All Other 2yr'!Q23)-Q23</f>
        <v>0</v>
      </c>
      <c r="AT23" s="75">
        <f>('INSTRUCTION-2YR'!R23+'RESEARCH 2yr'!R23+'PUBLIC SERVICE 2yr'!R23+'ASptISptSSv 2yr'!R23+'PLANT OPER MAIN 2yr'!R23+'SCHOLAR FELLOW 2yr'!R23+'All Other 2yr'!R23)-R23</f>
        <v>0</v>
      </c>
      <c r="AU23" s="75">
        <f>('INSTRUCTION-2YR'!S23+'RESEARCH 2yr'!S23+'PUBLIC SERVICE 2yr'!S23+'ASptISptSSv 2yr'!S23+'PLANT OPER MAIN 2yr'!S23+'SCHOLAR FELLOW 2yr'!S23+'All Other 2yr'!S23)-S23</f>
        <v>0</v>
      </c>
      <c r="AV23" s="75">
        <f>('INSTRUCTION-2YR'!T23+'RESEARCH 2yr'!T23+'PUBLIC SERVICE 2yr'!T23+'ASptISptSSv 2yr'!T23+'PLANT OPER MAIN 2yr'!T23+'SCHOLAR FELLOW 2yr'!T23+'All Other 2yr'!T23)-T23</f>
        <v>0</v>
      </c>
      <c r="AW23" s="75">
        <f>('INSTRUCTION-2YR'!U23+'RESEARCH 2yr'!U23+'PUBLIC SERVICE 2yr'!U23+'ASptISptSSv 2yr'!U23+'PLANT OPER MAIN 2yr'!U23+'SCHOLAR FELLOW 2yr'!U23+'All Other 2yr'!U23)-U23</f>
        <v>0</v>
      </c>
      <c r="AX23" s="75">
        <f>('INSTRUCTION-2YR'!V23+'RESEARCH 2yr'!V23+'PUBLIC SERVICE 2yr'!V23+'ASptISptSSv 2yr'!V23+'PLANT OPER MAIN 2yr'!V23+'SCHOLAR FELLOW 2yr'!V23+'All Other 2yr'!V23)-V23</f>
        <v>0</v>
      </c>
      <c r="AY23" s="75">
        <f>('INSTRUCTION-2YR'!W23+'RESEARCH 2yr'!W23+'PUBLIC SERVICE 2yr'!W23+'ASptISptSSv 2yr'!W23+'PLANT OPER MAIN 2yr'!W23+'SCHOLAR FELLOW 2yr'!W23+'All Other 2yr'!W23)-W23</f>
        <v>0</v>
      </c>
      <c r="AZ23" s="75">
        <f>('INSTRUCTION-2YR'!X23+'RESEARCH 2yr'!X23+'PUBLIC SERVICE 2yr'!X23+'ASptISptSSv 2yr'!X23+'PLANT OPER MAIN 2yr'!X23+'SCHOLAR FELLOW 2yr'!X23+'All Other 2yr'!X23)-X23</f>
        <v>0</v>
      </c>
      <c r="BA23" s="75">
        <f>('INSTRUCTION-2YR'!Y23+'RESEARCH 2yr'!Y23+'PUBLIC SERVICE 2yr'!Y23+'ASptISptSSv 2yr'!Y23+'PLANT OPER MAIN 2yr'!Y23+'SCHOLAR FELLOW 2yr'!Y23+'All Other 2yr'!Y23)-Y23</f>
        <v>0</v>
      </c>
      <c r="BB23" s="75">
        <f>('INSTRUCTION-2YR'!Z23+'RESEARCH 2yr'!Z23+'PUBLIC SERVICE 2yr'!Z23+'ASptISptSSv 2yr'!Z23+'PLANT OPER MAIN 2yr'!Z23+'SCHOLAR FELLOW 2yr'!Z23+'All Other 2yr'!Z23)-Z23</f>
        <v>0</v>
      </c>
      <c r="BC23" s="75">
        <f>('INSTRUCTION-2YR'!AA23+'RESEARCH 2yr'!AA23+'PUBLIC SERVICE 2yr'!AA23+'ASptISptSSv 2yr'!AA23+'PLANT OPER MAIN 2yr'!AA23+'SCHOLAR FELLOW 2yr'!AA23+'All Other 2yr'!AA23)-AA23</f>
        <v>0</v>
      </c>
      <c r="BD23" s="75">
        <f>('INSTRUCTION-2YR'!AB23+'RESEARCH 2yr'!AB23+'PUBLIC SERVICE 2yr'!AB23+'ASptISptSSv 2yr'!AB23+'PLANT OPER MAIN 2yr'!AB23+'SCHOLAR FELLOW 2yr'!AB23+'All Other 2yr'!AB23)-AB23</f>
        <v>0</v>
      </c>
      <c r="BE23" s="75">
        <f>('INSTRUCTION-2YR'!AC23+'RESEARCH 2yr'!AC23+'PUBLIC SERVICE 2yr'!AC23+'ASptISptSSv 2yr'!AC23+'PLANT OPER MAIN 2yr'!AC23+'SCHOLAR FELLOW 2yr'!AC23+'All Other 2yr'!AC23)-AC23</f>
        <v>0</v>
      </c>
    </row>
    <row r="24" spans="1:57">
      <c r="A24" s="24" t="s">
        <v>17</v>
      </c>
      <c r="B24" s="24">
        <v>17071</v>
      </c>
      <c r="C24" s="24">
        <v>18947</v>
      </c>
      <c r="D24" s="24">
        <v>19801</v>
      </c>
      <c r="E24" s="24">
        <v>21024.271000000001</v>
      </c>
      <c r="F24" s="45">
        <v>22873.838</v>
      </c>
      <c r="G24" s="24">
        <v>24797.885999999999</v>
      </c>
      <c r="H24" s="24">
        <v>27071.334999999999</v>
      </c>
      <c r="I24" s="24">
        <v>28200.433000000001</v>
      </c>
      <c r="J24" s="24">
        <v>30577.967000000001</v>
      </c>
      <c r="K24" s="24">
        <v>31566.579160000005</v>
      </c>
      <c r="L24" s="24">
        <v>34343.579999999994</v>
      </c>
      <c r="M24" s="24">
        <v>46714.728000000003</v>
      </c>
      <c r="N24" s="24">
        <v>38555.624000000003</v>
      </c>
      <c r="O24" s="24">
        <v>47578.877999999997</v>
      </c>
      <c r="P24" s="24">
        <v>37360.17</v>
      </c>
      <c r="Q24" s="24">
        <v>87515.304000000004</v>
      </c>
      <c r="R24" s="24">
        <v>80691.255999999994</v>
      </c>
      <c r="S24" s="24">
        <v>105638.74099999999</v>
      </c>
      <c r="T24" s="24">
        <v>114516.306</v>
      </c>
      <c r="U24" s="24">
        <v>136464.57</v>
      </c>
      <c r="V24" s="24">
        <v>200552.18</v>
      </c>
      <c r="W24" s="24">
        <v>220527.29399999999</v>
      </c>
      <c r="X24" s="24">
        <v>222684.96</v>
      </c>
      <c r="Y24" s="24">
        <v>215002.139</v>
      </c>
      <c r="Z24" s="24">
        <v>210896.58</v>
      </c>
      <c r="AA24" s="24">
        <v>199992.736</v>
      </c>
      <c r="AB24" s="24">
        <v>198320.747</v>
      </c>
      <c r="AC24" s="24">
        <v>182819.90599999999</v>
      </c>
      <c r="AD24" s="75">
        <f>('INSTRUCTION-2YR'!B24+'RESEARCH 2yr'!B24+'PUBLIC SERVICE 2yr'!B24+'ASptISptSSv 2yr'!B24+'PLANT OPER MAIN 2yr'!B24+'SCHOLAR FELLOW 2yr'!B24+'All Other 2yr'!B24)-B24</f>
        <v>0</v>
      </c>
      <c r="AE24" s="75">
        <f>('INSTRUCTION-2YR'!C24+'RESEARCH 2yr'!C24+'PUBLIC SERVICE 2yr'!C24+'ASptISptSSv 2yr'!C24+'PLANT OPER MAIN 2yr'!C24+'SCHOLAR FELLOW 2yr'!C24+'All Other 2yr'!C24)-C24</f>
        <v>0</v>
      </c>
      <c r="AF24" s="75">
        <f>('INSTRUCTION-2YR'!D24+'RESEARCH 2yr'!D24+'PUBLIC SERVICE 2yr'!D24+'ASptISptSSv 2yr'!D24+'PLANT OPER MAIN 2yr'!D24+'SCHOLAR FELLOW 2yr'!D24+'All Other 2yr'!D24)-D24</f>
        <v>0</v>
      </c>
      <c r="AG24" s="75">
        <f>('INSTRUCTION-2YR'!E24+'RESEARCH 2yr'!E24+'PUBLIC SERVICE 2yr'!E24+'ASptISptSSv 2yr'!E24+'PLANT OPER MAIN 2yr'!E24+'SCHOLAR FELLOW 2yr'!E24+'All Other 2yr'!E24)-E24</f>
        <v>0</v>
      </c>
      <c r="AH24" s="75">
        <f>('INSTRUCTION-2YR'!F24+'RESEARCH 2yr'!F24+'PUBLIC SERVICE 2yr'!F24+'ASptISptSSv 2yr'!F24+'PLANT OPER MAIN 2yr'!F24+'SCHOLAR FELLOW 2yr'!F24+'All Other 2yr'!F24)-F24</f>
        <v>0</v>
      </c>
      <c r="AI24" s="75">
        <f>('INSTRUCTION-2YR'!G24+'RESEARCH 2yr'!G24+'PUBLIC SERVICE 2yr'!G24+'ASptISptSSv 2yr'!G24+'PLANT OPER MAIN 2yr'!G24+'SCHOLAR FELLOW 2yr'!G24+'All Other 2yr'!G24)-G24</f>
        <v>0</v>
      </c>
      <c r="AJ24" s="75">
        <f>('INSTRUCTION-2YR'!H24+'RESEARCH 2yr'!H24+'PUBLIC SERVICE 2yr'!H24+'ASptISptSSv 2yr'!H24+'PLANT OPER MAIN 2yr'!H24+'SCHOLAR FELLOW 2yr'!H24+'All Other 2yr'!H24)-H24</f>
        <v>0</v>
      </c>
      <c r="AK24" s="75">
        <f>('INSTRUCTION-2YR'!I24+'RESEARCH 2yr'!I24+'PUBLIC SERVICE 2yr'!I24+'ASptISptSSv 2yr'!I24+'PLANT OPER MAIN 2yr'!I24+'SCHOLAR FELLOW 2yr'!I24+'All Other 2yr'!I24)-I24</f>
        <v>0</v>
      </c>
      <c r="AL24" s="75">
        <f>('INSTRUCTION-2YR'!J24+'RESEARCH 2yr'!J24+'PUBLIC SERVICE 2yr'!J24+'ASptISptSSv 2yr'!J24+'PLANT OPER MAIN 2yr'!J24+'SCHOLAR FELLOW 2yr'!J24+'All Other 2yr'!J24)-J24</f>
        <v>0</v>
      </c>
      <c r="AM24" s="75">
        <f>('INSTRUCTION-2YR'!K24+'RESEARCH 2yr'!K24+'PUBLIC SERVICE 2yr'!K24+'ASptISptSSv 2yr'!K24+'PLANT OPER MAIN 2yr'!K24+'SCHOLAR FELLOW 2yr'!K24+'All Other 2yr'!K24)-K24</f>
        <v>0</v>
      </c>
      <c r="AN24" s="75">
        <f>('INSTRUCTION-2YR'!L24+'RESEARCH 2yr'!L24+'PUBLIC SERVICE 2yr'!L24+'ASptISptSSv 2yr'!L24+'PLANT OPER MAIN 2yr'!L24+'SCHOLAR FELLOW 2yr'!L24+'All Other 2yr'!L24)-L24</f>
        <v>0</v>
      </c>
      <c r="AO24" s="75">
        <f>('INSTRUCTION-2YR'!M24+'RESEARCH 2yr'!M24+'PUBLIC SERVICE 2yr'!M24+'ASptISptSSv 2yr'!M24+'PLANT OPER MAIN 2yr'!M24+'SCHOLAR FELLOW 2yr'!M24+'All Other 2yr'!M24)-M24</f>
        <v>0</v>
      </c>
      <c r="AP24" s="75">
        <f>('INSTRUCTION-2YR'!N24+'RESEARCH 2yr'!N24+'PUBLIC SERVICE 2yr'!N24+'ASptISptSSv 2yr'!N24+'PLANT OPER MAIN 2yr'!N24+'SCHOLAR FELLOW 2yr'!N24+'All Other 2yr'!N24)-N24</f>
        <v>0</v>
      </c>
      <c r="AQ24" s="75">
        <f>('INSTRUCTION-2YR'!O24+'RESEARCH 2yr'!O24+'PUBLIC SERVICE 2yr'!O24+'ASptISptSSv 2yr'!O24+'PLANT OPER MAIN 2yr'!O24+'SCHOLAR FELLOW 2yr'!O24+'All Other 2yr'!O24)-O24</f>
        <v>0</v>
      </c>
      <c r="AR24" s="75">
        <f>('INSTRUCTION-2YR'!P24+'RESEARCH 2yr'!P24+'PUBLIC SERVICE 2yr'!P24+'ASptISptSSv 2yr'!P24+'PLANT OPER MAIN 2yr'!P24+'SCHOLAR FELLOW 2yr'!P24+'All Other 2yr'!P24)-P24</f>
        <v>0</v>
      </c>
      <c r="AS24" s="75">
        <f>('INSTRUCTION-2YR'!Q24+'RESEARCH 2yr'!Q24+'PUBLIC SERVICE 2yr'!Q24+'ASptISptSSv 2yr'!Q24+'PLANT OPER MAIN 2yr'!Q24+'SCHOLAR FELLOW 2yr'!Q24+'All Other 2yr'!Q24)-Q24</f>
        <v>0</v>
      </c>
      <c r="AT24" s="75">
        <f>('INSTRUCTION-2YR'!R24+'RESEARCH 2yr'!R24+'PUBLIC SERVICE 2yr'!R24+'ASptISptSSv 2yr'!R24+'PLANT OPER MAIN 2yr'!R24+'SCHOLAR FELLOW 2yr'!R24+'All Other 2yr'!R24)-R24</f>
        <v>0</v>
      </c>
      <c r="AU24" s="75">
        <f>('INSTRUCTION-2YR'!S24+'RESEARCH 2yr'!S24+'PUBLIC SERVICE 2yr'!S24+'ASptISptSSv 2yr'!S24+'PLANT OPER MAIN 2yr'!S24+'SCHOLAR FELLOW 2yr'!S24+'All Other 2yr'!S24)-S24</f>
        <v>0</v>
      </c>
      <c r="AV24" s="75">
        <f>('INSTRUCTION-2YR'!T24+'RESEARCH 2yr'!T24+'PUBLIC SERVICE 2yr'!T24+'ASptISptSSv 2yr'!T24+'PLANT OPER MAIN 2yr'!T24+'SCHOLAR FELLOW 2yr'!T24+'All Other 2yr'!T24)-T24</f>
        <v>0</v>
      </c>
      <c r="AW24" s="75">
        <f>('INSTRUCTION-2YR'!U24+'RESEARCH 2yr'!U24+'PUBLIC SERVICE 2yr'!U24+'ASptISptSSv 2yr'!U24+'PLANT OPER MAIN 2yr'!U24+'SCHOLAR FELLOW 2yr'!U24+'All Other 2yr'!U24)-U24</f>
        <v>0</v>
      </c>
      <c r="AX24" s="75">
        <f>('INSTRUCTION-2YR'!V24+'RESEARCH 2yr'!V24+'PUBLIC SERVICE 2yr'!V24+'ASptISptSSv 2yr'!V24+'PLANT OPER MAIN 2yr'!V24+'SCHOLAR FELLOW 2yr'!V24+'All Other 2yr'!V24)-V24</f>
        <v>0</v>
      </c>
      <c r="AY24" s="75">
        <f>('INSTRUCTION-2YR'!W24+'RESEARCH 2yr'!W24+'PUBLIC SERVICE 2yr'!W24+'ASptISptSSv 2yr'!W24+'PLANT OPER MAIN 2yr'!W24+'SCHOLAR FELLOW 2yr'!W24+'All Other 2yr'!W24)-W24</f>
        <v>0</v>
      </c>
      <c r="AZ24" s="75">
        <f>('INSTRUCTION-2YR'!X24+'RESEARCH 2yr'!X24+'PUBLIC SERVICE 2yr'!X24+'ASptISptSSv 2yr'!X24+'PLANT OPER MAIN 2yr'!X24+'SCHOLAR FELLOW 2yr'!X24+'All Other 2yr'!X24)-X24</f>
        <v>0</v>
      </c>
      <c r="BA24" s="75">
        <f>('INSTRUCTION-2YR'!Y24+'RESEARCH 2yr'!Y24+'PUBLIC SERVICE 2yr'!Y24+'ASptISptSSv 2yr'!Y24+'PLANT OPER MAIN 2yr'!Y24+'SCHOLAR FELLOW 2yr'!Y24+'All Other 2yr'!Y24)-Y24</f>
        <v>0</v>
      </c>
      <c r="BB24" s="75">
        <f>('INSTRUCTION-2YR'!Z24+'RESEARCH 2yr'!Z24+'PUBLIC SERVICE 2yr'!Z24+'ASptISptSSv 2yr'!Z24+'PLANT OPER MAIN 2yr'!Z24+'SCHOLAR FELLOW 2yr'!Z24+'All Other 2yr'!Z24)-Z24</f>
        <v>0</v>
      </c>
      <c r="BC24" s="75">
        <f>('INSTRUCTION-2YR'!AA24+'RESEARCH 2yr'!AA24+'PUBLIC SERVICE 2yr'!AA24+'ASptISptSSv 2yr'!AA24+'PLANT OPER MAIN 2yr'!AA24+'SCHOLAR FELLOW 2yr'!AA24+'All Other 2yr'!AA24)-AA24</f>
        <v>0</v>
      </c>
      <c r="BD24" s="75">
        <f>('INSTRUCTION-2YR'!AB24+'RESEARCH 2yr'!AB24+'PUBLIC SERVICE 2yr'!AB24+'ASptISptSSv 2yr'!AB24+'PLANT OPER MAIN 2yr'!AB24+'SCHOLAR FELLOW 2yr'!AB24+'All Other 2yr'!AB24)-AB24</f>
        <v>0</v>
      </c>
      <c r="BE24" s="75">
        <f>('INSTRUCTION-2YR'!AC24+'RESEARCH 2yr'!AC24+'PUBLIC SERVICE 2yr'!AC24+'ASptISptSSv 2yr'!AC24+'PLANT OPER MAIN 2yr'!AC24+'SCHOLAR FELLOW 2yr'!AC24+'All Other 2yr'!AC24)-AC24</f>
        <v>0</v>
      </c>
    </row>
    <row r="25" spans="1:57">
      <c r="A25" s="7" t="s">
        <v>120</v>
      </c>
      <c r="B25" s="48">
        <f>SUM(B27:B39)</f>
        <v>0</v>
      </c>
      <c r="C25" s="48">
        <f t="shared" ref="C25:AC25" si="12">SUM(C27:C39)</f>
        <v>0</v>
      </c>
      <c r="D25" s="48">
        <f t="shared" si="12"/>
        <v>0</v>
      </c>
      <c r="E25" s="48">
        <f t="shared" si="12"/>
        <v>0</v>
      </c>
      <c r="F25" s="48">
        <f t="shared" si="12"/>
        <v>5085743.0989999995</v>
      </c>
      <c r="G25" s="48">
        <f t="shared" si="12"/>
        <v>0</v>
      </c>
      <c r="H25" s="48">
        <f t="shared" si="12"/>
        <v>0</v>
      </c>
      <c r="I25" s="48">
        <f t="shared" si="12"/>
        <v>5721772.5959999999</v>
      </c>
      <c r="J25" s="48">
        <f t="shared" si="12"/>
        <v>0</v>
      </c>
      <c r="K25" s="48">
        <f t="shared" si="12"/>
        <v>7154394.4839200014</v>
      </c>
      <c r="L25" s="48">
        <f t="shared" si="12"/>
        <v>7214062.2379999999</v>
      </c>
      <c r="M25" s="48">
        <f t="shared" si="12"/>
        <v>7820176.0690000001</v>
      </c>
      <c r="N25" s="48">
        <f t="shared" si="12"/>
        <v>8571872.7259999979</v>
      </c>
      <c r="O25" s="48">
        <f t="shared" si="12"/>
        <v>8967413.2909999993</v>
      </c>
      <c r="P25" s="48">
        <f t="shared" si="12"/>
        <v>9173069.2870000005</v>
      </c>
      <c r="Q25" s="48">
        <f t="shared" si="12"/>
        <v>11481645.857000003</v>
      </c>
      <c r="R25" s="48">
        <f t="shared" si="12"/>
        <v>12157408.027000001</v>
      </c>
      <c r="S25" s="48">
        <f t="shared" si="12"/>
        <v>12885782.847000001</v>
      </c>
      <c r="T25" s="48">
        <f t="shared" si="12"/>
        <v>14007069.755000001</v>
      </c>
      <c r="U25" s="48">
        <f t="shared" si="12"/>
        <v>15531043.535999997</v>
      </c>
      <c r="V25" s="48">
        <f t="shared" si="12"/>
        <v>16422272.171999997</v>
      </c>
      <c r="W25" s="48">
        <f t="shared" si="12"/>
        <v>18062205.934</v>
      </c>
      <c r="X25" s="48">
        <f t="shared" si="12"/>
        <v>17977360.320999999</v>
      </c>
      <c r="Y25" s="48">
        <f t="shared" si="12"/>
        <v>13041915.104</v>
      </c>
      <c r="Z25" s="48">
        <f t="shared" si="12"/>
        <v>13422075.707000002</v>
      </c>
      <c r="AA25" s="48">
        <f t="shared" si="12"/>
        <v>13803867.734000001</v>
      </c>
      <c r="AB25" s="48">
        <f t="shared" si="12"/>
        <v>19736395.610000003</v>
      </c>
      <c r="AC25" s="48">
        <f t="shared" si="12"/>
        <v>20400240.559999999</v>
      </c>
      <c r="AD25" s="75">
        <f>('INSTRUCTION-2YR'!B25+'RESEARCH 2yr'!B25+'PUBLIC SERVICE 2yr'!B25+'ASptISptSSv 2yr'!B25+'PLANT OPER MAIN 2yr'!B25+'SCHOLAR FELLOW 2yr'!B25+'All Other 2yr'!B25)-B25</f>
        <v>0</v>
      </c>
      <c r="AE25" s="75">
        <f>('INSTRUCTION-2YR'!C25+'RESEARCH 2yr'!C25+'PUBLIC SERVICE 2yr'!C25+'ASptISptSSv 2yr'!C25+'PLANT OPER MAIN 2yr'!C25+'SCHOLAR FELLOW 2yr'!C25+'All Other 2yr'!C25)-C25</f>
        <v>0</v>
      </c>
      <c r="AF25" s="75">
        <f>('INSTRUCTION-2YR'!D25+'RESEARCH 2yr'!D25+'PUBLIC SERVICE 2yr'!D25+'ASptISptSSv 2yr'!D25+'PLANT OPER MAIN 2yr'!D25+'SCHOLAR FELLOW 2yr'!D25+'All Other 2yr'!D25)-D25</f>
        <v>0</v>
      </c>
      <c r="AG25" s="75">
        <f>('INSTRUCTION-2YR'!E25+'RESEARCH 2yr'!E25+'PUBLIC SERVICE 2yr'!E25+'ASptISptSSv 2yr'!E25+'PLANT OPER MAIN 2yr'!E25+'SCHOLAR FELLOW 2yr'!E25+'All Other 2yr'!E25)-E25</f>
        <v>0</v>
      </c>
      <c r="AH25" s="75">
        <f>('INSTRUCTION-2YR'!F25+'RESEARCH 2yr'!F25+'PUBLIC SERVICE 2yr'!F25+'ASptISptSSv 2yr'!F25+'PLANT OPER MAIN 2yr'!F25+'SCHOLAR FELLOW 2yr'!F25+'All Other 2yr'!F25)-F25</f>
        <v>0</v>
      </c>
      <c r="AI25" s="75">
        <f>('INSTRUCTION-2YR'!G25+'RESEARCH 2yr'!G25+'PUBLIC SERVICE 2yr'!G25+'ASptISptSSv 2yr'!G25+'PLANT OPER MAIN 2yr'!G25+'SCHOLAR FELLOW 2yr'!G25+'All Other 2yr'!G25)-G25</f>
        <v>0</v>
      </c>
      <c r="AJ25" s="75">
        <f>('INSTRUCTION-2YR'!H25+'RESEARCH 2yr'!H25+'PUBLIC SERVICE 2yr'!H25+'ASptISptSSv 2yr'!H25+'PLANT OPER MAIN 2yr'!H25+'SCHOLAR FELLOW 2yr'!H25+'All Other 2yr'!H25)-H25</f>
        <v>0</v>
      </c>
      <c r="AK25" s="75">
        <f>('INSTRUCTION-2YR'!I25+'RESEARCH 2yr'!I25+'PUBLIC SERVICE 2yr'!I25+'ASptISptSSv 2yr'!I25+'PLANT OPER MAIN 2yr'!I25+'SCHOLAR FELLOW 2yr'!I25+'All Other 2yr'!I25)-I25</f>
        <v>0</v>
      </c>
      <c r="AL25" s="75">
        <f>('INSTRUCTION-2YR'!J25+'RESEARCH 2yr'!J25+'PUBLIC SERVICE 2yr'!J25+'ASptISptSSv 2yr'!J25+'PLANT OPER MAIN 2yr'!J25+'SCHOLAR FELLOW 2yr'!J25+'All Other 2yr'!J25)-J25</f>
        <v>0</v>
      </c>
      <c r="AM25" s="75">
        <f>('INSTRUCTION-2YR'!K25+'RESEARCH 2yr'!K25+'PUBLIC SERVICE 2yr'!K25+'ASptISptSSv 2yr'!K25+'PLANT OPER MAIN 2yr'!K25+'SCHOLAR FELLOW 2yr'!K25+'All Other 2yr'!K25)-K25</f>
        <v>0</v>
      </c>
      <c r="AN25" s="75">
        <f>('INSTRUCTION-2YR'!L25+'RESEARCH 2yr'!L25+'PUBLIC SERVICE 2yr'!L25+'ASptISptSSv 2yr'!L25+'PLANT OPER MAIN 2yr'!L25+'SCHOLAR FELLOW 2yr'!L25+'All Other 2yr'!L25)-L25</f>
        <v>0</v>
      </c>
      <c r="AO25" s="75">
        <f>('INSTRUCTION-2YR'!M25+'RESEARCH 2yr'!M25+'PUBLIC SERVICE 2yr'!M25+'ASptISptSSv 2yr'!M25+'PLANT OPER MAIN 2yr'!M25+'SCHOLAR FELLOW 2yr'!M25+'All Other 2yr'!M25)-M25</f>
        <v>0</v>
      </c>
      <c r="AP25" s="75">
        <f>('INSTRUCTION-2YR'!N25+'RESEARCH 2yr'!N25+'PUBLIC SERVICE 2yr'!N25+'ASptISptSSv 2yr'!N25+'PLANT OPER MAIN 2yr'!N25+'SCHOLAR FELLOW 2yr'!N25+'All Other 2yr'!N25)-N25</f>
        <v>0</v>
      </c>
      <c r="AQ25" s="75">
        <f>('INSTRUCTION-2YR'!O25+'RESEARCH 2yr'!O25+'PUBLIC SERVICE 2yr'!O25+'ASptISptSSv 2yr'!O25+'PLANT OPER MAIN 2yr'!O25+'SCHOLAR FELLOW 2yr'!O25+'All Other 2yr'!O25)-O25</f>
        <v>0</v>
      </c>
      <c r="AR25" s="75">
        <f>('INSTRUCTION-2YR'!P25+'RESEARCH 2yr'!P25+'PUBLIC SERVICE 2yr'!P25+'ASptISptSSv 2yr'!P25+'PLANT OPER MAIN 2yr'!P25+'SCHOLAR FELLOW 2yr'!P25+'All Other 2yr'!P25)-P25</f>
        <v>0</v>
      </c>
      <c r="AS25" s="75">
        <f>('INSTRUCTION-2YR'!Q25+'RESEARCH 2yr'!Q25+'PUBLIC SERVICE 2yr'!Q25+'ASptISptSSv 2yr'!Q25+'PLANT OPER MAIN 2yr'!Q25+'SCHOLAR FELLOW 2yr'!Q25+'All Other 2yr'!Q25)-Q25</f>
        <v>0</v>
      </c>
      <c r="AT25" s="75">
        <f>('INSTRUCTION-2YR'!R25+'RESEARCH 2yr'!R25+'PUBLIC SERVICE 2yr'!R25+'ASptISptSSv 2yr'!R25+'PLANT OPER MAIN 2yr'!R25+'SCHOLAR FELLOW 2yr'!R25+'All Other 2yr'!R25)-R25</f>
        <v>0</v>
      </c>
      <c r="AU25" s="75">
        <f>('INSTRUCTION-2YR'!S25+'RESEARCH 2yr'!S25+'PUBLIC SERVICE 2yr'!S25+'ASptISptSSv 2yr'!S25+'PLANT OPER MAIN 2yr'!S25+'SCHOLAR FELLOW 2yr'!S25+'All Other 2yr'!S25)-S25</f>
        <v>0</v>
      </c>
      <c r="AV25" s="75">
        <f>('INSTRUCTION-2YR'!T25+'RESEARCH 2yr'!T25+'PUBLIC SERVICE 2yr'!T25+'ASptISptSSv 2yr'!T25+'PLANT OPER MAIN 2yr'!T25+'SCHOLAR FELLOW 2yr'!T25+'All Other 2yr'!T25)-T25</f>
        <v>0</v>
      </c>
      <c r="AW25" s="75">
        <f>('INSTRUCTION-2YR'!U25+'RESEARCH 2yr'!U25+'PUBLIC SERVICE 2yr'!U25+'ASptISptSSv 2yr'!U25+'PLANT OPER MAIN 2yr'!U25+'SCHOLAR FELLOW 2yr'!U25+'All Other 2yr'!U25)-U25</f>
        <v>0</v>
      </c>
      <c r="AX25" s="75">
        <f>('INSTRUCTION-2YR'!V25+'RESEARCH 2yr'!V25+'PUBLIC SERVICE 2yr'!V25+'ASptISptSSv 2yr'!V25+'PLANT OPER MAIN 2yr'!V25+'SCHOLAR FELLOW 2yr'!V25+'All Other 2yr'!V25)-V25</f>
        <v>0</v>
      </c>
      <c r="AY25" s="75">
        <f>('INSTRUCTION-2YR'!W25+'RESEARCH 2yr'!W25+'PUBLIC SERVICE 2yr'!W25+'ASptISptSSv 2yr'!W25+'PLANT OPER MAIN 2yr'!W25+'SCHOLAR FELLOW 2yr'!W25+'All Other 2yr'!W25)-W25</f>
        <v>0</v>
      </c>
      <c r="AZ25" s="75">
        <f>('INSTRUCTION-2YR'!X25+'RESEARCH 2yr'!X25+'PUBLIC SERVICE 2yr'!X25+'ASptISptSSv 2yr'!X25+'PLANT OPER MAIN 2yr'!X25+'SCHOLAR FELLOW 2yr'!X25+'All Other 2yr'!X25)-X25</f>
        <v>0</v>
      </c>
      <c r="BA25" s="75">
        <f>('INSTRUCTION-2YR'!Y25+'RESEARCH 2yr'!Y25+'PUBLIC SERVICE 2yr'!Y25+'ASptISptSSv 2yr'!Y25+'PLANT OPER MAIN 2yr'!Y25+'SCHOLAR FELLOW 2yr'!Y25+'All Other 2yr'!Y25)-Y25</f>
        <v>0</v>
      </c>
      <c r="BB25" s="75">
        <f>('INSTRUCTION-2YR'!Z25+'RESEARCH 2yr'!Z25+'PUBLIC SERVICE 2yr'!Z25+'ASptISptSSv 2yr'!Z25+'PLANT OPER MAIN 2yr'!Z25+'SCHOLAR FELLOW 2yr'!Z25+'All Other 2yr'!Z25)-Z25</f>
        <v>0</v>
      </c>
      <c r="BC25" s="75">
        <f>('INSTRUCTION-2YR'!AA25+'RESEARCH 2yr'!AA25+'PUBLIC SERVICE 2yr'!AA25+'ASptISptSSv 2yr'!AA25+'PLANT OPER MAIN 2yr'!AA25+'SCHOLAR FELLOW 2yr'!AA25+'All Other 2yr'!AA25)-AA25</f>
        <v>0</v>
      </c>
      <c r="BD25" s="75">
        <f>('INSTRUCTION-2YR'!AB25+'RESEARCH 2yr'!AB25+'PUBLIC SERVICE 2yr'!AB25+'ASptISptSSv 2yr'!AB25+'PLANT OPER MAIN 2yr'!AB25+'SCHOLAR FELLOW 2yr'!AB25+'All Other 2yr'!AB25)-AB25</f>
        <v>26869.950999997556</v>
      </c>
      <c r="BE25" s="75">
        <f>('INSTRUCTION-2YR'!AC25+'RESEARCH 2yr'!AC25+'PUBLIC SERVICE 2yr'!AC25+'ASptISptSSv 2yr'!AC25+'PLANT OPER MAIN 2yr'!AC25+'SCHOLAR FELLOW 2yr'!AC25+'All Other 2yr'!AC25)-AC25</f>
        <v>0</v>
      </c>
    </row>
    <row r="26" spans="1:57">
      <c r="A26" s="7" t="s">
        <v>119</v>
      </c>
      <c r="X26" s="1">
        <v>0</v>
      </c>
      <c r="Y26" s="1">
        <v>0</v>
      </c>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row>
    <row r="27" spans="1:57">
      <c r="A27" s="1" t="s">
        <v>85</v>
      </c>
      <c r="F27" s="42">
        <v>2637.2049999999999</v>
      </c>
      <c r="I27" s="1">
        <v>3189.1350000000002</v>
      </c>
      <c r="K27" s="1">
        <v>3537.4929999999999</v>
      </c>
      <c r="L27" s="1">
        <v>14559.525</v>
      </c>
      <c r="M27" s="1">
        <v>3606.0010000000002</v>
      </c>
      <c r="N27" s="1">
        <v>15012.499</v>
      </c>
      <c r="O27" s="1">
        <v>13667.132</v>
      </c>
      <c r="P27" s="1">
        <v>14283.857</v>
      </c>
      <c r="Q27" s="1">
        <v>4914.598</v>
      </c>
      <c r="R27" s="1">
        <v>15789.945</v>
      </c>
      <c r="S27" s="1">
        <v>15728.496999999999</v>
      </c>
      <c r="T27" s="1">
        <v>17236.031999999999</v>
      </c>
      <c r="U27" s="1">
        <v>17411.081999999999</v>
      </c>
      <c r="V27" s="1">
        <v>18493.451000000001</v>
      </c>
      <c r="W27" s="1">
        <v>6659.7969999999996</v>
      </c>
      <c r="X27" s="1">
        <v>21472.59</v>
      </c>
      <c r="Y27" s="1">
        <v>6139.7020000000002</v>
      </c>
      <c r="AB27" s="1">
        <v>16754.77</v>
      </c>
      <c r="AC27" s="1">
        <v>18308.289000000001</v>
      </c>
      <c r="AD27" s="75">
        <f>('INSTRUCTION-2YR'!B27+'RESEARCH 2yr'!B27+'PUBLIC SERVICE 2yr'!B27+'ASptISptSSv 2yr'!B27+'PLANT OPER MAIN 2yr'!B27+'SCHOLAR FELLOW 2yr'!B27+'All Other 2yr'!B27)-B27</f>
        <v>0</v>
      </c>
      <c r="AE27" s="75">
        <f>('INSTRUCTION-2YR'!C27+'RESEARCH 2yr'!C27+'PUBLIC SERVICE 2yr'!C27+'ASptISptSSv 2yr'!C27+'PLANT OPER MAIN 2yr'!C27+'SCHOLAR FELLOW 2yr'!C27+'All Other 2yr'!C27)-C27</f>
        <v>0</v>
      </c>
      <c r="AF27" s="75">
        <f>('INSTRUCTION-2YR'!D27+'RESEARCH 2yr'!D27+'PUBLIC SERVICE 2yr'!D27+'ASptISptSSv 2yr'!D27+'PLANT OPER MAIN 2yr'!D27+'SCHOLAR FELLOW 2yr'!D27+'All Other 2yr'!D27)-D27</f>
        <v>0</v>
      </c>
      <c r="AG27" s="75">
        <f>('INSTRUCTION-2YR'!E27+'RESEARCH 2yr'!E27+'PUBLIC SERVICE 2yr'!E27+'ASptISptSSv 2yr'!E27+'PLANT OPER MAIN 2yr'!E27+'SCHOLAR FELLOW 2yr'!E27+'All Other 2yr'!E27)-E27</f>
        <v>0</v>
      </c>
      <c r="AH27" s="75">
        <f>('INSTRUCTION-2YR'!F27+'RESEARCH 2yr'!F27+'PUBLIC SERVICE 2yr'!F27+'ASptISptSSv 2yr'!F27+'PLANT OPER MAIN 2yr'!F27+'SCHOLAR FELLOW 2yr'!F27+'All Other 2yr'!F27)-F27</f>
        <v>0</v>
      </c>
      <c r="AI27" s="75">
        <f>('INSTRUCTION-2YR'!G27+'RESEARCH 2yr'!G27+'PUBLIC SERVICE 2yr'!G27+'ASptISptSSv 2yr'!G27+'PLANT OPER MAIN 2yr'!G27+'SCHOLAR FELLOW 2yr'!G27+'All Other 2yr'!G27)-G27</f>
        <v>0</v>
      </c>
      <c r="AJ27" s="75">
        <f>('INSTRUCTION-2YR'!H27+'RESEARCH 2yr'!H27+'PUBLIC SERVICE 2yr'!H27+'ASptISptSSv 2yr'!H27+'PLANT OPER MAIN 2yr'!H27+'SCHOLAR FELLOW 2yr'!H27+'All Other 2yr'!H27)-H27</f>
        <v>0</v>
      </c>
      <c r="AK27" s="75">
        <f>('INSTRUCTION-2YR'!I27+'RESEARCH 2yr'!I27+'PUBLIC SERVICE 2yr'!I27+'ASptISptSSv 2yr'!I27+'PLANT OPER MAIN 2yr'!I27+'SCHOLAR FELLOW 2yr'!I27+'All Other 2yr'!I27)-I27</f>
        <v>0</v>
      </c>
      <c r="AL27" s="75">
        <f>('INSTRUCTION-2YR'!J27+'RESEARCH 2yr'!J27+'PUBLIC SERVICE 2yr'!J27+'ASptISptSSv 2yr'!J27+'PLANT OPER MAIN 2yr'!J27+'SCHOLAR FELLOW 2yr'!J27+'All Other 2yr'!J27)-J27</f>
        <v>0</v>
      </c>
      <c r="AM27" s="75">
        <f>('INSTRUCTION-2YR'!K27+'RESEARCH 2yr'!K27+'PUBLIC SERVICE 2yr'!K27+'ASptISptSSv 2yr'!K27+'PLANT OPER MAIN 2yr'!K27+'SCHOLAR FELLOW 2yr'!K27+'All Other 2yr'!K27)-K27</f>
        <v>0</v>
      </c>
      <c r="AN27" s="75">
        <f>('INSTRUCTION-2YR'!L27+'RESEARCH 2yr'!L27+'PUBLIC SERVICE 2yr'!L27+'ASptISptSSv 2yr'!L27+'PLANT OPER MAIN 2yr'!L27+'SCHOLAR FELLOW 2yr'!L27+'All Other 2yr'!L27)-L27</f>
        <v>0</v>
      </c>
      <c r="AO27" s="75">
        <f>('INSTRUCTION-2YR'!M27+'RESEARCH 2yr'!M27+'PUBLIC SERVICE 2yr'!M27+'ASptISptSSv 2yr'!M27+'PLANT OPER MAIN 2yr'!M27+'SCHOLAR FELLOW 2yr'!M27+'All Other 2yr'!M27)-M27</f>
        <v>0</v>
      </c>
      <c r="AP27" s="75">
        <f>('INSTRUCTION-2YR'!N27+'RESEARCH 2yr'!N27+'PUBLIC SERVICE 2yr'!N27+'ASptISptSSv 2yr'!N27+'PLANT OPER MAIN 2yr'!N27+'SCHOLAR FELLOW 2yr'!N27+'All Other 2yr'!N27)-N27</f>
        <v>0</v>
      </c>
      <c r="AQ27" s="75">
        <f>('INSTRUCTION-2YR'!O27+'RESEARCH 2yr'!O27+'PUBLIC SERVICE 2yr'!O27+'ASptISptSSv 2yr'!O27+'PLANT OPER MAIN 2yr'!O27+'SCHOLAR FELLOW 2yr'!O27+'All Other 2yr'!O27)-O27</f>
        <v>0</v>
      </c>
      <c r="AR27" s="75">
        <f>('INSTRUCTION-2YR'!P27+'RESEARCH 2yr'!P27+'PUBLIC SERVICE 2yr'!P27+'ASptISptSSv 2yr'!P27+'PLANT OPER MAIN 2yr'!P27+'SCHOLAR FELLOW 2yr'!P27+'All Other 2yr'!P27)-P27</f>
        <v>0</v>
      </c>
      <c r="AS27" s="75">
        <f>('INSTRUCTION-2YR'!Q27+'RESEARCH 2yr'!Q27+'PUBLIC SERVICE 2yr'!Q27+'ASptISptSSv 2yr'!Q27+'PLANT OPER MAIN 2yr'!Q27+'SCHOLAR FELLOW 2yr'!Q27+'All Other 2yr'!Q27)-Q27</f>
        <v>0</v>
      </c>
      <c r="AT27" s="75">
        <f>('INSTRUCTION-2YR'!R27+'RESEARCH 2yr'!R27+'PUBLIC SERVICE 2yr'!R27+'ASptISptSSv 2yr'!R27+'PLANT OPER MAIN 2yr'!R27+'SCHOLAR FELLOW 2yr'!R27+'All Other 2yr'!R27)-R27</f>
        <v>0</v>
      </c>
      <c r="AU27" s="75">
        <f>('INSTRUCTION-2YR'!S27+'RESEARCH 2yr'!S27+'PUBLIC SERVICE 2yr'!S27+'ASptISptSSv 2yr'!S27+'PLANT OPER MAIN 2yr'!S27+'SCHOLAR FELLOW 2yr'!S27+'All Other 2yr'!S27)-S27</f>
        <v>0</v>
      </c>
      <c r="AV27" s="75">
        <f>('INSTRUCTION-2YR'!T27+'RESEARCH 2yr'!T27+'PUBLIC SERVICE 2yr'!T27+'ASptISptSSv 2yr'!T27+'PLANT OPER MAIN 2yr'!T27+'SCHOLAR FELLOW 2yr'!T27+'All Other 2yr'!T27)-T27</f>
        <v>0</v>
      </c>
      <c r="AW27" s="75">
        <f>('INSTRUCTION-2YR'!U27+'RESEARCH 2yr'!U27+'PUBLIC SERVICE 2yr'!U27+'ASptISptSSv 2yr'!U27+'PLANT OPER MAIN 2yr'!U27+'SCHOLAR FELLOW 2yr'!U27+'All Other 2yr'!U27)-U27</f>
        <v>0</v>
      </c>
      <c r="AX27" s="75">
        <f>('INSTRUCTION-2YR'!V27+'RESEARCH 2yr'!V27+'PUBLIC SERVICE 2yr'!V27+'ASptISptSSv 2yr'!V27+'PLANT OPER MAIN 2yr'!V27+'SCHOLAR FELLOW 2yr'!V27+'All Other 2yr'!V27)-V27</f>
        <v>0</v>
      </c>
      <c r="AY27" s="75">
        <f>('INSTRUCTION-2YR'!W27+'RESEARCH 2yr'!W27+'PUBLIC SERVICE 2yr'!W27+'ASptISptSSv 2yr'!W27+'PLANT OPER MAIN 2yr'!W27+'SCHOLAR FELLOW 2yr'!W27+'All Other 2yr'!W27)-W27</f>
        <v>0</v>
      </c>
      <c r="AZ27" s="75">
        <f>('INSTRUCTION-2YR'!X27+'RESEARCH 2yr'!X27+'PUBLIC SERVICE 2yr'!X27+'ASptISptSSv 2yr'!X27+'PLANT OPER MAIN 2yr'!X27+'SCHOLAR FELLOW 2yr'!X27+'All Other 2yr'!X27)-X27</f>
        <v>0</v>
      </c>
      <c r="BA27" s="75">
        <f>('INSTRUCTION-2YR'!Y27+'RESEARCH 2yr'!Y27+'PUBLIC SERVICE 2yr'!Y27+'ASptISptSSv 2yr'!Y27+'PLANT OPER MAIN 2yr'!Y27+'SCHOLAR FELLOW 2yr'!Y27+'All Other 2yr'!Y27)-Y27</f>
        <v>0</v>
      </c>
      <c r="BB27" s="75">
        <f>('INSTRUCTION-2YR'!Z27+'RESEARCH 2yr'!Z27+'PUBLIC SERVICE 2yr'!Z27+'ASptISptSSv 2yr'!Z27+'PLANT OPER MAIN 2yr'!Z27+'SCHOLAR FELLOW 2yr'!Z27+'All Other 2yr'!Z27)-Z27</f>
        <v>0</v>
      </c>
      <c r="BC27" s="75">
        <f>('INSTRUCTION-2YR'!AA27+'RESEARCH 2yr'!AA27+'PUBLIC SERVICE 2yr'!AA27+'ASptISptSSv 2yr'!AA27+'PLANT OPER MAIN 2yr'!AA27+'SCHOLAR FELLOW 2yr'!AA27+'All Other 2yr'!AA27)-AA27</f>
        <v>0</v>
      </c>
      <c r="BD27" s="75">
        <f>('INSTRUCTION-2YR'!AB27+'RESEARCH 2yr'!AB27+'PUBLIC SERVICE 2yr'!AB27+'ASptISptSSv 2yr'!AB27+'PLANT OPER MAIN 2yr'!AB27+'SCHOLAR FELLOW 2yr'!AB27+'All Other 2yr'!AB27)-AB27</f>
        <v>0</v>
      </c>
      <c r="BE27" s="75">
        <f>('INSTRUCTION-2YR'!AC27+'RESEARCH 2yr'!AC27+'PUBLIC SERVICE 2yr'!AC27+'ASptISptSSv 2yr'!AC27+'PLANT OPER MAIN 2yr'!AC27+'SCHOLAR FELLOW 2yr'!AC27+'All Other 2yr'!AC27)-AC27</f>
        <v>0</v>
      </c>
    </row>
    <row r="28" spans="1:57">
      <c r="A28" s="1" t="s">
        <v>86</v>
      </c>
      <c r="F28" s="42">
        <v>363896.53600000002</v>
      </c>
      <c r="I28" s="1">
        <v>418336.59899999999</v>
      </c>
      <c r="K28" s="1">
        <v>524868.63231999998</v>
      </c>
      <c r="L28" s="1">
        <v>602974.10499999998</v>
      </c>
      <c r="M28" s="1">
        <v>650465.37300000002</v>
      </c>
      <c r="N28" s="1">
        <v>731775.14</v>
      </c>
      <c r="O28" s="1">
        <v>801538.41200000001</v>
      </c>
      <c r="P28" s="1">
        <v>859754.13199999998</v>
      </c>
      <c r="Q28" s="1">
        <v>908165.13100000005</v>
      </c>
      <c r="R28" s="1">
        <v>958325.13300000003</v>
      </c>
      <c r="S28" s="1">
        <v>1014550.073</v>
      </c>
      <c r="T28" s="1">
        <v>1052281.3089999999</v>
      </c>
      <c r="U28" s="1">
        <v>1126453.3999999999</v>
      </c>
      <c r="V28" s="1">
        <v>1284434.07</v>
      </c>
      <c r="W28" s="1">
        <v>1374123.2180000001</v>
      </c>
      <c r="X28" s="1">
        <v>1438062.4410000001</v>
      </c>
      <c r="Y28" s="1">
        <v>339019.51899999997</v>
      </c>
      <c r="Z28" s="1">
        <v>343497.94</v>
      </c>
      <c r="AA28" s="1">
        <v>342792.21</v>
      </c>
      <c r="AB28" s="1">
        <v>1402350.348</v>
      </c>
      <c r="AC28" s="1">
        <v>1349704.453</v>
      </c>
      <c r="AD28" s="75">
        <f>('INSTRUCTION-2YR'!B28+'RESEARCH 2yr'!B28+'PUBLIC SERVICE 2yr'!B28+'ASptISptSSv 2yr'!B28+'PLANT OPER MAIN 2yr'!B28+'SCHOLAR FELLOW 2yr'!B28+'All Other 2yr'!B28)-B28</f>
        <v>0</v>
      </c>
      <c r="AE28" s="75">
        <f>('INSTRUCTION-2YR'!C28+'RESEARCH 2yr'!C28+'PUBLIC SERVICE 2yr'!C28+'ASptISptSSv 2yr'!C28+'PLANT OPER MAIN 2yr'!C28+'SCHOLAR FELLOW 2yr'!C28+'All Other 2yr'!C28)-C28</f>
        <v>0</v>
      </c>
      <c r="AF28" s="75">
        <f>('INSTRUCTION-2YR'!D28+'RESEARCH 2yr'!D28+'PUBLIC SERVICE 2yr'!D28+'ASptISptSSv 2yr'!D28+'PLANT OPER MAIN 2yr'!D28+'SCHOLAR FELLOW 2yr'!D28+'All Other 2yr'!D28)-D28</f>
        <v>0</v>
      </c>
      <c r="AG28" s="75">
        <f>('INSTRUCTION-2YR'!E28+'RESEARCH 2yr'!E28+'PUBLIC SERVICE 2yr'!E28+'ASptISptSSv 2yr'!E28+'PLANT OPER MAIN 2yr'!E28+'SCHOLAR FELLOW 2yr'!E28+'All Other 2yr'!E28)-E28</f>
        <v>0</v>
      </c>
      <c r="AH28" s="75">
        <f>('INSTRUCTION-2YR'!F28+'RESEARCH 2yr'!F28+'PUBLIC SERVICE 2yr'!F28+'ASptISptSSv 2yr'!F28+'PLANT OPER MAIN 2yr'!F28+'SCHOLAR FELLOW 2yr'!F28+'All Other 2yr'!F28)-F28</f>
        <v>0</v>
      </c>
      <c r="AI28" s="75">
        <f>('INSTRUCTION-2YR'!G28+'RESEARCH 2yr'!G28+'PUBLIC SERVICE 2yr'!G28+'ASptISptSSv 2yr'!G28+'PLANT OPER MAIN 2yr'!G28+'SCHOLAR FELLOW 2yr'!G28+'All Other 2yr'!G28)-G28</f>
        <v>0</v>
      </c>
      <c r="AJ28" s="75">
        <f>('INSTRUCTION-2YR'!H28+'RESEARCH 2yr'!H28+'PUBLIC SERVICE 2yr'!H28+'ASptISptSSv 2yr'!H28+'PLANT OPER MAIN 2yr'!H28+'SCHOLAR FELLOW 2yr'!H28+'All Other 2yr'!H28)-H28</f>
        <v>0</v>
      </c>
      <c r="AK28" s="75">
        <f>('INSTRUCTION-2YR'!I28+'RESEARCH 2yr'!I28+'PUBLIC SERVICE 2yr'!I28+'ASptISptSSv 2yr'!I28+'PLANT OPER MAIN 2yr'!I28+'SCHOLAR FELLOW 2yr'!I28+'All Other 2yr'!I28)-I28</f>
        <v>0</v>
      </c>
      <c r="AL28" s="75">
        <f>('INSTRUCTION-2YR'!J28+'RESEARCH 2yr'!J28+'PUBLIC SERVICE 2yr'!J28+'ASptISptSSv 2yr'!J28+'PLANT OPER MAIN 2yr'!J28+'SCHOLAR FELLOW 2yr'!J28+'All Other 2yr'!J28)-J28</f>
        <v>0</v>
      </c>
      <c r="AM28" s="75">
        <f>('INSTRUCTION-2YR'!K28+'RESEARCH 2yr'!K28+'PUBLIC SERVICE 2yr'!K28+'ASptISptSSv 2yr'!K28+'PLANT OPER MAIN 2yr'!K28+'SCHOLAR FELLOW 2yr'!K28+'All Other 2yr'!K28)-K28</f>
        <v>0</v>
      </c>
      <c r="AN28" s="75">
        <f>('INSTRUCTION-2YR'!L28+'RESEARCH 2yr'!L28+'PUBLIC SERVICE 2yr'!L28+'ASptISptSSv 2yr'!L28+'PLANT OPER MAIN 2yr'!L28+'SCHOLAR FELLOW 2yr'!L28+'All Other 2yr'!L28)-L28</f>
        <v>0</v>
      </c>
      <c r="AO28" s="75">
        <f>('INSTRUCTION-2YR'!M28+'RESEARCH 2yr'!M28+'PUBLIC SERVICE 2yr'!M28+'ASptISptSSv 2yr'!M28+'PLANT OPER MAIN 2yr'!M28+'SCHOLAR FELLOW 2yr'!M28+'All Other 2yr'!M28)-M28</f>
        <v>0</v>
      </c>
      <c r="AP28" s="75">
        <f>('INSTRUCTION-2YR'!N28+'RESEARCH 2yr'!N28+'PUBLIC SERVICE 2yr'!N28+'ASptISptSSv 2yr'!N28+'PLANT OPER MAIN 2yr'!N28+'SCHOLAR FELLOW 2yr'!N28+'All Other 2yr'!N28)-N28</f>
        <v>0</v>
      </c>
      <c r="AQ28" s="75">
        <f>('INSTRUCTION-2YR'!O28+'RESEARCH 2yr'!O28+'PUBLIC SERVICE 2yr'!O28+'ASptISptSSv 2yr'!O28+'PLANT OPER MAIN 2yr'!O28+'SCHOLAR FELLOW 2yr'!O28+'All Other 2yr'!O28)-O28</f>
        <v>0</v>
      </c>
      <c r="AR28" s="75">
        <f>('INSTRUCTION-2YR'!P28+'RESEARCH 2yr'!P28+'PUBLIC SERVICE 2yr'!P28+'ASptISptSSv 2yr'!P28+'PLANT OPER MAIN 2yr'!P28+'SCHOLAR FELLOW 2yr'!P28+'All Other 2yr'!P28)-P28</f>
        <v>0</v>
      </c>
      <c r="AS28" s="75">
        <f>('INSTRUCTION-2YR'!Q28+'RESEARCH 2yr'!Q28+'PUBLIC SERVICE 2yr'!Q28+'ASptISptSSv 2yr'!Q28+'PLANT OPER MAIN 2yr'!Q28+'SCHOLAR FELLOW 2yr'!Q28+'All Other 2yr'!Q28)-Q28</f>
        <v>0</v>
      </c>
      <c r="AT28" s="75">
        <f>('INSTRUCTION-2YR'!R28+'RESEARCH 2yr'!R28+'PUBLIC SERVICE 2yr'!R28+'ASptISptSSv 2yr'!R28+'PLANT OPER MAIN 2yr'!R28+'SCHOLAR FELLOW 2yr'!R28+'All Other 2yr'!R28)-R28</f>
        <v>0</v>
      </c>
      <c r="AU28" s="75">
        <f>('INSTRUCTION-2YR'!S28+'RESEARCH 2yr'!S28+'PUBLIC SERVICE 2yr'!S28+'ASptISptSSv 2yr'!S28+'PLANT OPER MAIN 2yr'!S28+'SCHOLAR FELLOW 2yr'!S28+'All Other 2yr'!S28)-S28</f>
        <v>0</v>
      </c>
      <c r="AV28" s="75">
        <f>('INSTRUCTION-2YR'!T28+'RESEARCH 2yr'!T28+'PUBLIC SERVICE 2yr'!T28+'ASptISptSSv 2yr'!T28+'PLANT OPER MAIN 2yr'!T28+'SCHOLAR FELLOW 2yr'!T28+'All Other 2yr'!T28)-T28</f>
        <v>0</v>
      </c>
      <c r="AW28" s="75">
        <f>('INSTRUCTION-2YR'!U28+'RESEARCH 2yr'!U28+'PUBLIC SERVICE 2yr'!U28+'ASptISptSSv 2yr'!U28+'PLANT OPER MAIN 2yr'!U28+'SCHOLAR FELLOW 2yr'!U28+'All Other 2yr'!U28)-U28</f>
        <v>0</v>
      </c>
      <c r="AX28" s="75">
        <f>('INSTRUCTION-2YR'!V28+'RESEARCH 2yr'!V28+'PUBLIC SERVICE 2yr'!V28+'ASptISptSSv 2yr'!V28+'PLANT OPER MAIN 2yr'!V28+'SCHOLAR FELLOW 2yr'!V28+'All Other 2yr'!V28)-V28</f>
        <v>0</v>
      </c>
      <c r="AY28" s="75">
        <f>('INSTRUCTION-2YR'!W28+'RESEARCH 2yr'!W28+'PUBLIC SERVICE 2yr'!W28+'ASptISptSSv 2yr'!W28+'PLANT OPER MAIN 2yr'!W28+'SCHOLAR FELLOW 2yr'!W28+'All Other 2yr'!W28)-W28</f>
        <v>0</v>
      </c>
      <c r="AZ28" s="75">
        <f>('INSTRUCTION-2YR'!X28+'RESEARCH 2yr'!X28+'PUBLIC SERVICE 2yr'!X28+'ASptISptSSv 2yr'!X28+'PLANT OPER MAIN 2yr'!X28+'SCHOLAR FELLOW 2yr'!X28+'All Other 2yr'!X28)-X28</f>
        <v>0</v>
      </c>
      <c r="BA28" s="75">
        <f>('INSTRUCTION-2YR'!Y28+'RESEARCH 2yr'!Y28+'PUBLIC SERVICE 2yr'!Y28+'ASptISptSSv 2yr'!Y28+'PLANT OPER MAIN 2yr'!Y28+'SCHOLAR FELLOW 2yr'!Y28+'All Other 2yr'!Y28)-Y28</f>
        <v>0</v>
      </c>
      <c r="BB28" s="75">
        <f>('INSTRUCTION-2YR'!Z28+'RESEARCH 2yr'!Z28+'PUBLIC SERVICE 2yr'!Z28+'ASptISptSSv 2yr'!Z28+'PLANT OPER MAIN 2yr'!Z28+'SCHOLAR FELLOW 2yr'!Z28+'All Other 2yr'!Z28)-Z28</f>
        <v>0</v>
      </c>
      <c r="BC28" s="75">
        <f>('INSTRUCTION-2YR'!AA28+'RESEARCH 2yr'!AA28+'PUBLIC SERVICE 2yr'!AA28+'ASptISptSSv 2yr'!AA28+'PLANT OPER MAIN 2yr'!AA28+'SCHOLAR FELLOW 2yr'!AA28+'All Other 2yr'!AA28)-AA28</f>
        <v>0</v>
      </c>
      <c r="BD28" s="75">
        <f>('INSTRUCTION-2YR'!AB28+'RESEARCH 2yr'!AB28+'PUBLIC SERVICE 2yr'!AB28+'ASptISptSSv 2yr'!AB28+'PLANT OPER MAIN 2yr'!AB28+'SCHOLAR FELLOW 2yr'!AB28+'All Other 2yr'!AB28)-AB28</f>
        <v>0</v>
      </c>
      <c r="BE28" s="75">
        <f>('INSTRUCTION-2YR'!AC28+'RESEARCH 2yr'!AC28+'PUBLIC SERVICE 2yr'!AC28+'ASptISptSSv 2yr'!AC28+'PLANT OPER MAIN 2yr'!AC28+'SCHOLAR FELLOW 2yr'!AC28+'All Other 2yr'!AC28)-AC28</f>
        <v>0</v>
      </c>
    </row>
    <row r="29" spans="1:57">
      <c r="A29" s="1" t="s">
        <v>87</v>
      </c>
      <c r="F29" s="42">
        <v>3054566.8220000002</v>
      </c>
      <c r="I29" s="1">
        <v>3269711.0070000002</v>
      </c>
      <c r="K29" s="1">
        <v>4248387.3127700007</v>
      </c>
      <c r="L29" s="1">
        <v>3802965.6030000001</v>
      </c>
      <c r="M29" s="1">
        <v>4146852.7420000001</v>
      </c>
      <c r="N29" s="1">
        <v>4515988.5389999999</v>
      </c>
      <c r="O29" s="1">
        <v>4627004.415</v>
      </c>
      <c r="P29" s="1">
        <v>4674531.9060000004</v>
      </c>
      <c r="Q29" s="1">
        <v>6752603.5990000004</v>
      </c>
      <c r="R29" s="1">
        <v>7204829.5930000003</v>
      </c>
      <c r="S29" s="1">
        <v>7949626.4699999997</v>
      </c>
      <c r="T29" s="1">
        <v>8709183.4969999995</v>
      </c>
      <c r="U29" s="1">
        <v>9199154.6109999996</v>
      </c>
      <c r="V29" s="1">
        <v>9517428.9389999993</v>
      </c>
      <c r="W29" s="1">
        <v>10607184.348999999</v>
      </c>
      <c r="X29" s="1">
        <v>10435664.01</v>
      </c>
      <c r="Y29" s="1">
        <v>7625430.4890000001</v>
      </c>
      <c r="Z29" s="1">
        <v>7982002.3669999996</v>
      </c>
      <c r="AA29" s="1">
        <v>8459857.1960000005</v>
      </c>
      <c r="AB29" s="1">
        <v>11951774.431</v>
      </c>
      <c r="AC29" s="1">
        <v>12666077.307</v>
      </c>
      <c r="AD29" s="75">
        <f>('INSTRUCTION-2YR'!B29+'RESEARCH 2yr'!B29+'PUBLIC SERVICE 2yr'!B29+'ASptISptSSv 2yr'!B29+'PLANT OPER MAIN 2yr'!B29+'SCHOLAR FELLOW 2yr'!B29+'All Other 2yr'!B29)-B29</f>
        <v>0</v>
      </c>
      <c r="AE29" s="75">
        <f>('INSTRUCTION-2YR'!C29+'RESEARCH 2yr'!C29+'PUBLIC SERVICE 2yr'!C29+'ASptISptSSv 2yr'!C29+'PLANT OPER MAIN 2yr'!C29+'SCHOLAR FELLOW 2yr'!C29+'All Other 2yr'!C29)-C29</f>
        <v>0</v>
      </c>
      <c r="AF29" s="75">
        <f>('INSTRUCTION-2YR'!D29+'RESEARCH 2yr'!D29+'PUBLIC SERVICE 2yr'!D29+'ASptISptSSv 2yr'!D29+'PLANT OPER MAIN 2yr'!D29+'SCHOLAR FELLOW 2yr'!D29+'All Other 2yr'!D29)-D29</f>
        <v>0</v>
      </c>
      <c r="AG29" s="75">
        <f>('INSTRUCTION-2YR'!E29+'RESEARCH 2yr'!E29+'PUBLIC SERVICE 2yr'!E29+'ASptISptSSv 2yr'!E29+'PLANT OPER MAIN 2yr'!E29+'SCHOLAR FELLOW 2yr'!E29+'All Other 2yr'!E29)-E29</f>
        <v>0</v>
      </c>
      <c r="AH29" s="75">
        <f>('INSTRUCTION-2YR'!F29+'RESEARCH 2yr'!F29+'PUBLIC SERVICE 2yr'!F29+'ASptISptSSv 2yr'!F29+'PLANT OPER MAIN 2yr'!F29+'SCHOLAR FELLOW 2yr'!F29+'All Other 2yr'!F29)-F29</f>
        <v>0</v>
      </c>
      <c r="AI29" s="75">
        <f>('INSTRUCTION-2YR'!G29+'RESEARCH 2yr'!G29+'PUBLIC SERVICE 2yr'!G29+'ASptISptSSv 2yr'!G29+'PLANT OPER MAIN 2yr'!G29+'SCHOLAR FELLOW 2yr'!G29+'All Other 2yr'!G29)-G29</f>
        <v>0</v>
      </c>
      <c r="AJ29" s="75">
        <f>('INSTRUCTION-2YR'!H29+'RESEARCH 2yr'!H29+'PUBLIC SERVICE 2yr'!H29+'ASptISptSSv 2yr'!H29+'PLANT OPER MAIN 2yr'!H29+'SCHOLAR FELLOW 2yr'!H29+'All Other 2yr'!H29)-H29</f>
        <v>0</v>
      </c>
      <c r="AK29" s="75">
        <f>('INSTRUCTION-2YR'!I29+'RESEARCH 2yr'!I29+'PUBLIC SERVICE 2yr'!I29+'ASptISptSSv 2yr'!I29+'PLANT OPER MAIN 2yr'!I29+'SCHOLAR FELLOW 2yr'!I29+'All Other 2yr'!I29)-I29</f>
        <v>0</v>
      </c>
      <c r="AL29" s="75">
        <f>('INSTRUCTION-2YR'!J29+'RESEARCH 2yr'!J29+'PUBLIC SERVICE 2yr'!J29+'ASptISptSSv 2yr'!J29+'PLANT OPER MAIN 2yr'!J29+'SCHOLAR FELLOW 2yr'!J29+'All Other 2yr'!J29)-J29</f>
        <v>0</v>
      </c>
      <c r="AM29" s="75">
        <f>('INSTRUCTION-2YR'!K29+'RESEARCH 2yr'!K29+'PUBLIC SERVICE 2yr'!K29+'ASptISptSSv 2yr'!K29+'PLANT OPER MAIN 2yr'!K29+'SCHOLAR FELLOW 2yr'!K29+'All Other 2yr'!K29)-K29</f>
        <v>0</v>
      </c>
      <c r="AN29" s="75">
        <f>('INSTRUCTION-2YR'!L29+'RESEARCH 2yr'!L29+'PUBLIC SERVICE 2yr'!L29+'ASptISptSSv 2yr'!L29+'PLANT OPER MAIN 2yr'!L29+'SCHOLAR FELLOW 2yr'!L29+'All Other 2yr'!L29)-L29</f>
        <v>0</v>
      </c>
      <c r="AO29" s="75">
        <f>('INSTRUCTION-2YR'!M29+'RESEARCH 2yr'!M29+'PUBLIC SERVICE 2yr'!M29+'ASptISptSSv 2yr'!M29+'PLANT OPER MAIN 2yr'!M29+'SCHOLAR FELLOW 2yr'!M29+'All Other 2yr'!M29)-M29</f>
        <v>0</v>
      </c>
      <c r="AP29" s="75">
        <f>('INSTRUCTION-2YR'!N29+'RESEARCH 2yr'!N29+'PUBLIC SERVICE 2yr'!N29+'ASptISptSSv 2yr'!N29+'PLANT OPER MAIN 2yr'!N29+'SCHOLAR FELLOW 2yr'!N29+'All Other 2yr'!N29)-N29</f>
        <v>0</v>
      </c>
      <c r="AQ29" s="75">
        <f>('INSTRUCTION-2YR'!O29+'RESEARCH 2yr'!O29+'PUBLIC SERVICE 2yr'!O29+'ASptISptSSv 2yr'!O29+'PLANT OPER MAIN 2yr'!O29+'SCHOLAR FELLOW 2yr'!O29+'All Other 2yr'!O29)-O29</f>
        <v>0</v>
      </c>
      <c r="AR29" s="75">
        <f>('INSTRUCTION-2YR'!P29+'RESEARCH 2yr'!P29+'PUBLIC SERVICE 2yr'!P29+'ASptISptSSv 2yr'!P29+'PLANT OPER MAIN 2yr'!P29+'SCHOLAR FELLOW 2yr'!P29+'All Other 2yr'!P29)-P29</f>
        <v>0</v>
      </c>
      <c r="AS29" s="75">
        <f>('INSTRUCTION-2YR'!Q29+'RESEARCH 2yr'!Q29+'PUBLIC SERVICE 2yr'!Q29+'ASptISptSSv 2yr'!Q29+'PLANT OPER MAIN 2yr'!Q29+'SCHOLAR FELLOW 2yr'!Q29+'All Other 2yr'!Q29)-Q29</f>
        <v>0</v>
      </c>
      <c r="AT29" s="75">
        <f>('INSTRUCTION-2YR'!R29+'RESEARCH 2yr'!R29+'PUBLIC SERVICE 2yr'!R29+'ASptISptSSv 2yr'!R29+'PLANT OPER MAIN 2yr'!R29+'SCHOLAR FELLOW 2yr'!R29+'All Other 2yr'!R29)-R29</f>
        <v>0</v>
      </c>
      <c r="AU29" s="75">
        <f>('INSTRUCTION-2YR'!S29+'RESEARCH 2yr'!S29+'PUBLIC SERVICE 2yr'!S29+'ASptISptSSv 2yr'!S29+'PLANT OPER MAIN 2yr'!S29+'SCHOLAR FELLOW 2yr'!S29+'All Other 2yr'!S29)-S29</f>
        <v>0</v>
      </c>
      <c r="AV29" s="75">
        <f>('INSTRUCTION-2YR'!T29+'RESEARCH 2yr'!T29+'PUBLIC SERVICE 2yr'!T29+'ASptISptSSv 2yr'!T29+'PLANT OPER MAIN 2yr'!T29+'SCHOLAR FELLOW 2yr'!T29+'All Other 2yr'!T29)-T29</f>
        <v>0</v>
      </c>
      <c r="AW29" s="75">
        <f>('INSTRUCTION-2YR'!U29+'RESEARCH 2yr'!U29+'PUBLIC SERVICE 2yr'!U29+'ASptISptSSv 2yr'!U29+'PLANT OPER MAIN 2yr'!U29+'SCHOLAR FELLOW 2yr'!U29+'All Other 2yr'!U29)-U29</f>
        <v>0</v>
      </c>
      <c r="AX29" s="75">
        <f>('INSTRUCTION-2YR'!V29+'RESEARCH 2yr'!V29+'PUBLIC SERVICE 2yr'!V29+'ASptISptSSv 2yr'!V29+'PLANT OPER MAIN 2yr'!V29+'SCHOLAR FELLOW 2yr'!V29+'All Other 2yr'!V29)-V29</f>
        <v>0</v>
      </c>
      <c r="AY29" s="75">
        <f>('INSTRUCTION-2YR'!W29+'RESEARCH 2yr'!W29+'PUBLIC SERVICE 2yr'!W29+'ASptISptSSv 2yr'!W29+'PLANT OPER MAIN 2yr'!W29+'SCHOLAR FELLOW 2yr'!W29+'All Other 2yr'!W29)-W29</f>
        <v>0</v>
      </c>
      <c r="AZ29" s="75">
        <f>('INSTRUCTION-2YR'!X29+'RESEARCH 2yr'!X29+'PUBLIC SERVICE 2yr'!X29+'ASptISptSSv 2yr'!X29+'PLANT OPER MAIN 2yr'!X29+'SCHOLAR FELLOW 2yr'!X29+'All Other 2yr'!X29)-X29</f>
        <v>0</v>
      </c>
      <c r="BA29" s="75">
        <f>('INSTRUCTION-2YR'!Y29+'RESEARCH 2yr'!Y29+'PUBLIC SERVICE 2yr'!Y29+'ASptISptSSv 2yr'!Y29+'PLANT OPER MAIN 2yr'!Y29+'SCHOLAR FELLOW 2yr'!Y29+'All Other 2yr'!Y29)-Y29</f>
        <v>0</v>
      </c>
      <c r="BB29" s="75">
        <f>('INSTRUCTION-2YR'!Z29+'RESEARCH 2yr'!Z29+'PUBLIC SERVICE 2yr'!Z29+'ASptISptSSv 2yr'!Z29+'PLANT OPER MAIN 2yr'!Z29+'SCHOLAR FELLOW 2yr'!Z29+'All Other 2yr'!Z29)-Z29</f>
        <v>0</v>
      </c>
      <c r="BC29" s="75">
        <f>('INSTRUCTION-2YR'!AA29+'RESEARCH 2yr'!AA29+'PUBLIC SERVICE 2yr'!AA29+'ASptISptSSv 2yr'!AA29+'PLANT OPER MAIN 2yr'!AA29+'SCHOLAR FELLOW 2yr'!AA29+'All Other 2yr'!AA29)-AA29</f>
        <v>0</v>
      </c>
      <c r="BD29" s="75">
        <f>('INSTRUCTION-2YR'!AB29+'RESEARCH 2yr'!AB29+'PUBLIC SERVICE 2yr'!AB29+'ASptISptSSv 2yr'!AB29+'PLANT OPER MAIN 2yr'!AB29+'SCHOLAR FELLOW 2yr'!AB29+'All Other 2yr'!AB29)-AB29</f>
        <v>26869.950999999419</v>
      </c>
      <c r="BE29" s="75">
        <f>('INSTRUCTION-2YR'!AC29+'RESEARCH 2yr'!AC29+'PUBLIC SERVICE 2yr'!AC29+'ASptISptSSv 2yr'!AC29+'PLANT OPER MAIN 2yr'!AC29+'SCHOLAR FELLOW 2yr'!AC29+'All Other 2yr'!AC29)-AC29</f>
        <v>0</v>
      </c>
    </row>
    <row r="30" spans="1:57">
      <c r="A30" s="1" t="s">
        <v>88</v>
      </c>
      <c r="F30" s="42">
        <v>212171.04699999999</v>
      </c>
      <c r="I30" s="1">
        <v>263157.62800000003</v>
      </c>
      <c r="K30" s="1">
        <v>300145.93400000001</v>
      </c>
      <c r="L30" s="1">
        <v>338417.24099999998</v>
      </c>
      <c r="M30" s="1">
        <v>357240.88500000001</v>
      </c>
      <c r="N30" s="1">
        <v>419695.054</v>
      </c>
      <c r="O30" s="1">
        <v>425157.071</v>
      </c>
      <c r="P30" s="1">
        <v>415164.989</v>
      </c>
      <c r="Q30" s="1">
        <v>430039.35200000001</v>
      </c>
      <c r="R30" s="1">
        <v>457211.94900000002</v>
      </c>
      <c r="S30" s="1">
        <v>465487.761</v>
      </c>
      <c r="T30" s="1">
        <v>497707.60600000003</v>
      </c>
      <c r="U30" s="1">
        <v>538257.85199999996</v>
      </c>
      <c r="V30" s="1">
        <v>619674.24600000004</v>
      </c>
      <c r="W30" s="1">
        <v>695458.22199999995</v>
      </c>
      <c r="X30" s="1">
        <v>729647.83299999998</v>
      </c>
      <c r="Y30" s="1">
        <v>340608.005</v>
      </c>
      <c r="Z30" s="1">
        <v>333171.27600000001</v>
      </c>
      <c r="AA30" s="1">
        <v>356754.44199999998</v>
      </c>
      <c r="AB30" s="1">
        <v>738637.38300000003</v>
      </c>
      <c r="AC30" s="1">
        <v>770675.973</v>
      </c>
      <c r="AD30" s="75">
        <f>('INSTRUCTION-2YR'!B30+'RESEARCH 2yr'!B30+'PUBLIC SERVICE 2yr'!B30+'ASptISptSSv 2yr'!B30+'PLANT OPER MAIN 2yr'!B30+'SCHOLAR FELLOW 2yr'!B30+'All Other 2yr'!B30)-B30</f>
        <v>0</v>
      </c>
      <c r="AE30" s="75">
        <f>('INSTRUCTION-2YR'!C30+'RESEARCH 2yr'!C30+'PUBLIC SERVICE 2yr'!C30+'ASptISptSSv 2yr'!C30+'PLANT OPER MAIN 2yr'!C30+'SCHOLAR FELLOW 2yr'!C30+'All Other 2yr'!C30)-C30</f>
        <v>0</v>
      </c>
      <c r="AF30" s="75">
        <f>('INSTRUCTION-2YR'!D30+'RESEARCH 2yr'!D30+'PUBLIC SERVICE 2yr'!D30+'ASptISptSSv 2yr'!D30+'PLANT OPER MAIN 2yr'!D30+'SCHOLAR FELLOW 2yr'!D30+'All Other 2yr'!D30)-D30</f>
        <v>0</v>
      </c>
      <c r="AG30" s="75">
        <f>('INSTRUCTION-2YR'!E30+'RESEARCH 2yr'!E30+'PUBLIC SERVICE 2yr'!E30+'ASptISptSSv 2yr'!E30+'PLANT OPER MAIN 2yr'!E30+'SCHOLAR FELLOW 2yr'!E30+'All Other 2yr'!E30)-E30</f>
        <v>0</v>
      </c>
      <c r="AH30" s="75">
        <f>('INSTRUCTION-2YR'!F30+'RESEARCH 2yr'!F30+'PUBLIC SERVICE 2yr'!F30+'ASptISptSSv 2yr'!F30+'PLANT OPER MAIN 2yr'!F30+'SCHOLAR FELLOW 2yr'!F30+'All Other 2yr'!F30)-F30</f>
        <v>0</v>
      </c>
      <c r="AI30" s="75">
        <f>('INSTRUCTION-2YR'!G30+'RESEARCH 2yr'!G30+'PUBLIC SERVICE 2yr'!G30+'ASptISptSSv 2yr'!G30+'PLANT OPER MAIN 2yr'!G30+'SCHOLAR FELLOW 2yr'!G30+'All Other 2yr'!G30)-G30</f>
        <v>0</v>
      </c>
      <c r="AJ30" s="75">
        <f>('INSTRUCTION-2YR'!H30+'RESEARCH 2yr'!H30+'PUBLIC SERVICE 2yr'!H30+'ASptISptSSv 2yr'!H30+'PLANT OPER MAIN 2yr'!H30+'SCHOLAR FELLOW 2yr'!H30+'All Other 2yr'!H30)-H30</f>
        <v>0</v>
      </c>
      <c r="AK30" s="75">
        <f>('INSTRUCTION-2YR'!I30+'RESEARCH 2yr'!I30+'PUBLIC SERVICE 2yr'!I30+'ASptISptSSv 2yr'!I30+'PLANT OPER MAIN 2yr'!I30+'SCHOLAR FELLOW 2yr'!I30+'All Other 2yr'!I30)-I30</f>
        <v>0</v>
      </c>
      <c r="AL30" s="75">
        <f>('INSTRUCTION-2YR'!J30+'RESEARCH 2yr'!J30+'PUBLIC SERVICE 2yr'!J30+'ASptISptSSv 2yr'!J30+'PLANT OPER MAIN 2yr'!J30+'SCHOLAR FELLOW 2yr'!J30+'All Other 2yr'!J30)-J30</f>
        <v>0</v>
      </c>
      <c r="AM30" s="75">
        <f>('INSTRUCTION-2YR'!K30+'RESEARCH 2yr'!K30+'PUBLIC SERVICE 2yr'!K30+'ASptISptSSv 2yr'!K30+'PLANT OPER MAIN 2yr'!K30+'SCHOLAR FELLOW 2yr'!K30+'All Other 2yr'!K30)-K30</f>
        <v>0</v>
      </c>
      <c r="AN30" s="75">
        <f>('INSTRUCTION-2YR'!L30+'RESEARCH 2yr'!L30+'PUBLIC SERVICE 2yr'!L30+'ASptISptSSv 2yr'!L30+'PLANT OPER MAIN 2yr'!L30+'SCHOLAR FELLOW 2yr'!L30+'All Other 2yr'!L30)-L30</f>
        <v>0</v>
      </c>
      <c r="AO30" s="75">
        <f>('INSTRUCTION-2YR'!M30+'RESEARCH 2yr'!M30+'PUBLIC SERVICE 2yr'!M30+'ASptISptSSv 2yr'!M30+'PLANT OPER MAIN 2yr'!M30+'SCHOLAR FELLOW 2yr'!M30+'All Other 2yr'!M30)-M30</f>
        <v>0</v>
      </c>
      <c r="AP30" s="75">
        <f>('INSTRUCTION-2YR'!N30+'RESEARCH 2yr'!N30+'PUBLIC SERVICE 2yr'!N30+'ASptISptSSv 2yr'!N30+'PLANT OPER MAIN 2yr'!N30+'SCHOLAR FELLOW 2yr'!N30+'All Other 2yr'!N30)-N30</f>
        <v>0</v>
      </c>
      <c r="AQ30" s="75">
        <f>('INSTRUCTION-2YR'!O30+'RESEARCH 2yr'!O30+'PUBLIC SERVICE 2yr'!O30+'ASptISptSSv 2yr'!O30+'PLANT OPER MAIN 2yr'!O30+'SCHOLAR FELLOW 2yr'!O30+'All Other 2yr'!O30)-O30</f>
        <v>0</v>
      </c>
      <c r="AR30" s="75">
        <f>('INSTRUCTION-2YR'!P30+'RESEARCH 2yr'!P30+'PUBLIC SERVICE 2yr'!P30+'ASptISptSSv 2yr'!P30+'PLANT OPER MAIN 2yr'!P30+'SCHOLAR FELLOW 2yr'!P30+'All Other 2yr'!P30)-P30</f>
        <v>0</v>
      </c>
      <c r="AS30" s="75">
        <f>('INSTRUCTION-2YR'!Q30+'RESEARCH 2yr'!Q30+'PUBLIC SERVICE 2yr'!Q30+'ASptISptSSv 2yr'!Q30+'PLANT OPER MAIN 2yr'!Q30+'SCHOLAR FELLOW 2yr'!Q30+'All Other 2yr'!Q30)-Q30</f>
        <v>0</v>
      </c>
      <c r="AT30" s="75">
        <f>('INSTRUCTION-2YR'!R30+'RESEARCH 2yr'!R30+'PUBLIC SERVICE 2yr'!R30+'ASptISptSSv 2yr'!R30+'PLANT OPER MAIN 2yr'!R30+'SCHOLAR FELLOW 2yr'!R30+'All Other 2yr'!R30)-R30</f>
        <v>0</v>
      </c>
      <c r="AU30" s="75">
        <f>('INSTRUCTION-2YR'!S30+'RESEARCH 2yr'!S30+'PUBLIC SERVICE 2yr'!S30+'ASptISptSSv 2yr'!S30+'PLANT OPER MAIN 2yr'!S30+'SCHOLAR FELLOW 2yr'!S30+'All Other 2yr'!S30)-S30</f>
        <v>0</v>
      </c>
      <c r="AV30" s="75">
        <f>('INSTRUCTION-2YR'!T30+'RESEARCH 2yr'!T30+'PUBLIC SERVICE 2yr'!T30+'ASptISptSSv 2yr'!T30+'PLANT OPER MAIN 2yr'!T30+'SCHOLAR FELLOW 2yr'!T30+'All Other 2yr'!T30)-T30</f>
        <v>0</v>
      </c>
      <c r="AW30" s="75">
        <f>('INSTRUCTION-2YR'!U30+'RESEARCH 2yr'!U30+'PUBLIC SERVICE 2yr'!U30+'ASptISptSSv 2yr'!U30+'PLANT OPER MAIN 2yr'!U30+'SCHOLAR FELLOW 2yr'!U30+'All Other 2yr'!U30)-U30</f>
        <v>0</v>
      </c>
      <c r="AX30" s="75">
        <f>('INSTRUCTION-2YR'!V30+'RESEARCH 2yr'!V30+'PUBLIC SERVICE 2yr'!V30+'ASptISptSSv 2yr'!V30+'PLANT OPER MAIN 2yr'!V30+'SCHOLAR FELLOW 2yr'!V30+'All Other 2yr'!V30)-V30</f>
        <v>0</v>
      </c>
      <c r="AY30" s="75">
        <f>('INSTRUCTION-2YR'!W30+'RESEARCH 2yr'!W30+'PUBLIC SERVICE 2yr'!W30+'ASptISptSSv 2yr'!W30+'PLANT OPER MAIN 2yr'!W30+'SCHOLAR FELLOW 2yr'!W30+'All Other 2yr'!W30)-W30</f>
        <v>0</v>
      </c>
      <c r="AZ30" s="75">
        <f>('INSTRUCTION-2YR'!X30+'RESEARCH 2yr'!X30+'PUBLIC SERVICE 2yr'!X30+'ASptISptSSv 2yr'!X30+'PLANT OPER MAIN 2yr'!X30+'SCHOLAR FELLOW 2yr'!X30+'All Other 2yr'!X30)-X30</f>
        <v>0</v>
      </c>
      <c r="BA30" s="75">
        <f>('INSTRUCTION-2YR'!Y30+'RESEARCH 2yr'!Y30+'PUBLIC SERVICE 2yr'!Y30+'ASptISptSSv 2yr'!Y30+'PLANT OPER MAIN 2yr'!Y30+'SCHOLAR FELLOW 2yr'!Y30+'All Other 2yr'!Y30)-Y30</f>
        <v>0</v>
      </c>
      <c r="BB30" s="75">
        <f>('INSTRUCTION-2YR'!Z30+'RESEARCH 2yr'!Z30+'PUBLIC SERVICE 2yr'!Z30+'ASptISptSSv 2yr'!Z30+'PLANT OPER MAIN 2yr'!Z30+'SCHOLAR FELLOW 2yr'!Z30+'All Other 2yr'!Z30)-Z30</f>
        <v>0</v>
      </c>
      <c r="BC30" s="75">
        <f>('INSTRUCTION-2YR'!AA30+'RESEARCH 2yr'!AA30+'PUBLIC SERVICE 2yr'!AA30+'ASptISptSSv 2yr'!AA30+'PLANT OPER MAIN 2yr'!AA30+'SCHOLAR FELLOW 2yr'!AA30+'All Other 2yr'!AA30)-AA30</f>
        <v>0</v>
      </c>
      <c r="BD30" s="75">
        <f>('INSTRUCTION-2YR'!AB30+'RESEARCH 2yr'!AB30+'PUBLIC SERVICE 2yr'!AB30+'ASptISptSSv 2yr'!AB30+'PLANT OPER MAIN 2yr'!AB30+'SCHOLAR FELLOW 2yr'!AB30+'All Other 2yr'!AB30)-AB30</f>
        <v>0</v>
      </c>
      <c r="BE30" s="75">
        <f>('INSTRUCTION-2YR'!AC30+'RESEARCH 2yr'!AC30+'PUBLIC SERVICE 2yr'!AC30+'ASptISptSSv 2yr'!AC30+'PLANT OPER MAIN 2yr'!AC30+'SCHOLAR FELLOW 2yr'!AC30+'All Other 2yr'!AC30)-AC30</f>
        <v>0</v>
      </c>
    </row>
    <row r="31" spans="1:57">
      <c r="A31" s="1" t="s">
        <v>91</v>
      </c>
      <c r="F31" s="42">
        <v>97550.804000000004</v>
      </c>
      <c r="I31" s="1">
        <v>114336.895</v>
      </c>
      <c r="K31" s="1">
        <v>118847.82</v>
      </c>
      <c r="L31" s="1">
        <v>130485.81600000001</v>
      </c>
      <c r="M31" s="1">
        <v>131597.22500000001</v>
      </c>
      <c r="N31" s="1">
        <v>159636.49</v>
      </c>
      <c r="O31" s="1">
        <v>176313.79</v>
      </c>
      <c r="P31" s="1">
        <v>154724.552</v>
      </c>
      <c r="Q31" s="1">
        <v>157190.81400000001</v>
      </c>
      <c r="R31" s="1">
        <v>158527.21799999999</v>
      </c>
      <c r="S31" s="1">
        <v>174005.46599999999</v>
      </c>
      <c r="T31" s="1">
        <v>197522.935</v>
      </c>
      <c r="U31" s="1">
        <v>271804.17200000002</v>
      </c>
      <c r="V31" s="1">
        <v>262094.93799999999</v>
      </c>
      <c r="W31" s="1">
        <v>284002.71799999999</v>
      </c>
      <c r="X31" s="1">
        <v>298623.73300000001</v>
      </c>
      <c r="Y31" s="1">
        <v>308842.674</v>
      </c>
      <c r="Z31" s="1">
        <v>318989.47899999999</v>
      </c>
      <c r="AA31" s="1">
        <v>329547.326</v>
      </c>
      <c r="AB31" s="1">
        <v>397288.55</v>
      </c>
      <c r="AC31" s="1">
        <v>342938.51699999999</v>
      </c>
      <c r="AD31" s="75">
        <f>('INSTRUCTION-2YR'!B31+'RESEARCH 2yr'!B31+'PUBLIC SERVICE 2yr'!B31+'ASptISptSSv 2yr'!B31+'PLANT OPER MAIN 2yr'!B31+'SCHOLAR FELLOW 2yr'!B31+'All Other 2yr'!B31)-B31</f>
        <v>0</v>
      </c>
      <c r="AE31" s="75">
        <f>('INSTRUCTION-2YR'!C31+'RESEARCH 2yr'!C31+'PUBLIC SERVICE 2yr'!C31+'ASptISptSSv 2yr'!C31+'PLANT OPER MAIN 2yr'!C31+'SCHOLAR FELLOW 2yr'!C31+'All Other 2yr'!C31)-C31</f>
        <v>0</v>
      </c>
      <c r="AF31" s="75">
        <f>('INSTRUCTION-2YR'!D31+'RESEARCH 2yr'!D31+'PUBLIC SERVICE 2yr'!D31+'ASptISptSSv 2yr'!D31+'PLANT OPER MAIN 2yr'!D31+'SCHOLAR FELLOW 2yr'!D31+'All Other 2yr'!D31)-D31</f>
        <v>0</v>
      </c>
      <c r="AG31" s="75">
        <f>('INSTRUCTION-2YR'!E31+'RESEARCH 2yr'!E31+'PUBLIC SERVICE 2yr'!E31+'ASptISptSSv 2yr'!E31+'PLANT OPER MAIN 2yr'!E31+'SCHOLAR FELLOW 2yr'!E31+'All Other 2yr'!E31)-E31</f>
        <v>0</v>
      </c>
      <c r="AH31" s="75">
        <f>('INSTRUCTION-2YR'!F31+'RESEARCH 2yr'!F31+'PUBLIC SERVICE 2yr'!F31+'ASptISptSSv 2yr'!F31+'PLANT OPER MAIN 2yr'!F31+'SCHOLAR FELLOW 2yr'!F31+'All Other 2yr'!F31)-F31</f>
        <v>0</v>
      </c>
      <c r="AI31" s="75">
        <f>('INSTRUCTION-2YR'!G31+'RESEARCH 2yr'!G31+'PUBLIC SERVICE 2yr'!G31+'ASptISptSSv 2yr'!G31+'PLANT OPER MAIN 2yr'!G31+'SCHOLAR FELLOW 2yr'!G31+'All Other 2yr'!G31)-G31</f>
        <v>0</v>
      </c>
      <c r="AJ31" s="75">
        <f>('INSTRUCTION-2YR'!H31+'RESEARCH 2yr'!H31+'PUBLIC SERVICE 2yr'!H31+'ASptISptSSv 2yr'!H31+'PLANT OPER MAIN 2yr'!H31+'SCHOLAR FELLOW 2yr'!H31+'All Other 2yr'!H31)-H31</f>
        <v>0</v>
      </c>
      <c r="AK31" s="75">
        <f>('INSTRUCTION-2YR'!I31+'RESEARCH 2yr'!I31+'PUBLIC SERVICE 2yr'!I31+'ASptISptSSv 2yr'!I31+'PLANT OPER MAIN 2yr'!I31+'SCHOLAR FELLOW 2yr'!I31+'All Other 2yr'!I31)-I31</f>
        <v>0</v>
      </c>
      <c r="AL31" s="75">
        <f>('INSTRUCTION-2YR'!J31+'RESEARCH 2yr'!J31+'PUBLIC SERVICE 2yr'!J31+'ASptISptSSv 2yr'!J31+'PLANT OPER MAIN 2yr'!J31+'SCHOLAR FELLOW 2yr'!J31+'All Other 2yr'!J31)-J31</f>
        <v>0</v>
      </c>
      <c r="AM31" s="75">
        <f>('INSTRUCTION-2YR'!K31+'RESEARCH 2yr'!K31+'PUBLIC SERVICE 2yr'!K31+'ASptISptSSv 2yr'!K31+'PLANT OPER MAIN 2yr'!K31+'SCHOLAR FELLOW 2yr'!K31+'All Other 2yr'!K31)-K31</f>
        <v>0</v>
      </c>
      <c r="AN31" s="75">
        <f>('INSTRUCTION-2YR'!L31+'RESEARCH 2yr'!L31+'PUBLIC SERVICE 2yr'!L31+'ASptISptSSv 2yr'!L31+'PLANT OPER MAIN 2yr'!L31+'SCHOLAR FELLOW 2yr'!L31+'All Other 2yr'!L31)-L31</f>
        <v>0</v>
      </c>
      <c r="AO31" s="75">
        <f>('INSTRUCTION-2YR'!M31+'RESEARCH 2yr'!M31+'PUBLIC SERVICE 2yr'!M31+'ASptISptSSv 2yr'!M31+'PLANT OPER MAIN 2yr'!M31+'SCHOLAR FELLOW 2yr'!M31+'All Other 2yr'!M31)-M31</f>
        <v>0</v>
      </c>
      <c r="AP31" s="75">
        <f>('INSTRUCTION-2YR'!N31+'RESEARCH 2yr'!N31+'PUBLIC SERVICE 2yr'!N31+'ASptISptSSv 2yr'!N31+'PLANT OPER MAIN 2yr'!N31+'SCHOLAR FELLOW 2yr'!N31+'All Other 2yr'!N31)-N31</f>
        <v>0</v>
      </c>
      <c r="AQ31" s="75">
        <f>('INSTRUCTION-2YR'!O31+'RESEARCH 2yr'!O31+'PUBLIC SERVICE 2yr'!O31+'ASptISptSSv 2yr'!O31+'PLANT OPER MAIN 2yr'!O31+'SCHOLAR FELLOW 2yr'!O31+'All Other 2yr'!O31)-O31</f>
        <v>0</v>
      </c>
      <c r="AR31" s="75">
        <f>('INSTRUCTION-2YR'!P31+'RESEARCH 2yr'!P31+'PUBLIC SERVICE 2yr'!P31+'ASptISptSSv 2yr'!P31+'PLANT OPER MAIN 2yr'!P31+'SCHOLAR FELLOW 2yr'!P31+'All Other 2yr'!P31)-P31</f>
        <v>0</v>
      </c>
      <c r="AS31" s="75">
        <f>('INSTRUCTION-2YR'!Q31+'RESEARCH 2yr'!Q31+'PUBLIC SERVICE 2yr'!Q31+'ASptISptSSv 2yr'!Q31+'PLANT OPER MAIN 2yr'!Q31+'SCHOLAR FELLOW 2yr'!Q31+'All Other 2yr'!Q31)-Q31</f>
        <v>0</v>
      </c>
      <c r="AT31" s="75">
        <f>('INSTRUCTION-2YR'!R31+'RESEARCH 2yr'!R31+'PUBLIC SERVICE 2yr'!R31+'ASptISptSSv 2yr'!R31+'PLANT OPER MAIN 2yr'!R31+'SCHOLAR FELLOW 2yr'!R31+'All Other 2yr'!R31)-R31</f>
        <v>0</v>
      </c>
      <c r="AU31" s="75">
        <f>('INSTRUCTION-2YR'!S31+'RESEARCH 2yr'!S31+'PUBLIC SERVICE 2yr'!S31+'ASptISptSSv 2yr'!S31+'PLANT OPER MAIN 2yr'!S31+'SCHOLAR FELLOW 2yr'!S31+'All Other 2yr'!S31)-S31</f>
        <v>0</v>
      </c>
      <c r="AV31" s="75">
        <f>('INSTRUCTION-2YR'!T31+'RESEARCH 2yr'!T31+'PUBLIC SERVICE 2yr'!T31+'ASptISptSSv 2yr'!T31+'PLANT OPER MAIN 2yr'!T31+'SCHOLAR FELLOW 2yr'!T31+'All Other 2yr'!T31)-T31</f>
        <v>0</v>
      </c>
      <c r="AW31" s="75">
        <f>('INSTRUCTION-2YR'!U31+'RESEARCH 2yr'!U31+'PUBLIC SERVICE 2yr'!U31+'ASptISptSSv 2yr'!U31+'PLANT OPER MAIN 2yr'!U31+'SCHOLAR FELLOW 2yr'!U31+'All Other 2yr'!U31)-U31</f>
        <v>0</v>
      </c>
      <c r="AX31" s="75">
        <f>('INSTRUCTION-2YR'!V31+'RESEARCH 2yr'!V31+'PUBLIC SERVICE 2yr'!V31+'ASptISptSSv 2yr'!V31+'PLANT OPER MAIN 2yr'!V31+'SCHOLAR FELLOW 2yr'!V31+'All Other 2yr'!V31)-V31</f>
        <v>0</v>
      </c>
      <c r="AY31" s="75">
        <f>('INSTRUCTION-2YR'!W31+'RESEARCH 2yr'!W31+'PUBLIC SERVICE 2yr'!W31+'ASptISptSSv 2yr'!W31+'PLANT OPER MAIN 2yr'!W31+'SCHOLAR FELLOW 2yr'!W31+'All Other 2yr'!W31)-W31</f>
        <v>0</v>
      </c>
      <c r="AZ31" s="75">
        <f>('INSTRUCTION-2YR'!X31+'RESEARCH 2yr'!X31+'PUBLIC SERVICE 2yr'!X31+'ASptISptSSv 2yr'!X31+'PLANT OPER MAIN 2yr'!X31+'SCHOLAR FELLOW 2yr'!X31+'All Other 2yr'!X31)-X31</f>
        <v>0</v>
      </c>
      <c r="BA31" s="75">
        <f>('INSTRUCTION-2YR'!Y31+'RESEARCH 2yr'!Y31+'PUBLIC SERVICE 2yr'!Y31+'ASptISptSSv 2yr'!Y31+'PLANT OPER MAIN 2yr'!Y31+'SCHOLAR FELLOW 2yr'!Y31+'All Other 2yr'!Y31)-Y31</f>
        <v>0</v>
      </c>
      <c r="BB31" s="75">
        <f>('INSTRUCTION-2YR'!Z31+'RESEARCH 2yr'!Z31+'PUBLIC SERVICE 2yr'!Z31+'ASptISptSSv 2yr'!Z31+'PLANT OPER MAIN 2yr'!Z31+'SCHOLAR FELLOW 2yr'!Z31+'All Other 2yr'!Z31)-Z31</f>
        <v>0</v>
      </c>
      <c r="BC31" s="75">
        <f>('INSTRUCTION-2YR'!AA31+'RESEARCH 2yr'!AA31+'PUBLIC SERVICE 2yr'!AA31+'ASptISptSSv 2yr'!AA31+'PLANT OPER MAIN 2yr'!AA31+'SCHOLAR FELLOW 2yr'!AA31+'All Other 2yr'!AA31)-AA31</f>
        <v>0</v>
      </c>
      <c r="BD31" s="75">
        <f>('INSTRUCTION-2YR'!AB31+'RESEARCH 2yr'!AB31+'PUBLIC SERVICE 2yr'!AB31+'ASptISptSSv 2yr'!AB31+'PLANT OPER MAIN 2yr'!AB31+'SCHOLAR FELLOW 2yr'!AB31+'All Other 2yr'!AB31)-AB31</f>
        <v>0</v>
      </c>
      <c r="BE31" s="75">
        <f>('INSTRUCTION-2YR'!AC31+'RESEARCH 2yr'!AC31+'PUBLIC SERVICE 2yr'!AC31+'ASptISptSSv 2yr'!AC31+'PLANT OPER MAIN 2yr'!AC31+'SCHOLAR FELLOW 2yr'!AC31+'All Other 2yr'!AC31)-AC31</f>
        <v>0</v>
      </c>
    </row>
    <row r="32" spans="1:57">
      <c r="A32" s="1" t="s">
        <v>92</v>
      </c>
      <c r="F32" s="42">
        <v>38762.355000000003</v>
      </c>
      <c r="I32" s="1">
        <v>45222.82</v>
      </c>
      <c r="K32" s="1">
        <v>59213.902999999998</v>
      </c>
      <c r="L32" s="1">
        <v>73347.051999999996</v>
      </c>
      <c r="M32" s="1">
        <v>81172.069000000003</v>
      </c>
      <c r="N32" s="1">
        <v>88977.48</v>
      </c>
      <c r="O32" s="1">
        <v>104890.762</v>
      </c>
      <c r="P32" s="1">
        <v>125928.99099999999</v>
      </c>
      <c r="Q32" s="1">
        <v>128571.287</v>
      </c>
      <c r="R32" s="1">
        <v>133915.413</v>
      </c>
      <c r="S32" s="1">
        <v>126518.186</v>
      </c>
      <c r="T32" s="1">
        <v>135089.878</v>
      </c>
      <c r="U32" s="1">
        <v>152188.951</v>
      </c>
      <c r="V32" s="1">
        <v>196971.22700000001</v>
      </c>
      <c r="W32" s="1">
        <v>229219.46299999999</v>
      </c>
      <c r="X32" s="1">
        <v>295634.04200000002</v>
      </c>
      <c r="Y32" s="1">
        <v>218226.12700000001</v>
      </c>
      <c r="Z32" s="1">
        <v>216058.69399999999</v>
      </c>
      <c r="AA32" s="1">
        <v>201480.08199999999</v>
      </c>
      <c r="AB32" s="1">
        <v>216250.861</v>
      </c>
      <c r="AC32" s="1">
        <v>225517.19699999999</v>
      </c>
      <c r="AD32" s="75">
        <f>('INSTRUCTION-2YR'!B32+'RESEARCH 2yr'!B32+'PUBLIC SERVICE 2yr'!B32+'ASptISptSSv 2yr'!B32+'PLANT OPER MAIN 2yr'!B32+'SCHOLAR FELLOW 2yr'!B32+'All Other 2yr'!B32)-B32</f>
        <v>0</v>
      </c>
      <c r="AE32" s="75">
        <f>('INSTRUCTION-2YR'!C32+'RESEARCH 2yr'!C32+'PUBLIC SERVICE 2yr'!C32+'ASptISptSSv 2yr'!C32+'PLANT OPER MAIN 2yr'!C32+'SCHOLAR FELLOW 2yr'!C32+'All Other 2yr'!C32)-C32</f>
        <v>0</v>
      </c>
      <c r="AF32" s="75">
        <f>('INSTRUCTION-2YR'!D32+'RESEARCH 2yr'!D32+'PUBLIC SERVICE 2yr'!D32+'ASptISptSSv 2yr'!D32+'PLANT OPER MAIN 2yr'!D32+'SCHOLAR FELLOW 2yr'!D32+'All Other 2yr'!D32)-D32</f>
        <v>0</v>
      </c>
      <c r="AG32" s="75">
        <f>('INSTRUCTION-2YR'!E32+'RESEARCH 2yr'!E32+'PUBLIC SERVICE 2yr'!E32+'ASptISptSSv 2yr'!E32+'PLANT OPER MAIN 2yr'!E32+'SCHOLAR FELLOW 2yr'!E32+'All Other 2yr'!E32)-E32</f>
        <v>0</v>
      </c>
      <c r="AH32" s="75">
        <f>('INSTRUCTION-2YR'!F32+'RESEARCH 2yr'!F32+'PUBLIC SERVICE 2yr'!F32+'ASptISptSSv 2yr'!F32+'PLANT OPER MAIN 2yr'!F32+'SCHOLAR FELLOW 2yr'!F32+'All Other 2yr'!F32)-F32</f>
        <v>0</v>
      </c>
      <c r="AI32" s="75">
        <f>('INSTRUCTION-2YR'!G32+'RESEARCH 2yr'!G32+'PUBLIC SERVICE 2yr'!G32+'ASptISptSSv 2yr'!G32+'PLANT OPER MAIN 2yr'!G32+'SCHOLAR FELLOW 2yr'!G32+'All Other 2yr'!G32)-G32</f>
        <v>0</v>
      </c>
      <c r="AJ32" s="75">
        <f>('INSTRUCTION-2YR'!H32+'RESEARCH 2yr'!H32+'PUBLIC SERVICE 2yr'!H32+'ASptISptSSv 2yr'!H32+'PLANT OPER MAIN 2yr'!H32+'SCHOLAR FELLOW 2yr'!H32+'All Other 2yr'!H32)-H32</f>
        <v>0</v>
      </c>
      <c r="AK32" s="75">
        <f>('INSTRUCTION-2YR'!I32+'RESEARCH 2yr'!I32+'PUBLIC SERVICE 2yr'!I32+'ASptISptSSv 2yr'!I32+'PLANT OPER MAIN 2yr'!I32+'SCHOLAR FELLOW 2yr'!I32+'All Other 2yr'!I32)-I32</f>
        <v>0</v>
      </c>
      <c r="AL32" s="75">
        <f>('INSTRUCTION-2YR'!J32+'RESEARCH 2yr'!J32+'PUBLIC SERVICE 2yr'!J32+'ASptISptSSv 2yr'!J32+'PLANT OPER MAIN 2yr'!J32+'SCHOLAR FELLOW 2yr'!J32+'All Other 2yr'!J32)-J32</f>
        <v>0</v>
      </c>
      <c r="AM32" s="75">
        <f>('INSTRUCTION-2YR'!K32+'RESEARCH 2yr'!K32+'PUBLIC SERVICE 2yr'!K32+'ASptISptSSv 2yr'!K32+'PLANT OPER MAIN 2yr'!K32+'SCHOLAR FELLOW 2yr'!K32+'All Other 2yr'!K32)-K32</f>
        <v>0</v>
      </c>
      <c r="AN32" s="75">
        <f>('INSTRUCTION-2YR'!L32+'RESEARCH 2yr'!L32+'PUBLIC SERVICE 2yr'!L32+'ASptISptSSv 2yr'!L32+'PLANT OPER MAIN 2yr'!L32+'SCHOLAR FELLOW 2yr'!L32+'All Other 2yr'!L32)-L32</f>
        <v>0</v>
      </c>
      <c r="AO32" s="75">
        <f>('INSTRUCTION-2YR'!M32+'RESEARCH 2yr'!M32+'PUBLIC SERVICE 2yr'!M32+'ASptISptSSv 2yr'!M32+'PLANT OPER MAIN 2yr'!M32+'SCHOLAR FELLOW 2yr'!M32+'All Other 2yr'!M32)-M32</f>
        <v>0</v>
      </c>
      <c r="AP32" s="75">
        <f>('INSTRUCTION-2YR'!N32+'RESEARCH 2yr'!N32+'PUBLIC SERVICE 2yr'!N32+'ASptISptSSv 2yr'!N32+'PLANT OPER MAIN 2yr'!N32+'SCHOLAR FELLOW 2yr'!N32+'All Other 2yr'!N32)-N32</f>
        <v>0</v>
      </c>
      <c r="AQ32" s="75">
        <f>('INSTRUCTION-2YR'!O32+'RESEARCH 2yr'!O32+'PUBLIC SERVICE 2yr'!O32+'ASptISptSSv 2yr'!O32+'PLANT OPER MAIN 2yr'!O32+'SCHOLAR FELLOW 2yr'!O32+'All Other 2yr'!O32)-O32</f>
        <v>0</v>
      </c>
      <c r="AR32" s="75">
        <f>('INSTRUCTION-2YR'!P32+'RESEARCH 2yr'!P32+'PUBLIC SERVICE 2yr'!P32+'ASptISptSSv 2yr'!P32+'PLANT OPER MAIN 2yr'!P32+'SCHOLAR FELLOW 2yr'!P32+'All Other 2yr'!P32)-P32</f>
        <v>0</v>
      </c>
      <c r="AS32" s="75">
        <f>('INSTRUCTION-2YR'!Q32+'RESEARCH 2yr'!Q32+'PUBLIC SERVICE 2yr'!Q32+'ASptISptSSv 2yr'!Q32+'PLANT OPER MAIN 2yr'!Q32+'SCHOLAR FELLOW 2yr'!Q32+'All Other 2yr'!Q32)-Q32</f>
        <v>0</v>
      </c>
      <c r="AT32" s="75">
        <f>('INSTRUCTION-2YR'!R32+'RESEARCH 2yr'!R32+'PUBLIC SERVICE 2yr'!R32+'ASptISptSSv 2yr'!R32+'PLANT OPER MAIN 2yr'!R32+'SCHOLAR FELLOW 2yr'!R32+'All Other 2yr'!R32)-R32</f>
        <v>0</v>
      </c>
      <c r="AU32" s="75">
        <f>('INSTRUCTION-2YR'!S32+'RESEARCH 2yr'!S32+'PUBLIC SERVICE 2yr'!S32+'ASptISptSSv 2yr'!S32+'PLANT OPER MAIN 2yr'!S32+'SCHOLAR FELLOW 2yr'!S32+'All Other 2yr'!S32)-S32</f>
        <v>0</v>
      </c>
      <c r="AV32" s="75">
        <f>('INSTRUCTION-2YR'!T32+'RESEARCH 2yr'!T32+'PUBLIC SERVICE 2yr'!T32+'ASptISptSSv 2yr'!T32+'PLANT OPER MAIN 2yr'!T32+'SCHOLAR FELLOW 2yr'!T32+'All Other 2yr'!T32)-T32</f>
        <v>0</v>
      </c>
      <c r="AW32" s="75">
        <f>('INSTRUCTION-2YR'!U32+'RESEARCH 2yr'!U32+'PUBLIC SERVICE 2yr'!U32+'ASptISptSSv 2yr'!U32+'PLANT OPER MAIN 2yr'!U32+'SCHOLAR FELLOW 2yr'!U32+'All Other 2yr'!U32)-U32</f>
        <v>0</v>
      </c>
      <c r="AX32" s="75">
        <f>('INSTRUCTION-2YR'!V32+'RESEARCH 2yr'!V32+'PUBLIC SERVICE 2yr'!V32+'ASptISptSSv 2yr'!V32+'PLANT OPER MAIN 2yr'!V32+'SCHOLAR FELLOW 2yr'!V32+'All Other 2yr'!V32)-V32</f>
        <v>0</v>
      </c>
      <c r="AY32" s="75">
        <f>('INSTRUCTION-2YR'!W32+'RESEARCH 2yr'!W32+'PUBLIC SERVICE 2yr'!W32+'ASptISptSSv 2yr'!W32+'PLANT OPER MAIN 2yr'!W32+'SCHOLAR FELLOW 2yr'!W32+'All Other 2yr'!W32)-W32</f>
        <v>0</v>
      </c>
      <c r="AZ32" s="75">
        <f>('INSTRUCTION-2YR'!X32+'RESEARCH 2yr'!X32+'PUBLIC SERVICE 2yr'!X32+'ASptISptSSv 2yr'!X32+'PLANT OPER MAIN 2yr'!X32+'SCHOLAR FELLOW 2yr'!X32+'All Other 2yr'!X32)-X32</f>
        <v>0</v>
      </c>
      <c r="BA32" s="75">
        <f>('INSTRUCTION-2YR'!Y32+'RESEARCH 2yr'!Y32+'PUBLIC SERVICE 2yr'!Y32+'ASptISptSSv 2yr'!Y32+'PLANT OPER MAIN 2yr'!Y32+'SCHOLAR FELLOW 2yr'!Y32+'All Other 2yr'!Y32)-Y32</f>
        <v>0</v>
      </c>
      <c r="BB32" s="75">
        <f>('INSTRUCTION-2YR'!Z32+'RESEARCH 2yr'!Z32+'PUBLIC SERVICE 2yr'!Z32+'ASptISptSSv 2yr'!Z32+'PLANT OPER MAIN 2yr'!Z32+'SCHOLAR FELLOW 2yr'!Z32+'All Other 2yr'!Z32)-Z32</f>
        <v>0</v>
      </c>
      <c r="BC32" s="75">
        <f>('INSTRUCTION-2YR'!AA32+'RESEARCH 2yr'!AA32+'PUBLIC SERVICE 2yr'!AA32+'ASptISptSSv 2yr'!AA32+'PLANT OPER MAIN 2yr'!AA32+'SCHOLAR FELLOW 2yr'!AA32+'All Other 2yr'!AA32)-AA32</f>
        <v>0</v>
      </c>
      <c r="BD32" s="75">
        <f>('INSTRUCTION-2YR'!AB32+'RESEARCH 2yr'!AB32+'PUBLIC SERVICE 2yr'!AB32+'ASptISptSSv 2yr'!AB32+'PLANT OPER MAIN 2yr'!AB32+'SCHOLAR FELLOW 2yr'!AB32+'All Other 2yr'!AB32)-AB32</f>
        <v>0</v>
      </c>
      <c r="BE32" s="75">
        <f>('INSTRUCTION-2YR'!AC32+'RESEARCH 2yr'!AC32+'PUBLIC SERVICE 2yr'!AC32+'ASptISptSSv 2yr'!AC32+'PLANT OPER MAIN 2yr'!AC32+'SCHOLAR FELLOW 2yr'!AC32+'All Other 2yr'!AC32)-AC32</f>
        <v>0</v>
      </c>
    </row>
    <row r="33" spans="1:57">
      <c r="A33" s="1" t="s">
        <v>100</v>
      </c>
      <c r="F33" s="42">
        <v>28013.615000000002</v>
      </c>
      <c r="I33" s="1">
        <v>42617.489000000001</v>
      </c>
      <c r="K33" s="1">
        <v>42603.248510000012</v>
      </c>
      <c r="L33" s="1">
        <v>46263.13</v>
      </c>
      <c r="M33" s="1">
        <v>53650.197</v>
      </c>
      <c r="N33" s="1">
        <v>65109.055</v>
      </c>
      <c r="O33" s="1">
        <v>64363.023000000001</v>
      </c>
      <c r="P33" s="1">
        <v>70198.403999999995</v>
      </c>
      <c r="Q33" s="1">
        <v>82077.119000000006</v>
      </c>
      <c r="R33" s="1">
        <v>88573.213000000003</v>
      </c>
      <c r="S33" s="1">
        <v>82563.956000000006</v>
      </c>
      <c r="T33" s="1">
        <v>92329.84</v>
      </c>
      <c r="U33" s="1">
        <v>103518.727</v>
      </c>
      <c r="V33" s="1">
        <v>117203.08</v>
      </c>
      <c r="W33" s="1">
        <v>121049.448</v>
      </c>
      <c r="X33" s="1">
        <v>126546.511</v>
      </c>
      <c r="Y33" s="1">
        <v>115843.04700000001</v>
      </c>
      <c r="Z33" s="1">
        <v>116614.601</v>
      </c>
      <c r="AA33" s="1">
        <v>112852.41099999999</v>
      </c>
      <c r="AB33" s="1">
        <v>119060.416</v>
      </c>
      <c r="AC33" s="1">
        <v>119399.601</v>
      </c>
      <c r="AD33" s="75">
        <f>('INSTRUCTION-2YR'!B33+'RESEARCH 2yr'!B33+'PUBLIC SERVICE 2yr'!B33+'ASptISptSSv 2yr'!B33+'PLANT OPER MAIN 2yr'!B33+'SCHOLAR FELLOW 2yr'!B33+'All Other 2yr'!B33)-B33</f>
        <v>0</v>
      </c>
      <c r="AE33" s="75">
        <f>('INSTRUCTION-2YR'!C33+'RESEARCH 2yr'!C33+'PUBLIC SERVICE 2yr'!C33+'ASptISptSSv 2yr'!C33+'PLANT OPER MAIN 2yr'!C33+'SCHOLAR FELLOW 2yr'!C33+'All Other 2yr'!C33)-C33</f>
        <v>0</v>
      </c>
      <c r="AF33" s="75">
        <f>('INSTRUCTION-2YR'!D33+'RESEARCH 2yr'!D33+'PUBLIC SERVICE 2yr'!D33+'ASptISptSSv 2yr'!D33+'PLANT OPER MAIN 2yr'!D33+'SCHOLAR FELLOW 2yr'!D33+'All Other 2yr'!D33)-D33</f>
        <v>0</v>
      </c>
      <c r="AG33" s="75">
        <f>('INSTRUCTION-2YR'!E33+'RESEARCH 2yr'!E33+'PUBLIC SERVICE 2yr'!E33+'ASptISptSSv 2yr'!E33+'PLANT OPER MAIN 2yr'!E33+'SCHOLAR FELLOW 2yr'!E33+'All Other 2yr'!E33)-E33</f>
        <v>0</v>
      </c>
      <c r="AH33" s="75">
        <f>('INSTRUCTION-2YR'!F33+'RESEARCH 2yr'!F33+'PUBLIC SERVICE 2yr'!F33+'ASptISptSSv 2yr'!F33+'PLANT OPER MAIN 2yr'!F33+'SCHOLAR FELLOW 2yr'!F33+'All Other 2yr'!F33)-F33</f>
        <v>0</v>
      </c>
      <c r="AI33" s="75">
        <f>('INSTRUCTION-2YR'!G33+'RESEARCH 2yr'!G33+'PUBLIC SERVICE 2yr'!G33+'ASptISptSSv 2yr'!G33+'PLANT OPER MAIN 2yr'!G33+'SCHOLAR FELLOW 2yr'!G33+'All Other 2yr'!G33)-G33</f>
        <v>0</v>
      </c>
      <c r="AJ33" s="75">
        <f>('INSTRUCTION-2YR'!H33+'RESEARCH 2yr'!H33+'PUBLIC SERVICE 2yr'!H33+'ASptISptSSv 2yr'!H33+'PLANT OPER MAIN 2yr'!H33+'SCHOLAR FELLOW 2yr'!H33+'All Other 2yr'!H33)-H33</f>
        <v>0</v>
      </c>
      <c r="AK33" s="75">
        <f>('INSTRUCTION-2YR'!I33+'RESEARCH 2yr'!I33+'PUBLIC SERVICE 2yr'!I33+'ASptISptSSv 2yr'!I33+'PLANT OPER MAIN 2yr'!I33+'SCHOLAR FELLOW 2yr'!I33+'All Other 2yr'!I33)-I33</f>
        <v>0</v>
      </c>
      <c r="AL33" s="75">
        <f>('INSTRUCTION-2YR'!J33+'RESEARCH 2yr'!J33+'PUBLIC SERVICE 2yr'!J33+'ASptISptSSv 2yr'!J33+'PLANT OPER MAIN 2yr'!J33+'SCHOLAR FELLOW 2yr'!J33+'All Other 2yr'!J33)-J33</f>
        <v>0</v>
      </c>
      <c r="AM33" s="75">
        <f>('INSTRUCTION-2YR'!K33+'RESEARCH 2yr'!K33+'PUBLIC SERVICE 2yr'!K33+'ASptISptSSv 2yr'!K33+'PLANT OPER MAIN 2yr'!K33+'SCHOLAR FELLOW 2yr'!K33+'All Other 2yr'!K33)-K33</f>
        <v>0</v>
      </c>
      <c r="AN33" s="75">
        <f>('INSTRUCTION-2YR'!L33+'RESEARCH 2yr'!L33+'PUBLIC SERVICE 2yr'!L33+'ASptISptSSv 2yr'!L33+'PLANT OPER MAIN 2yr'!L33+'SCHOLAR FELLOW 2yr'!L33+'All Other 2yr'!L33)-L33</f>
        <v>0</v>
      </c>
      <c r="AO33" s="75">
        <f>('INSTRUCTION-2YR'!M33+'RESEARCH 2yr'!M33+'PUBLIC SERVICE 2yr'!M33+'ASptISptSSv 2yr'!M33+'PLANT OPER MAIN 2yr'!M33+'SCHOLAR FELLOW 2yr'!M33+'All Other 2yr'!M33)-M33</f>
        <v>0</v>
      </c>
      <c r="AP33" s="75">
        <f>('INSTRUCTION-2YR'!N33+'RESEARCH 2yr'!N33+'PUBLIC SERVICE 2yr'!N33+'ASptISptSSv 2yr'!N33+'PLANT OPER MAIN 2yr'!N33+'SCHOLAR FELLOW 2yr'!N33+'All Other 2yr'!N33)-N33</f>
        <v>0</v>
      </c>
      <c r="AQ33" s="75">
        <f>('INSTRUCTION-2YR'!O33+'RESEARCH 2yr'!O33+'PUBLIC SERVICE 2yr'!O33+'ASptISptSSv 2yr'!O33+'PLANT OPER MAIN 2yr'!O33+'SCHOLAR FELLOW 2yr'!O33+'All Other 2yr'!O33)-O33</f>
        <v>0</v>
      </c>
      <c r="AR33" s="75">
        <f>('INSTRUCTION-2YR'!P33+'RESEARCH 2yr'!P33+'PUBLIC SERVICE 2yr'!P33+'ASptISptSSv 2yr'!P33+'PLANT OPER MAIN 2yr'!P33+'SCHOLAR FELLOW 2yr'!P33+'All Other 2yr'!P33)-P33</f>
        <v>0</v>
      </c>
      <c r="AS33" s="75">
        <f>('INSTRUCTION-2YR'!Q33+'RESEARCH 2yr'!Q33+'PUBLIC SERVICE 2yr'!Q33+'ASptISptSSv 2yr'!Q33+'PLANT OPER MAIN 2yr'!Q33+'SCHOLAR FELLOW 2yr'!Q33+'All Other 2yr'!Q33)-Q33</f>
        <v>0</v>
      </c>
      <c r="AT33" s="75">
        <f>('INSTRUCTION-2YR'!R33+'RESEARCH 2yr'!R33+'PUBLIC SERVICE 2yr'!R33+'ASptISptSSv 2yr'!R33+'PLANT OPER MAIN 2yr'!R33+'SCHOLAR FELLOW 2yr'!R33+'All Other 2yr'!R33)-R33</f>
        <v>0</v>
      </c>
      <c r="AU33" s="75">
        <f>('INSTRUCTION-2YR'!S33+'RESEARCH 2yr'!S33+'PUBLIC SERVICE 2yr'!S33+'ASptISptSSv 2yr'!S33+'PLANT OPER MAIN 2yr'!S33+'SCHOLAR FELLOW 2yr'!S33+'All Other 2yr'!S33)-S33</f>
        <v>0</v>
      </c>
      <c r="AV33" s="75">
        <f>('INSTRUCTION-2YR'!T33+'RESEARCH 2yr'!T33+'PUBLIC SERVICE 2yr'!T33+'ASptISptSSv 2yr'!T33+'PLANT OPER MAIN 2yr'!T33+'SCHOLAR FELLOW 2yr'!T33+'All Other 2yr'!T33)-T33</f>
        <v>0</v>
      </c>
      <c r="AW33" s="75">
        <f>('INSTRUCTION-2YR'!U33+'RESEARCH 2yr'!U33+'PUBLIC SERVICE 2yr'!U33+'ASptISptSSv 2yr'!U33+'PLANT OPER MAIN 2yr'!U33+'SCHOLAR FELLOW 2yr'!U33+'All Other 2yr'!U33)-U33</f>
        <v>0</v>
      </c>
      <c r="AX33" s="75">
        <f>('INSTRUCTION-2YR'!V33+'RESEARCH 2yr'!V33+'PUBLIC SERVICE 2yr'!V33+'ASptISptSSv 2yr'!V33+'PLANT OPER MAIN 2yr'!V33+'SCHOLAR FELLOW 2yr'!V33+'All Other 2yr'!V33)-V33</f>
        <v>0</v>
      </c>
      <c r="AY33" s="75">
        <f>('INSTRUCTION-2YR'!W33+'RESEARCH 2yr'!W33+'PUBLIC SERVICE 2yr'!W33+'ASptISptSSv 2yr'!W33+'PLANT OPER MAIN 2yr'!W33+'SCHOLAR FELLOW 2yr'!W33+'All Other 2yr'!W33)-W33</f>
        <v>0</v>
      </c>
      <c r="AZ33" s="75">
        <f>('INSTRUCTION-2YR'!X33+'RESEARCH 2yr'!X33+'PUBLIC SERVICE 2yr'!X33+'ASptISptSSv 2yr'!X33+'PLANT OPER MAIN 2yr'!X33+'SCHOLAR FELLOW 2yr'!X33+'All Other 2yr'!X33)-X33</f>
        <v>0</v>
      </c>
      <c r="BA33" s="75">
        <f>('INSTRUCTION-2YR'!Y33+'RESEARCH 2yr'!Y33+'PUBLIC SERVICE 2yr'!Y33+'ASptISptSSv 2yr'!Y33+'PLANT OPER MAIN 2yr'!Y33+'SCHOLAR FELLOW 2yr'!Y33+'All Other 2yr'!Y33)-Y33</f>
        <v>0</v>
      </c>
      <c r="BB33" s="75">
        <f>('INSTRUCTION-2YR'!Z33+'RESEARCH 2yr'!Z33+'PUBLIC SERVICE 2yr'!Z33+'ASptISptSSv 2yr'!Z33+'PLANT OPER MAIN 2yr'!Z33+'SCHOLAR FELLOW 2yr'!Z33+'All Other 2yr'!Z33)-Z33</f>
        <v>0</v>
      </c>
      <c r="BC33" s="75">
        <f>('INSTRUCTION-2YR'!AA33+'RESEARCH 2yr'!AA33+'PUBLIC SERVICE 2yr'!AA33+'ASptISptSSv 2yr'!AA33+'PLANT OPER MAIN 2yr'!AA33+'SCHOLAR FELLOW 2yr'!AA33+'All Other 2yr'!AA33)-AA33</f>
        <v>0</v>
      </c>
      <c r="BD33" s="75">
        <f>('INSTRUCTION-2YR'!AB33+'RESEARCH 2yr'!AB33+'PUBLIC SERVICE 2yr'!AB33+'ASptISptSSv 2yr'!AB33+'PLANT OPER MAIN 2yr'!AB33+'SCHOLAR FELLOW 2yr'!AB33+'All Other 2yr'!AB33)-AB33</f>
        <v>0</v>
      </c>
      <c r="BE33" s="75">
        <f>('INSTRUCTION-2YR'!AC33+'RESEARCH 2yr'!AC33+'PUBLIC SERVICE 2yr'!AC33+'ASptISptSSv 2yr'!AC33+'PLANT OPER MAIN 2yr'!AC33+'SCHOLAR FELLOW 2yr'!AC33+'All Other 2yr'!AC33)-AC33</f>
        <v>0</v>
      </c>
    </row>
    <row r="34" spans="1:57">
      <c r="A34" s="1" t="s">
        <v>102</v>
      </c>
      <c r="F34" s="42">
        <v>62255.595999999998</v>
      </c>
      <c r="I34" s="1">
        <v>71677.506999999998</v>
      </c>
      <c r="K34" s="1">
        <v>104611</v>
      </c>
      <c r="L34" s="1">
        <v>142973.80799999999</v>
      </c>
      <c r="M34" s="1">
        <v>146047</v>
      </c>
      <c r="N34" s="1">
        <v>177458.19399999999</v>
      </c>
      <c r="O34" s="1">
        <v>192381</v>
      </c>
      <c r="P34" s="1">
        <v>74704.217000000004</v>
      </c>
      <c r="Q34" s="1">
        <v>81151.002999999997</v>
      </c>
      <c r="R34" s="1">
        <v>86427.490999999995</v>
      </c>
      <c r="S34" s="1">
        <v>60861</v>
      </c>
      <c r="T34" s="1">
        <v>66294</v>
      </c>
      <c r="U34" s="1">
        <v>303752.12300000002</v>
      </c>
      <c r="V34" s="1">
        <v>332517.68300000002</v>
      </c>
      <c r="W34" s="1">
        <v>352081.25099999999</v>
      </c>
      <c r="X34" s="1">
        <v>338058.59600000002</v>
      </c>
      <c r="Y34" s="1">
        <v>339699.92499999999</v>
      </c>
      <c r="Z34" s="1">
        <v>352564.47899999999</v>
      </c>
      <c r="AA34" s="1">
        <v>365202.55800000002</v>
      </c>
      <c r="AB34" s="1">
        <v>361295.77399999998</v>
      </c>
      <c r="AC34" s="1">
        <v>355771.68300000002</v>
      </c>
      <c r="AD34" s="75">
        <f>('INSTRUCTION-2YR'!B34+'RESEARCH 2yr'!B34+'PUBLIC SERVICE 2yr'!B34+'ASptISptSSv 2yr'!B34+'PLANT OPER MAIN 2yr'!B34+'SCHOLAR FELLOW 2yr'!B34+'All Other 2yr'!B34)-B34</f>
        <v>0</v>
      </c>
      <c r="AE34" s="75">
        <f>('INSTRUCTION-2YR'!C34+'RESEARCH 2yr'!C34+'PUBLIC SERVICE 2yr'!C34+'ASptISptSSv 2yr'!C34+'PLANT OPER MAIN 2yr'!C34+'SCHOLAR FELLOW 2yr'!C34+'All Other 2yr'!C34)-C34</f>
        <v>0</v>
      </c>
      <c r="AF34" s="75">
        <f>('INSTRUCTION-2YR'!D34+'RESEARCH 2yr'!D34+'PUBLIC SERVICE 2yr'!D34+'ASptISptSSv 2yr'!D34+'PLANT OPER MAIN 2yr'!D34+'SCHOLAR FELLOW 2yr'!D34+'All Other 2yr'!D34)-D34</f>
        <v>0</v>
      </c>
      <c r="AG34" s="75">
        <f>('INSTRUCTION-2YR'!E34+'RESEARCH 2yr'!E34+'PUBLIC SERVICE 2yr'!E34+'ASptISptSSv 2yr'!E34+'PLANT OPER MAIN 2yr'!E34+'SCHOLAR FELLOW 2yr'!E34+'All Other 2yr'!E34)-E34</f>
        <v>0</v>
      </c>
      <c r="AH34" s="75">
        <f>('INSTRUCTION-2YR'!F34+'RESEARCH 2yr'!F34+'PUBLIC SERVICE 2yr'!F34+'ASptISptSSv 2yr'!F34+'PLANT OPER MAIN 2yr'!F34+'SCHOLAR FELLOW 2yr'!F34+'All Other 2yr'!F34)-F34</f>
        <v>0</v>
      </c>
      <c r="AI34" s="75">
        <f>('INSTRUCTION-2YR'!G34+'RESEARCH 2yr'!G34+'PUBLIC SERVICE 2yr'!G34+'ASptISptSSv 2yr'!G34+'PLANT OPER MAIN 2yr'!G34+'SCHOLAR FELLOW 2yr'!G34+'All Other 2yr'!G34)-G34</f>
        <v>0</v>
      </c>
      <c r="AJ34" s="75">
        <f>('INSTRUCTION-2YR'!H34+'RESEARCH 2yr'!H34+'PUBLIC SERVICE 2yr'!H34+'ASptISptSSv 2yr'!H34+'PLANT OPER MAIN 2yr'!H34+'SCHOLAR FELLOW 2yr'!H34+'All Other 2yr'!H34)-H34</f>
        <v>0</v>
      </c>
      <c r="AK34" s="75">
        <f>('INSTRUCTION-2YR'!I34+'RESEARCH 2yr'!I34+'PUBLIC SERVICE 2yr'!I34+'ASptISptSSv 2yr'!I34+'PLANT OPER MAIN 2yr'!I34+'SCHOLAR FELLOW 2yr'!I34+'All Other 2yr'!I34)-I34</f>
        <v>0</v>
      </c>
      <c r="AL34" s="75">
        <f>('INSTRUCTION-2YR'!J34+'RESEARCH 2yr'!J34+'PUBLIC SERVICE 2yr'!J34+'ASptISptSSv 2yr'!J34+'PLANT OPER MAIN 2yr'!J34+'SCHOLAR FELLOW 2yr'!J34+'All Other 2yr'!J34)-J34</f>
        <v>0</v>
      </c>
      <c r="AM34" s="75">
        <f>('INSTRUCTION-2YR'!K34+'RESEARCH 2yr'!K34+'PUBLIC SERVICE 2yr'!K34+'ASptISptSSv 2yr'!K34+'PLANT OPER MAIN 2yr'!K34+'SCHOLAR FELLOW 2yr'!K34+'All Other 2yr'!K34)-K34</f>
        <v>0</v>
      </c>
      <c r="AN34" s="75">
        <f>('INSTRUCTION-2YR'!L34+'RESEARCH 2yr'!L34+'PUBLIC SERVICE 2yr'!L34+'ASptISptSSv 2yr'!L34+'PLANT OPER MAIN 2yr'!L34+'SCHOLAR FELLOW 2yr'!L34+'All Other 2yr'!L34)-L34</f>
        <v>0</v>
      </c>
      <c r="AO34" s="75">
        <f>('INSTRUCTION-2YR'!M34+'RESEARCH 2yr'!M34+'PUBLIC SERVICE 2yr'!M34+'ASptISptSSv 2yr'!M34+'PLANT OPER MAIN 2yr'!M34+'SCHOLAR FELLOW 2yr'!M34+'All Other 2yr'!M34)-M34</f>
        <v>0</v>
      </c>
      <c r="AP34" s="75">
        <f>('INSTRUCTION-2YR'!N34+'RESEARCH 2yr'!N34+'PUBLIC SERVICE 2yr'!N34+'ASptISptSSv 2yr'!N34+'PLANT OPER MAIN 2yr'!N34+'SCHOLAR FELLOW 2yr'!N34+'All Other 2yr'!N34)-N34</f>
        <v>0</v>
      </c>
      <c r="AQ34" s="75">
        <f>('INSTRUCTION-2YR'!O34+'RESEARCH 2yr'!O34+'PUBLIC SERVICE 2yr'!O34+'ASptISptSSv 2yr'!O34+'PLANT OPER MAIN 2yr'!O34+'SCHOLAR FELLOW 2yr'!O34+'All Other 2yr'!O34)-O34</f>
        <v>0</v>
      </c>
      <c r="AR34" s="75">
        <f>('INSTRUCTION-2YR'!P34+'RESEARCH 2yr'!P34+'PUBLIC SERVICE 2yr'!P34+'ASptISptSSv 2yr'!P34+'PLANT OPER MAIN 2yr'!P34+'SCHOLAR FELLOW 2yr'!P34+'All Other 2yr'!P34)-P34</f>
        <v>0</v>
      </c>
      <c r="AS34" s="75">
        <f>('INSTRUCTION-2YR'!Q34+'RESEARCH 2yr'!Q34+'PUBLIC SERVICE 2yr'!Q34+'ASptISptSSv 2yr'!Q34+'PLANT OPER MAIN 2yr'!Q34+'SCHOLAR FELLOW 2yr'!Q34+'All Other 2yr'!Q34)-Q34</f>
        <v>0</v>
      </c>
      <c r="AT34" s="75">
        <f>('INSTRUCTION-2YR'!R34+'RESEARCH 2yr'!R34+'PUBLIC SERVICE 2yr'!R34+'ASptISptSSv 2yr'!R34+'PLANT OPER MAIN 2yr'!R34+'SCHOLAR FELLOW 2yr'!R34+'All Other 2yr'!R34)-R34</f>
        <v>0</v>
      </c>
      <c r="AU34" s="75">
        <f>('INSTRUCTION-2YR'!S34+'RESEARCH 2yr'!S34+'PUBLIC SERVICE 2yr'!S34+'ASptISptSSv 2yr'!S34+'PLANT OPER MAIN 2yr'!S34+'SCHOLAR FELLOW 2yr'!S34+'All Other 2yr'!S34)-S34</f>
        <v>0</v>
      </c>
      <c r="AV34" s="75">
        <f>('INSTRUCTION-2YR'!T34+'RESEARCH 2yr'!T34+'PUBLIC SERVICE 2yr'!T34+'ASptISptSSv 2yr'!T34+'PLANT OPER MAIN 2yr'!T34+'SCHOLAR FELLOW 2yr'!T34+'All Other 2yr'!T34)-T34</f>
        <v>0</v>
      </c>
      <c r="AW34" s="75">
        <f>('INSTRUCTION-2YR'!U34+'RESEARCH 2yr'!U34+'PUBLIC SERVICE 2yr'!U34+'ASptISptSSv 2yr'!U34+'PLANT OPER MAIN 2yr'!U34+'SCHOLAR FELLOW 2yr'!U34+'All Other 2yr'!U34)-U34</f>
        <v>0</v>
      </c>
      <c r="AX34" s="75">
        <f>('INSTRUCTION-2YR'!V34+'RESEARCH 2yr'!V34+'PUBLIC SERVICE 2yr'!V34+'ASptISptSSv 2yr'!V34+'PLANT OPER MAIN 2yr'!V34+'SCHOLAR FELLOW 2yr'!V34+'All Other 2yr'!V34)-V34</f>
        <v>0</v>
      </c>
      <c r="AY34" s="75">
        <f>('INSTRUCTION-2YR'!W34+'RESEARCH 2yr'!W34+'PUBLIC SERVICE 2yr'!W34+'ASptISptSSv 2yr'!W34+'PLANT OPER MAIN 2yr'!W34+'SCHOLAR FELLOW 2yr'!W34+'All Other 2yr'!W34)-W34</f>
        <v>0</v>
      </c>
      <c r="AZ34" s="75">
        <f>('INSTRUCTION-2YR'!X34+'RESEARCH 2yr'!X34+'PUBLIC SERVICE 2yr'!X34+'ASptISptSSv 2yr'!X34+'PLANT OPER MAIN 2yr'!X34+'SCHOLAR FELLOW 2yr'!X34+'All Other 2yr'!X34)-X34</f>
        <v>0</v>
      </c>
      <c r="BA34" s="75">
        <f>('INSTRUCTION-2YR'!Y34+'RESEARCH 2yr'!Y34+'PUBLIC SERVICE 2yr'!Y34+'ASptISptSSv 2yr'!Y34+'PLANT OPER MAIN 2yr'!Y34+'SCHOLAR FELLOW 2yr'!Y34+'All Other 2yr'!Y34)-Y34</f>
        <v>0</v>
      </c>
      <c r="BB34" s="75">
        <f>('INSTRUCTION-2YR'!Z34+'RESEARCH 2yr'!Z34+'PUBLIC SERVICE 2yr'!Z34+'ASptISptSSv 2yr'!Z34+'PLANT OPER MAIN 2yr'!Z34+'SCHOLAR FELLOW 2yr'!Z34+'All Other 2yr'!Z34)-Z34</f>
        <v>0</v>
      </c>
      <c r="BC34" s="75">
        <f>('INSTRUCTION-2YR'!AA34+'RESEARCH 2yr'!AA34+'PUBLIC SERVICE 2yr'!AA34+'ASptISptSSv 2yr'!AA34+'PLANT OPER MAIN 2yr'!AA34+'SCHOLAR FELLOW 2yr'!AA34+'All Other 2yr'!AA34)-AA34</f>
        <v>0</v>
      </c>
      <c r="BD34" s="75">
        <f>('INSTRUCTION-2YR'!AB34+'RESEARCH 2yr'!AB34+'PUBLIC SERVICE 2yr'!AB34+'ASptISptSSv 2yr'!AB34+'PLANT OPER MAIN 2yr'!AB34+'SCHOLAR FELLOW 2yr'!AB34+'All Other 2yr'!AB34)-AB34</f>
        <v>0</v>
      </c>
      <c r="BE34" s="75">
        <f>('INSTRUCTION-2YR'!AC34+'RESEARCH 2yr'!AC34+'PUBLIC SERVICE 2yr'!AC34+'ASptISptSSv 2yr'!AC34+'PLANT OPER MAIN 2yr'!AC34+'SCHOLAR FELLOW 2yr'!AC34+'All Other 2yr'!AC34)-AC34</f>
        <v>0</v>
      </c>
    </row>
    <row r="35" spans="1:57">
      <c r="A35" s="1" t="s">
        <v>105</v>
      </c>
      <c r="F35" s="42">
        <v>140280.38699999999</v>
      </c>
      <c r="I35" s="1">
        <v>195458.75</v>
      </c>
      <c r="K35" s="1">
        <v>244214.27297000002</v>
      </c>
      <c r="L35" s="1">
        <v>304624.62099999998</v>
      </c>
      <c r="M35" s="1">
        <v>315354.03000000003</v>
      </c>
      <c r="N35" s="1">
        <v>348094.69400000002</v>
      </c>
      <c r="O35" s="1">
        <v>382237.47399999999</v>
      </c>
      <c r="P35" s="1">
        <v>404949.21500000003</v>
      </c>
      <c r="Q35" s="1">
        <v>434359.33399999997</v>
      </c>
      <c r="R35" s="1">
        <v>451228.49699999997</v>
      </c>
      <c r="S35" s="1">
        <v>475800.13299999997</v>
      </c>
      <c r="T35" s="1">
        <v>508380.54300000001</v>
      </c>
      <c r="U35" s="1">
        <v>574969.29</v>
      </c>
      <c r="V35" s="1">
        <v>613609.70299999998</v>
      </c>
      <c r="W35" s="1">
        <v>667439.96600000001</v>
      </c>
      <c r="X35" s="1">
        <v>667213.04299999995</v>
      </c>
      <c r="Y35" s="1">
        <v>432511.37300000002</v>
      </c>
      <c r="Z35" s="1">
        <v>437442.49599999998</v>
      </c>
      <c r="AA35" s="1">
        <v>428523.299</v>
      </c>
      <c r="AB35" s="1">
        <v>667931.01500000001</v>
      </c>
      <c r="AC35" s="1">
        <v>665567.40399999998</v>
      </c>
      <c r="AD35" s="75">
        <f>('INSTRUCTION-2YR'!B35+'RESEARCH 2yr'!B35+'PUBLIC SERVICE 2yr'!B35+'ASptISptSSv 2yr'!B35+'PLANT OPER MAIN 2yr'!B35+'SCHOLAR FELLOW 2yr'!B35+'All Other 2yr'!B35)-B35</f>
        <v>0</v>
      </c>
      <c r="AE35" s="75">
        <f>('INSTRUCTION-2YR'!C35+'RESEARCH 2yr'!C35+'PUBLIC SERVICE 2yr'!C35+'ASptISptSSv 2yr'!C35+'PLANT OPER MAIN 2yr'!C35+'SCHOLAR FELLOW 2yr'!C35+'All Other 2yr'!C35)-C35</f>
        <v>0</v>
      </c>
      <c r="AF35" s="75">
        <f>('INSTRUCTION-2YR'!D35+'RESEARCH 2yr'!D35+'PUBLIC SERVICE 2yr'!D35+'ASptISptSSv 2yr'!D35+'PLANT OPER MAIN 2yr'!D35+'SCHOLAR FELLOW 2yr'!D35+'All Other 2yr'!D35)-D35</f>
        <v>0</v>
      </c>
      <c r="AG35" s="75">
        <f>('INSTRUCTION-2YR'!E35+'RESEARCH 2yr'!E35+'PUBLIC SERVICE 2yr'!E35+'ASptISptSSv 2yr'!E35+'PLANT OPER MAIN 2yr'!E35+'SCHOLAR FELLOW 2yr'!E35+'All Other 2yr'!E35)-E35</f>
        <v>0</v>
      </c>
      <c r="AH35" s="75">
        <f>('INSTRUCTION-2YR'!F35+'RESEARCH 2yr'!F35+'PUBLIC SERVICE 2yr'!F35+'ASptISptSSv 2yr'!F35+'PLANT OPER MAIN 2yr'!F35+'SCHOLAR FELLOW 2yr'!F35+'All Other 2yr'!F35)-F35</f>
        <v>0</v>
      </c>
      <c r="AI35" s="75">
        <f>('INSTRUCTION-2YR'!G35+'RESEARCH 2yr'!G35+'PUBLIC SERVICE 2yr'!G35+'ASptISptSSv 2yr'!G35+'PLANT OPER MAIN 2yr'!G35+'SCHOLAR FELLOW 2yr'!G35+'All Other 2yr'!G35)-G35</f>
        <v>0</v>
      </c>
      <c r="AJ35" s="75">
        <f>('INSTRUCTION-2YR'!H35+'RESEARCH 2yr'!H35+'PUBLIC SERVICE 2yr'!H35+'ASptISptSSv 2yr'!H35+'PLANT OPER MAIN 2yr'!H35+'SCHOLAR FELLOW 2yr'!H35+'All Other 2yr'!H35)-H35</f>
        <v>0</v>
      </c>
      <c r="AK35" s="75">
        <f>('INSTRUCTION-2YR'!I35+'RESEARCH 2yr'!I35+'PUBLIC SERVICE 2yr'!I35+'ASptISptSSv 2yr'!I35+'PLANT OPER MAIN 2yr'!I35+'SCHOLAR FELLOW 2yr'!I35+'All Other 2yr'!I35)-I35</f>
        <v>0</v>
      </c>
      <c r="AL35" s="75">
        <f>('INSTRUCTION-2YR'!J35+'RESEARCH 2yr'!J35+'PUBLIC SERVICE 2yr'!J35+'ASptISptSSv 2yr'!J35+'PLANT OPER MAIN 2yr'!J35+'SCHOLAR FELLOW 2yr'!J35+'All Other 2yr'!J35)-J35</f>
        <v>0</v>
      </c>
      <c r="AM35" s="75">
        <f>('INSTRUCTION-2YR'!K35+'RESEARCH 2yr'!K35+'PUBLIC SERVICE 2yr'!K35+'ASptISptSSv 2yr'!K35+'PLANT OPER MAIN 2yr'!K35+'SCHOLAR FELLOW 2yr'!K35+'All Other 2yr'!K35)-K35</f>
        <v>0</v>
      </c>
      <c r="AN35" s="75">
        <f>('INSTRUCTION-2YR'!L35+'RESEARCH 2yr'!L35+'PUBLIC SERVICE 2yr'!L35+'ASptISptSSv 2yr'!L35+'PLANT OPER MAIN 2yr'!L35+'SCHOLAR FELLOW 2yr'!L35+'All Other 2yr'!L35)-L35</f>
        <v>0</v>
      </c>
      <c r="AO35" s="75">
        <f>('INSTRUCTION-2YR'!M35+'RESEARCH 2yr'!M35+'PUBLIC SERVICE 2yr'!M35+'ASptISptSSv 2yr'!M35+'PLANT OPER MAIN 2yr'!M35+'SCHOLAR FELLOW 2yr'!M35+'All Other 2yr'!M35)-M35</f>
        <v>0</v>
      </c>
      <c r="AP35" s="75">
        <f>('INSTRUCTION-2YR'!N35+'RESEARCH 2yr'!N35+'PUBLIC SERVICE 2yr'!N35+'ASptISptSSv 2yr'!N35+'PLANT OPER MAIN 2yr'!N35+'SCHOLAR FELLOW 2yr'!N35+'All Other 2yr'!N35)-N35</f>
        <v>0</v>
      </c>
      <c r="AQ35" s="75">
        <f>('INSTRUCTION-2YR'!O35+'RESEARCH 2yr'!O35+'PUBLIC SERVICE 2yr'!O35+'ASptISptSSv 2yr'!O35+'PLANT OPER MAIN 2yr'!O35+'SCHOLAR FELLOW 2yr'!O35+'All Other 2yr'!O35)-O35</f>
        <v>0</v>
      </c>
      <c r="AR35" s="75">
        <f>('INSTRUCTION-2YR'!P35+'RESEARCH 2yr'!P35+'PUBLIC SERVICE 2yr'!P35+'ASptISptSSv 2yr'!P35+'PLANT OPER MAIN 2yr'!P35+'SCHOLAR FELLOW 2yr'!P35+'All Other 2yr'!P35)-P35</f>
        <v>0</v>
      </c>
      <c r="AS35" s="75">
        <f>('INSTRUCTION-2YR'!Q35+'RESEARCH 2yr'!Q35+'PUBLIC SERVICE 2yr'!Q35+'ASptISptSSv 2yr'!Q35+'PLANT OPER MAIN 2yr'!Q35+'SCHOLAR FELLOW 2yr'!Q35+'All Other 2yr'!Q35)-Q35</f>
        <v>0</v>
      </c>
      <c r="AT35" s="75">
        <f>('INSTRUCTION-2YR'!R35+'RESEARCH 2yr'!R35+'PUBLIC SERVICE 2yr'!R35+'ASptISptSSv 2yr'!R35+'PLANT OPER MAIN 2yr'!R35+'SCHOLAR FELLOW 2yr'!R35+'All Other 2yr'!R35)-R35</f>
        <v>0</v>
      </c>
      <c r="AU35" s="75">
        <f>('INSTRUCTION-2YR'!S35+'RESEARCH 2yr'!S35+'PUBLIC SERVICE 2yr'!S35+'ASptISptSSv 2yr'!S35+'PLANT OPER MAIN 2yr'!S35+'SCHOLAR FELLOW 2yr'!S35+'All Other 2yr'!S35)-S35</f>
        <v>0</v>
      </c>
      <c r="AV35" s="75">
        <f>('INSTRUCTION-2YR'!T35+'RESEARCH 2yr'!T35+'PUBLIC SERVICE 2yr'!T35+'ASptISptSSv 2yr'!T35+'PLANT OPER MAIN 2yr'!T35+'SCHOLAR FELLOW 2yr'!T35+'All Other 2yr'!T35)-T35</f>
        <v>0</v>
      </c>
      <c r="AW35" s="75">
        <f>('INSTRUCTION-2YR'!U35+'RESEARCH 2yr'!U35+'PUBLIC SERVICE 2yr'!U35+'ASptISptSSv 2yr'!U35+'PLANT OPER MAIN 2yr'!U35+'SCHOLAR FELLOW 2yr'!U35+'All Other 2yr'!U35)-U35</f>
        <v>0</v>
      </c>
      <c r="AX35" s="75">
        <f>('INSTRUCTION-2YR'!V35+'RESEARCH 2yr'!V35+'PUBLIC SERVICE 2yr'!V35+'ASptISptSSv 2yr'!V35+'PLANT OPER MAIN 2yr'!V35+'SCHOLAR FELLOW 2yr'!V35+'All Other 2yr'!V35)-V35</f>
        <v>0</v>
      </c>
      <c r="AY35" s="75">
        <f>('INSTRUCTION-2YR'!W35+'RESEARCH 2yr'!W35+'PUBLIC SERVICE 2yr'!W35+'ASptISptSSv 2yr'!W35+'PLANT OPER MAIN 2yr'!W35+'SCHOLAR FELLOW 2yr'!W35+'All Other 2yr'!W35)-W35</f>
        <v>0</v>
      </c>
      <c r="AZ35" s="75">
        <f>('INSTRUCTION-2YR'!X35+'RESEARCH 2yr'!X35+'PUBLIC SERVICE 2yr'!X35+'ASptISptSSv 2yr'!X35+'PLANT OPER MAIN 2yr'!X35+'SCHOLAR FELLOW 2yr'!X35+'All Other 2yr'!X35)-X35</f>
        <v>0</v>
      </c>
      <c r="BA35" s="75">
        <f>('INSTRUCTION-2YR'!Y35+'RESEARCH 2yr'!Y35+'PUBLIC SERVICE 2yr'!Y35+'ASptISptSSv 2yr'!Y35+'PLANT OPER MAIN 2yr'!Y35+'SCHOLAR FELLOW 2yr'!Y35+'All Other 2yr'!Y35)-Y35</f>
        <v>0</v>
      </c>
      <c r="BB35" s="75">
        <f>('INSTRUCTION-2YR'!Z35+'RESEARCH 2yr'!Z35+'PUBLIC SERVICE 2yr'!Z35+'ASptISptSSv 2yr'!Z35+'PLANT OPER MAIN 2yr'!Z35+'SCHOLAR FELLOW 2yr'!Z35+'All Other 2yr'!Z35)-Z35</f>
        <v>0</v>
      </c>
      <c r="BC35" s="75">
        <f>('INSTRUCTION-2YR'!AA35+'RESEARCH 2yr'!AA35+'PUBLIC SERVICE 2yr'!AA35+'ASptISptSSv 2yr'!AA35+'PLANT OPER MAIN 2yr'!AA35+'SCHOLAR FELLOW 2yr'!AA35+'All Other 2yr'!AA35)-AA35</f>
        <v>0</v>
      </c>
      <c r="BD35" s="75">
        <f>('INSTRUCTION-2YR'!AB35+'RESEARCH 2yr'!AB35+'PUBLIC SERVICE 2yr'!AB35+'ASptISptSSv 2yr'!AB35+'PLANT OPER MAIN 2yr'!AB35+'SCHOLAR FELLOW 2yr'!AB35+'All Other 2yr'!AB35)-AB35</f>
        <v>0</v>
      </c>
      <c r="BE35" s="75">
        <f>('INSTRUCTION-2YR'!AC35+'RESEARCH 2yr'!AC35+'PUBLIC SERVICE 2yr'!AC35+'ASptISptSSv 2yr'!AC35+'PLANT OPER MAIN 2yr'!AC35+'SCHOLAR FELLOW 2yr'!AC35+'All Other 2yr'!AC35)-AC35</f>
        <v>0</v>
      </c>
    </row>
    <row r="36" spans="1:57">
      <c r="A36" s="1" t="s">
        <v>109</v>
      </c>
      <c r="F36" s="42">
        <v>360126.71399999998</v>
      </c>
      <c r="I36" s="1">
        <v>414274.95299999998</v>
      </c>
      <c r="K36" s="1">
        <v>486216.39627999999</v>
      </c>
      <c r="L36" s="1">
        <v>571613.20299999998</v>
      </c>
      <c r="M36" s="1">
        <v>594902.23499999999</v>
      </c>
      <c r="N36" s="1">
        <v>650017.72699999996</v>
      </c>
      <c r="O36" s="1">
        <v>687806.70200000005</v>
      </c>
      <c r="P36" s="1">
        <v>699439.66200000001</v>
      </c>
      <c r="Q36" s="1">
        <v>741730.19499999995</v>
      </c>
      <c r="R36" s="1">
        <v>788742.527</v>
      </c>
      <c r="S36" s="1">
        <v>810007.58200000005</v>
      </c>
      <c r="T36" s="1">
        <v>851164.32</v>
      </c>
      <c r="U36" s="1">
        <v>1059219.79</v>
      </c>
      <c r="V36" s="1">
        <v>1105389.9410000001</v>
      </c>
      <c r="W36" s="1">
        <v>1241330.7990000001</v>
      </c>
      <c r="X36" s="1">
        <v>1201190.098</v>
      </c>
      <c r="Y36" s="1">
        <v>1190908.037</v>
      </c>
      <c r="Z36" s="1">
        <v>1166059.7039999999</v>
      </c>
      <c r="AA36" s="1">
        <v>1017320.495</v>
      </c>
      <c r="AB36" s="1">
        <v>1318927.155</v>
      </c>
      <c r="AC36" s="1">
        <v>1233079.8570000001</v>
      </c>
      <c r="AD36" s="75">
        <f>('INSTRUCTION-2YR'!B36+'RESEARCH 2yr'!B36+'PUBLIC SERVICE 2yr'!B36+'ASptISptSSv 2yr'!B36+'PLANT OPER MAIN 2yr'!B36+'SCHOLAR FELLOW 2yr'!B36+'All Other 2yr'!B36)-B36</f>
        <v>0</v>
      </c>
      <c r="AE36" s="75">
        <f>('INSTRUCTION-2YR'!C36+'RESEARCH 2yr'!C36+'PUBLIC SERVICE 2yr'!C36+'ASptISptSSv 2yr'!C36+'PLANT OPER MAIN 2yr'!C36+'SCHOLAR FELLOW 2yr'!C36+'All Other 2yr'!C36)-C36</f>
        <v>0</v>
      </c>
      <c r="AF36" s="75">
        <f>('INSTRUCTION-2YR'!D36+'RESEARCH 2yr'!D36+'PUBLIC SERVICE 2yr'!D36+'ASptISptSSv 2yr'!D36+'PLANT OPER MAIN 2yr'!D36+'SCHOLAR FELLOW 2yr'!D36+'All Other 2yr'!D36)-D36</f>
        <v>0</v>
      </c>
      <c r="AG36" s="75">
        <f>('INSTRUCTION-2YR'!E36+'RESEARCH 2yr'!E36+'PUBLIC SERVICE 2yr'!E36+'ASptISptSSv 2yr'!E36+'PLANT OPER MAIN 2yr'!E36+'SCHOLAR FELLOW 2yr'!E36+'All Other 2yr'!E36)-E36</f>
        <v>0</v>
      </c>
      <c r="AH36" s="75">
        <f>('INSTRUCTION-2YR'!F36+'RESEARCH 2yr'!F36+'PUBLIC SERVICE 2yr'!F36+'ASptISptSSv 2yr'!F36+'PLANT OPER MAIN 2yr'!F36+'SCHOLAR FELLOW 2yr'!F36+'All Other 2yr'!F36)-F36</f>
        <v>0</v>
      </c>
      <c r="AI36" s="75">
        <f>('INSTRUCTION-2YR'!G36+'RESEARCH 2yr'!G36+'PUBLIC SERVICE 2yr'!G36+'ASptISptSSv 2yr'!G36+'PLANT OPER MAIN 2yr'!G36+'SCHOLAR FELLOW 2yr'!G36+'All Other 2yr'!G36)-G36</f>
        <v>0</v>
      </c>
      <c r="AJ36" s="75">
        <f>('INSTRUCTION-2YR'!H36+'RESEARCH 2yr'!H36+'PUBLIC SERVICE 2yr'!H36+'ASptISptSSv 2yr'!H36+'PLANT OPER MAIN 2yr'!H36+'SCHOLAR FELLOW 2yr'!H36+'All Other 2yr'!H36)-H36</f>
        <v>0</v>
      </c>
      <c r="AK36" s="75">
        <f>('INSTRUCTION-2YR'!I36+'RESEARCH 2yr'!I36+'PUBLIC SERVICE 2yr'!I36+'ASptISptSSv 2yr'!I36+'PLANT OPER MAIN 2yr'!I36+'SCHOLAR FELLOW 2yr'!I36+'All Other 2yr'!I36)-I36</f>
        <v>0</v>
      </c>
      <c r="AL36" s="75">
        <f>('INSTRUCTION-2YR'!J36+'RESEARCH 2yr'!J36+'PUBLIC SERVICE 2yr'!J36+'ASptISptSSv 2yr'!J36+'PLANT OPER MAIN 2yr'!J36+'SCHOLAR FELLOW 2yr'!J36+'All Other 2yr'!J36)-J36</f>
        <v>0</v>
      </c>
      <c r="AM36" s="75">
        <f>('INSTRUCTION-2YR'!K36+'RESEARCH 2yr'!K36+'PUBLIC SERVICE 2yr'!K36+'ASptISptSSv 2yr'!K36+'PLANT OPER MAIN 2yr'!K36+'SCHOLAR FELLOW 2yr'!K36+'All Other 2yr'!K36)-K36</f>
        <v>0</v>
      </c>
      <c r="AN36" s="75">
        <f>('INSTRUCTION-2YR'!L36+'RESEARCH 2yr'!L36+'PUBLIC SERVICE 2yr'!L36+'ASptISptSSv 2yr'!L36+'PLANT OPER MAIN 2yr'!L36+'SCHOLAR FELLOW 2yr'!L36+'All Other 2yr'!L36)-L36</f>
        <v>0</v>
      </c>
      <c r="AO36" s="75">
        <f>('INSTRUCTION-2YR'!M36+'RESEARCH 2yr'!M36+'PUBLIC SERVICE 2yr'!M36+'ASptISptSSv 2yr'!M36+'PLANT OPER MAIN 2yr'!M36+'SCHOLAR FELLOW 2yr'!M36+'All Other 2yr'!M36)-M36</f>
        <v>0</v>
      </c>
      <c r="AP36" s="75">
        <f>('INSTRUCTION-2YR'!N36+'RESEARCH 2yr'!N36+'PUBLIC SERVICE 2yr'!N36+'ASptISptSSv 2yr'!N36+'PLANT OPER MAIN 2yr'!N36+'SCHOLAR FELLOW 2yr'!N36+'All Other 2yr'!N36)-N36</f>
        <v>0</v>
      </c>
      <c r="AQ36" s="75">
        <f>('INSTRUCTION-2YR'!O36+'RESEARCH 2yr'!O36+'PUBLIC SERVICE 2yr'!O36+'ASptISptSSv 2yr'!O36+'PLANT OPER MAIN 2yr'!O36+'SCHOLAR FELLOW 2yr'!O36+'All Other 2yr'!O36)-O36</f>
        <v>0</v>
      </c>
      <c r="AR36" s="75">
        <f>('INSTRUCTION-2YR'!P36+'RESEARCH 2yr'!P36+'PUBLIC SERVICE 2yr'!P36+'ASptISptSSv 2yr'!P36+'PLANT OPER MAIN 2yr'!P36+'SCHOLAR FELLOW 2yr'!P36+'All Other 2yr'!P36)-P36</f>
        <v>0</v>
      </c>
      <c r="AS36" s="75">
        <f>('INSTRUCTION-2YR'!Q36+'RESEARCH 2yr'!Q36+'PUBLIC SERVICE 2yr'!Q36+'ASptISptSSv 2yr'!Q36+'PLANT OPER MAIN 2yr'!Q36+'SCHOLAR FELLOW 2yr'!Q36+'All Other 2yr'!Q36)-Q36</f>
        <v>0</v>
      </c>
      <c r="AT36" s="75">
        <f>('INSTRUCTION-2YR'!R36+'RESEARCH 2yr'!R36+'PUBLIC SERVICE 2yr'!R36+'ASptISptSSv 2yr'!R36+'PLANT OPER MAIN 2yr'!R36+'SCHOLAR FELLOW 2yr'!R36+'All Other 2yr'!R36)-R36</f>
        <v>0</v>
      </c>
      <c r="AU36" s="75">
        <f>('INSTRUCTION-2YR'!S36+'RESEARCH 2yr'!S36+'PUBLIC SERVICE 2yr'!S36+'ASptISptSSv 2yr'!S36+'PLANT OPER MAIN 2yr'!S36+'SCHOLAR FELLOW 2yr'!S36+'All Other 2yr'!S36)-S36</f>
        <v>0</v>
      </c>
      <c r="AV36" s="75">
        <f>('INSTRUCTION-2YR'!T36+'RESEARCH 2yr'!T36+'PUBLIC SERVICE 2yr'!T36+'ASptISptSSv 2yr'!T36+'PLANT OPER MAIN 2yr'!T36+'SCHOLAR FELLOW 2yr'!T36+'All Other 2yr'!T36)-T36</f>
        <v>0</v>
      </c>
      <c r="AW36" s="75">
        <f>('INSTRUCTION-2YR'!U36+'RESEARCH 2yr'!U36+'PUBLIC SERVICE 2yr'!U36+'ASptISptSSv 2yr'!U36+'PLANT OPER MAIN 2yr'!U36+'SCHOLAR FELLOW 2yr'!U36+'All Other 2yr'!U36)-U36</f>
        <v>0</v>
      </c>
      <c r="AX36" s="75">
        <f>('INSTRUCTION-2YR'!V36+'RESEARCH 2yr'!V36+'PUBLIC SERVICE 2yr'!V36+'ASptISptSSv 2yr'!V36+'PLANT OPER MAIN 2yr'!V36+'SCHOLAR FELLOW 2yr'!V36+'All Other 2yr'!V36)-V36</f>
        <v>0</v>
      </c>
      <c r="AY36" s="75">
        <f>('INSTRUCTION-2YR'!W36+'RESEARCH 2yr'!W36+'PUBLIC SERVICE 2yr'!W36+'ASptISptSSv 2yr'!W36+'PLANT OPER MAIN 2yr'!W36+'SCHOLAR FELLOW 2yr'!W36+'All Other 2yr'!W36)-W36</f>
        <v>0</v>
      </c>
      <c r="AZ36" s="75">
        <f>('INSTRUCTION-2YR'!X36+'RESEARCH 2yr'!X36+'PUBLIC SERVICE 2yr'!X36+'ASptISptSSv 2yr'!X36+'PLANT OPER MAIN 2yr'!X36+'SCHOLAR FELLOW 2yr'!X36+'All Other 2yr'!X36)-X36</f>
        <v>0</v>
      </c>
      <c r="BA36" s="75">
        <f>('INSTRUCTION-2YR'!Y36+'RESEARCH 2yr'!Y36+'PUBLIC SERVICE 2yr'!Y36+'ASptISptSSv 2yr'!Y36+'PLANT OPER MAIN 2yr'!Y36+'SCHOLAR FELLOW 2yr'!Y36+'All Other 2yr'!Y36)-Y36</f>
        <v>0</v>
      </c>
      <c r="BB36" s="75">
        <f>('INSTRUCTION-2YR'!Z36+'RESEARCH 2yr'!Z36+'PUBLIC SERVICE 2yr'!Z36+'ASptISptSSv 2yr'!Z36+'PLANT OPER MAIN 2yr'!Z36+'SCHOLAR FELLOW 2yr'!Z36+'All Other 2yr'!Z36)-Z36</f>
        <v>0</v>
      </c>
      <c r="BC36" s="75">
        <f>('INSTRUCTION-2YR'!AA36+'RESEARCH 2yr'!AA36+'PUBLIC SERVICE 2yr'!AA36+'ASptISptSSv 2yr'!AA36+'PLANT OPER MAIN 2yr'!AA36+'SCHOLAR FELLOW 2yr'!AA36+'All Other 2yr'!AA36)-AA36</f>
        <v>0</v>
      </c>
      <c r="BD36" s="75">
        <f>('INSTRUCTION-2YR'!AB36+'RESEARCH 2yr'!AB36+'PUBLIC SERVICE 2yr'!AB36+'ASptISptSSv 2yr'!AB36+'PLANT OPER MAIN 2yr'!AB36+'SCHOLAR FELLOW 2yr'!AB36+'All Other 2yr'!AB36)-AB36</f>
        <v>0</v>
      </c>
      <c r="BE36" s="75">
        <f>('INSTRUCTION-2YR'!AC36+'RESEARCH 2yr'!AC36+'PUBLIC SERVICE 2yr'!AC36+'ASptISptSSv 2yr'!AC36+'PLANT OPER MAIN 2yr'!AC36+'SCHOLAR FELLOW 2yr'!AC36+'All Other 2yr'!AC36)-AC36</f>
        <v>0</v>
      </c>
    </row>
    <row r="37" spans="1:57">
      <c r="A37" s="1" t="s">
        <v>113</v>
      </c>
      <c r="F37" s="42">
        <v>130846.202</v>
      </c>
      <c r="I37" s="1">
        <v>122423.94</v>
      </c>
      <c r="K37" s="1">
        <v>143080.527</v>
      </c>
      <c r="L37" s="1">
        <v>139353.334</v>
      </c>
      <c r="M37" s="1">
        <v>162095.149</v>
      </c>
      <c r="N37" s="1">
        <v>177274.788</v>
      </c>
      <c r="O37" s="1">
        <v>181125.204</v>
      </c>
      <c r="P37" s="1">
        <v>213127.51</v>
      </c>
      <c r="Q37" s="1">
        <v>227300.72899999999</v>
      </c>
      <c r="R37" s="1">
        <v>232773.611</v>
      </c>
      <c r="S37" s="1">
        <v>250604.23699999999</v>
      </c>
      <c r="T37" s="1">
        <v>270884.66399999999</v>
      </c>
      <c r="U37" s="1">
        <v>264923.42</v>
      </c>
      <c r="V37" s="1">
        <v>321129.88299999997</v>
      </c>
      <c r="W37" s="1">
        <v>305240.41499999998</v>
      </c>
      <c r="X37" s="1">
        <v>249484.85399999999</v>
      </c>
      <c r="Y37" s="1">
        <v>345209.51</v>
      </c>
      <c r="Z37" s="1">
        <v>345571.70899999997</v>
      </c>
      <c r="AA37" s="1">
        <v>351448.24300000002</v>
      </c>
      <c r="AB37" s="1">
        <v>262660.745</v>
      </c>
      <c r="AC37" s="1">
        <v>274456.29800000001</v>
      </c>
      <c r="AD37" s="75">
        <f>('INSTRUCTION-2YR'!B37+'RESEARCH 2yr'!B37+'PUBLIC SERVICE 2yr'!B37+'ASptISptSSv 2yr'!B37+'PLANT OPER MAIN 2yr'!B37+'SCHOLAR FELLOW 2yr'!B37+'All Other 2yr'!B37)-B37</f>
        <v>0</v>
      </c>
      <c r="AE37" s="75">
        <f>('INSTRUCTION-2YR'!C37+'RESEARCH 2yr'!C37+'PUBLIC SERVICE 2yr'!C37+'ASptISptSSv 2yr'!C37+'PLANT OPER MAIN 2yr'!C37+'SCHOLAR FELLOW 2yr'!C37+'All Other 2yr'!C37)-C37</f>
        <v>0</v>
      </c>
      <c r="AF37" s="75">
        <f>('INSTRUCTION-2YR'!D37+'RESEARCH 2yr'!D37+'PUBLIC SERVICE 2yr'!D37+'ASptISptSSv 2yr'!D37+'PLANT OPER MAIN 2yr'!D37+'SCHOLAR FELLOW 2yr'!D37+'All Other 2yr'!D37)-D37</f>
        <v>0</v>
      </c>
      <c r="AG37" s="75">
        <f>('INSTRUCTION-2YR'!E37+'RESEARCH 2yr'!E37+'PUBLIC SERVICE 2yr'!E37+'ASptISptSSv 2yr'!E37+'PLANT OPER MAIN 2yr'!E37+'SCHOLAR FELLOW 2yr'!E37+'All Other 2yr'!E37)-E37</f>
        <v>0</v>
      </c>
      <c r="AH37" s="75">
        <f>('INSTRUCTION-2YR'!F37+'RESEARCH 2yr'!F37+'PUBLIC SERVICE 2yr'!F37+'ASptISptSSv 2yr'!F37+'PLANT OPER MAIN 2yr'!F37+'SCHOLAR FELLOW 2yr'!F37+'All Other 2yr'!F37)-F37</f>
        <v>0</v>
      </c>
      <c r="AI37" s="75">
        <f>('INSTRUCTION-2YR'!G37+'RESEARCH 2yr'!G37+'PUBLIC SERVICE 2yr'!G37+'ASptISptSSv 2yr'!G37+'PLANT OPER MAIN 2yr'!G37+'SCHOLAR FELLOW 2yr'!G37+'All Other 2yr'!G37)-G37</f>
        <v>0</v>
      </c>
      <c r="AJ37" s="75">
        <f>('INSTRUCTION-2YR'!H37+'RESEARCH 2yr'!H37+'PUBLIC SERVICE 2yr'!H37+'ASptISptSSv 2yr'!H37+'PLANT OPER MAIN 2yr'!H37+'SCHOLAR FELLOW 2yr'!H37+'All Other 2yr'!H37)-H37</f>
        <v>0</v>
      </c>
      <c r="AK37" s="75">
        <f>('INSTRUCTION-2YR'!I37+'RESEARCH 2yr'!I37+'PUBLIC SERVICE 2yr'!I37+'ASptISptSSv 2yr'!I37+'PLANT OPER MAIN 2yr'!I37+'SCHOLAR FELLOW 2yr'!I37+'All Other 2yr'!I37)-I37</f>
        <v>0</v>
      </c>
      <c r="AL37" s="75">
        <f>('INSTRUCTION-2YR'!J37+'RESEARCH 2yr'!J37+'PUBLIC SERVICE 2yr'!J37+'ASptISptSSv 2yr'!J37+'PLANT OPER MAIN 2yr'!J37+'SCHOLAR FELLOW 2yr'!J37+'All Other 2yr'!J37)-J37</f>
        <v>0</v>
      </c>
      <c r="AM37" s="75">
        <f>('INSTRUCTION-2YR'!K37+'RESEARCH 2yr'!K37+'PUBLIC SERVICE 2yr'!K37+'ASptISptSSv 2yr'!K37+'PLANT OPER MAIN 2yr'!K37+'SCHOLAR FELLOW 2yr'!K37+'All Other 2yr'!K37)-K37</f>
        <v>0</v>
      </c>
      <c r="AN37" s="75">
        <f>('INSTRUCTION-2YR'!L37+'RESEARCH 2yr'!L37+'PUBLIC SERVICE 2yr'!L37+'ASptISptSSv 2yr'!L37+'PLANT OPER MAIN 2yr'!L37+'SCHOLAR FELLOW 2yr'!L37+'All Other 2yr'!L37)-L37</f>
        <v>0</v>
      </c>
      <c r="AO37" s="75">
        <f>('INSTRUCTION-2YR'!M37+'RESEARCH 2yr'!M37+'PUBLIC SERVICE 2yr'!M37+'ASptISptSSv 2yr'!M37+'PLANT OPER MAIN 2yr'!M37+'SCHOLAR FELLOW 2yr'!M37+'All Other 2yr'!M37)-M37</f>
        <v>0</v>
      </c>
      <c r="AP37" s="75">
        <f>('INSTRUCTION-2YR'!N37+'RESEARCH 2yr'!N37+'PUBLIC SERVICE 2yr'!N37+'ASptISptSSv 2yr'!N37+'PLANT OPER MAIN 2yr'!N37+'SCHOLAR FELLOW 2yr'!N37+'All Other 2yr'!N37)-N37</f>
        <v>0</v>
      </c>
      <c r="AQ37" s="75">
        <f>('INSTRUCTION-2YR'!O37+'RESEARCH 2yr'!O37+'PUBLIC SERVICE 2yr'!O37+'ASptISptSSv 2yr'!O37+'PLANT OPER MAIN 2yr'!O37+'SCHOLAR FELLOW 2yr'!O37+'All Other 2yr'!O37)-O37</f>
        <v>0</v>
      </c>
      <c r="AR37" s="75">
        <f>('INSTRUCTION-2YR'!P37+'RESEARCH 2yr'!P37+'PUBLIC SERVICE 2yr'!P37+'ASptISptSSv 2yr'!P37+'PLANT OPER MAIN 2yr'!P37+'SCHOLAR FELLOW 2yr'!P37+'All Other 2yr'!P37)-P37</f>
        <v>0</v>
      </c>
      <c r="AS37" s="75">
        <f>('INSTRUCTION-2YR'!Q37+'RESEARCH 2yr'!Q37+'PUBLIC SERVICE 2yr'!Q37+'ASptISptSSv 2yr'!Q37+'PLANT OPER MAIN 2yr'!Q37+'SCHOLAR FELLOW 2yr'!Q37+'All Other 2yr'!Q37)-Q37</f>
        <v>0</v>
      </c>
      <c r="AT37" s="75">
        <f>('INSTRUCTION-2YR'!R37+'RESEARCH 2yr'!R37+'PUBLIC SERVICE 2yr'!R37+'ASptISptSSv 2yr'!R37+'PLANT OPER MAIN 2yr'!R37+'SCHOLAR FELLOW 2yr'!R37+'All Other 2yr'!R37)-R37</f>
        <v>0</v>
      </c>
      <c r="AU37" s="75">
        <f>('INSTRUCTION-2YR'!S37+'RESEARCH 2yr'!S37+'PUBLIC SERVICE 2yr'!S37+'ASptISptSSv 2yr'!S37+'PLANT OPER MAIN 2yr'!S37+'SCHOLAR FELLOW 2yr'!S37+'All Other 2yr'!S37)-S37</f>
        <v>0</v>
      </c>
      <c r="AV37" s="75">
        <f>('INSTRUCTION-2YR'!T37+'RESEARCH 2yr'!T37+'PUBLIC SERVICE 2yr'!T37+'ASptISptSSv 2yr'!T37+'PLANT OPER MAIN 2yr'!T37+'SCHOLAR FELLOW 2yr'!T37+'All Other 2yr'!T37)-T37</f>
        <v>0</v>
      </c>
      <c r="AW37" s="75">
        <f>('INSTRUCTION-2YR'!U37+'RESEARCH 2yr'!U37+'PUBLIC SERVICE 2yr'!U37+'ASptISptSSv 2yr'!U37+'PLANT OPER MAIN 2yr'!U37+'SCHOLAR FELLOW 2yr'!U37+'All Other 2yr'!U37)-U37</f>
        <v>0</v>
      </c>
      <c r="AX37" s="75">
        <f>('INSTRUCTION-2YR'!V37+'RESEARCH 2yr'!V37+'PUBLIC SERVICE 2yr'!V37+'ASptISptSSv 2yr'!V37+'PLANT OPER MAIN 2yr'!V37+'SCHOLAR FELLOW 2yr'!V37+'All Other 2yr'!V37)-V37</f>
        <v>0</v>
      </c>
      <c r="AY37" s="75">
        <f>('INSTRUCTION-2YR'!W37+'RESEARCH 2yr'!W37+'PUBLIC SERVICE 2yr'!W37+'ASptISptSSv 2yr'!W37+'PLANT OPER MAIN 2yr'!W37+'SCHOLAR FELLOW 2yr'!W37+'All Other 2yr'!W37)-W37</f>
        <v>0</v>
      </c>
      <c r="AZ37" s="75">
        <f>('INSTRUCTION-2YR'!X37+'RESEARCH 2yr'!X37+'PUBLIC SERVICE 2yr'!X37+'ASptISptSSv 2yr'!X37+'PLANT OPER MAIN 2yr'!X37+'SCHOLAR FELLOW 2yr'!X37+'All Other 2yr'!X37)-X37</f>
        <v>0</v>
      </c>
      <c r="BA37" s="75">
        <f>('INSTRUCTION-2YR'!Y37+'RESEARCH 2yr'!Y37+'PUBLIC SERVICE 2yr'!Y37+'ASptISptSSv 2yr'!Y37+'PLANT OPER MAIN 2yr'!Y37+'SCHOLAR FELLOW 2yr'!Y37+'All Other 2yr'!Y37)-Y37</f>
        <v>0</v>
      </c>
      <c r="BB37" s="75">
        <f>('INSTRUCTION-2YR'!Z37+'RESEARCH 2yr'!Z37+'PUBLIC SERVICE 2yr'!Z37+'ASptISptSSv 2yr'!Z37+'PLANT OPER MAIN 2yr'!Z37+'SCHOLAR FELLOW 2yr'!Z37+'All Other 2yr'!Z37)-Z37</f>
        <v>0</v>
      </c>
      <c r="BC37" s="75">
        <f>('INSTRUCTION-2YR'!AA37+'RESEARCH 2yr'!AA37+'PUBLIC SERVICE 2yr'!AA37+'ASptISptSSv 2yr'!AA37+'PLANT OPER MAIN 2yr'!AA37+'SCHOLAR FELLOW 2yr'!AA37+'All Other 2yr'!AA37)-AA37</f>
        <v>0</v>
      </c>
      <c r="BD37" s="75">
        <f>('INSTRUCTION-2YR'!AB37+'RESEARCH 2yr'!AB37+'PUBLIC SERVICE 2yr'!AB37+'ASptISptSSv 2yr'!AB37+'PLANT OPER MAIN 2yr'!AB37+'SCHOLAR FELLOW 2yr'!AB37+'All Other 2yr'!AB37)-AB37</f>
        <v>0</v>
      </c>
      <c r="BE37" s="75">
        <f>('INSTRUCTION-2YR'!AC37+'RESEARCH 2yr'!AC37+'PUBLIC SERVICE 2yr'!AC37+'ASptISptSSv 2yr'!AC37+'PLANT OPER MAIN 2yr'!AC37+'SCHOLAR FELLOW 2yr'!AC37+'All Other 2yr'!AC37)-AC37</f>
        <v>0</v>
      </c>
    </row>
    <row r="38" spans="1:57">
      <c r="A38" s="1" t="s">
        <v>115</v>
      </c>
      <c r="F38" s="42">
        <v>511025.64</v>
      </c>
      <c r="I38" s="1">
        <v>677485.38100000005</v>
      </c>
      <c r="K38" s="1">
        <v>791166.17807000002</v>
      </c>
      <c r="L38" s="1">
        <v>948229.98</v>
      </c>
      <c r="M38" s="1">
        <v>1071851.7479999999</v>
      </c>
      <c r="N38" s="1">
        <v>1098175.9669999999</v>
      </c>
      <c r="O38" s="1">
        <v>1173529.611</v>
      </c>
      <c r="P38" s="1">
        <v>1317011.3189999999</v>
      </c>
      <c r="Q38" s="1">
        <v>1379717.9439999999</v>
      </c>
      <c r="R38" s="1">
        <v>1415428.655</v>
      </c>
      <c r="S38" s="1">
        <v>1277729.504</v>
      </c>
      <c r="T38" s="1">
        <v>1396505.426</v>
      </c>
      <c r="U38" s="1">
        <v>1690458.7660000001</v>
      </c>
      <c r="V38" s="1">
        <v>1798259.44</v>
      </c>
      <c r="W38" s="1">
        <v>1929269.5160000001</v>
      </c>
      <c r="X38" s="1">
        <v>1909230.379</v>
      </c>
      <c r="Y38" s="1">
        <v>1510719.2679999999</v>
      </c>
      <c r="Z38" s="1">
        <v>1539961.89</v>
      </c>
      <c r="AA38" s="1">
        <v>1549907.58</v>
      </c>
      <c r="AB38" s="1">
        <v>1983808.987</v>
      </c>
      <c r="AC38" s="1">
        <v>2087138.81</v>
      </c>
      <c r="AD38" s="75">
        <f>('INSTRUCTION-2YR'!B38+'RESEARCH 2yr'!B38+'PUBLIC SERVICE 2yr'!B38+'ASptISptSSv 2yr'!B38+'PLANT OPER MAIN 2yr'!B38+'SCHOLAR FELLOW 2yr'!B38+'All Other 2yr'!B38)-B38</f>
        <v>0</v>
      </c>
      <c r="AE38" s="75">
        <f>('INSTRUCTION-2YR'!C38+'RESEARCH 2yr'!C38+'PUBLIC SERVICE 2yr'!C38+'ASptISptSSv 2yr'!C38+'PLANT OPER MAIN 2yr'!C38+'SCHOLAR FELLOW 2yr'!C38+'All Other 2yr'!C38)-C38</f>
        <v>0</v>
      </c>
      <c r="AF38" s="75">
        <f>('INSTRUCTION-2YR'!D38+'RESEARCH 2yr'!D38+'PUBLIC SERVICE 2yr'!D38+'ASptISptSSv 2yr'!D38+'PLANT OPER MAIN 2yr'!D38+'SCHOLAR FELLOW 2yr'!D38+'All Other 2yr'!D38)-D38</f>
        <v>0</v>
      </c>
      <c r="AG38" s="75">
        <f>('INSTRUCTION-2YR'!E38+'RESEARCH 2yr'!E38+'PUBLIC SERVICE 2yr'!E38+'ASptISptSSv 2yr'!E38+'PLANT OPER MAIN 2yr'!E38+'SCHOLAR FELLOW 2yr'!E38+'All Other 2yr'!E38)-E38</f>
        <v>0</v>
      </c>
      <c r="AH38" s="75">
        <f>('INSTRUCTION-2YR'!F38+'RESEARCH 2yr'!F38+'PUBLIC SERVICE 2yr'!F38+'ASptISptSSv 2yr'!F38+'PLANT OPER MAIN 2yr'!F38+'SCHOLAR FELLOW 2yr'!F38+'All Other 2yr'!F38)-F38</f>
        <v>0</v>
      </c>
      <c r="AI38" s="75">
        <f>('INSTRUCTION-2YR'!G38+'RESEARCH 2yr'!G38+'PUBLIC SERVICE 2yr'!G38+'ASptISptSSv 2yr'!G38+'PLANT OPER MAIN 2yr'!G38+'SCHOLAR FELLOW 2yr'!G38+'All Other 2yr'!G38)-G38</f>
        <v>0</v>
      </c>
      <c r="AJ38" s="75">
        <f>('INSTRUCTION-2YR'!H38+'RESEARCH 2yr'!H38+'PUBLIC SERVICE 2yr'!H38+'ASptISptSSv 2yr'!H38+'PLANT OPER MAIN 2yr'!H38+'SCHOLAR FELLOW 2yr'!H38+'All Other 2yr'!H38)-H38</f>
        <v>0</v>
      </c>
      <c r="AK38" s="75">
        <f>('INSTRUCTION-2YR'!I38+'RESEARCH 2yr'!I38+'PUBLIC SERVICE 2yr'!I38+'ASptISptSSv 2yr'!I38+'PLANT OPER MAIN 2yr'!I38+'SCHOLAR FELLOW 2yr'!I38+'All Other 2yr'!I38)-I38</f>
        <v>0</v>
      </c>
      <c r="AL38" s="75">
        <f>('INSTRUCTION-2YR'!J38+'RESEARCH 2yr'!J38+'PUBLIC SERVICE 2yr'!J38+'ASptISptSSv 2yr'!J38+'PLANT OPER MAIN 2yr'!J38+'SCHOLAR FELLOW 2yr'!J38+'All Other 2yr'!J38)-J38</f>
        <v>0</v>
      </c>
      <c r="AM38" s="75">
        <f>('INSTRUCTION-2YR'!K38+'RESEARCH 2yr'!K38+'PUBLIC SERVICE 2yr'!K38+'ASptISptSSv 2yr'!K38+'PLANT OPER MAIN 2yr'!K38+'SCHOLAR FELLOW 2yr'!K38+'All Other 2yr'!K38)-K38</f>
        <v>0</v>
      </c>
      <c r="AN38" s="75">
        <f>('INSTRUCTION-2YR'!L38+'RESEARCH 2yr'!L38+'PUBLIC SERVICE 2yr'!L38+'ASptISptSSv 2yr'!L38+'PLANT OPER MAIN 2yr'!L38+'SCHOLAR FELLOW 2yr'!L38+'All Other 2yr'!L38)-L38</f>
        <v>0</v>
      </c>
      <c r="AO38" s="75">
        <f>('INSTRUCTION-2YR'!M38+'RESEARCH 2yr'!M38+'PUBLIC SERVICE 2yr'!M38+'ASptISptSSv 2yr'!M38+'PLANT OPER MAIN 2yr'!M38+'SCHOLAR FELLOW 2yr'!M38+'All Other 2yr'!M38)-M38</f>
        <v>0</v>
      </c>
      <c r="AP38" s="75">
        <f>('INSTRUCTION-2YR'!N38+'RESEARCH 2yr'!N38+'PUBLIC SERVICE 2yr'!N38+'ASptISptSSv 2yr'!N38+'PLANT OPER MAIN 2yr'!N38+'SCHOLAR FELLOW 2yr'!N38+'All Other 2yr'!N38)-N38</f>
        <v>0</v>
      </c>
      <c r="AQ38" s="75">
        <f>('INSTRUCTION-2YR'!O38+'RESEARCH 2yr'!O38+'PUBLIC SERVICE 2yr'!O38+'ASptISptSSv 2yr'!O38+'PLANT OPER MAIN 2yr'!O38+'SCHOLAR FELLOW 2yr'!O38+'All Other 2yr'!O38)-O38</f>
        <v>0</v>
      </c>
      <c r="AR38" s="75">
        <f>('INSTRUCTION-2YR'!P38+'RESEARCH 2yr'!P38+'PUBLIC SERVICE 2yr'!P38+'ASptISptSSv 2yr'!P38+'PLANT OPER MAIN 2yr'!P38+'SCHOLAR FELLOW 2yr'!P38+'All Other 2yr'!P38)-P38</f>
        <v>0</v>
      </c>
      <c r="AS38" s="75">
        <f>('INSTRUCTION-2YR'!Q38+'RESEARCH 2yr'!Q38+'PUBLIC SERVICE 2yr'!Q38+'ASptISptSSv 2yr'!Q38+'PLANT OPER MAIN 2yr'!Q38+'SCHOLAR FELLOW 2yr'!Q38+'All Other 2yr'!Q38)-Q38</f>
        <v>0</v>
      </c>
      <c r="AT38" s="75">
        <f>('INSTRUCTION-2YR'!R38+'RESEARCH 2yr'!R38+'PUBLIC SERVICE 2yr'!R38+'ASptISptSSv 2yr'!R38+'PLANT OPER MAIN 2yr'!R38+'SCHOLAR FELLOW 2yr'!R38+'All Other 2yr'!R38)-R38</f>
        <v>0</v>
      </c>
      <c r="AU38" s="75">
        <f>('INSTRUCTION-2YR'!S38+'RESEARCH 2yr'!S38+'PUBLIC SERVICE 2yr'!S38+'ASptISptSSv 2yr'!S38+'PLANT OPER MAIN 2yr'!S38+'SCHOLAR FELLOW 2yr'!S38+'All Other 2yr'!S38)-S38</f>
        <v>0</v>
      </c>
      <c r="AV38" s="75">
        <f>('INSTRUCTION-2YR'!T38+'RESEARCH 2yr'!T38+'PUBLIC SERVICE 2yr'!T38+'ASptISptSSv 2yr'!T38+'PLANT OPER MAIN 2yr'!T38+'SCHOLAR FELLOW 2yr'!T38+'All Other 2yr'!T38)-T38</f>
        <v>0</v>
      </c>
      <c r="AW38" s="75">
        <f>('INSTRUCTION-2YR'!U38+'RESEARCH 2yr'!U38+'PUBLIC SERVICE 2yr'!U38+'ASptISptSSv 2yr'!U38+'PLANT OPER MAIN 2yr'!U38+'SCHOLAR FELLOW 2yr'!U38+'All Other 2yr'!U38)-U38</f>
        <v>0</v>
      </c>
      <c r="AX38" s="75">
        <f>('INSTRUCTION-2YR'!V38+'RESEARCH 2yr'!V38+'PUBLIC SERVICE 2yr'!V38+'ASptISptSSv 2yr'!V38+'PLANT OPER MAIN 2yr'!V38+'SCHOLAR FELLOW 2yr'!V38+'All Other 2yr'!V38)-V38</f>
        <v>0</v>
      </c>
      <c r="AY38" s="75">
        <f>('INSTRUCTION-2YR'!W38+'RESEARCH 2yr'!W38+'PUBLIC SERVICE 2yr'!W38+'ASptISptSSv 2yr'!W38+'PLANT OPER MAIN 2yr'!W38+'SCHOLAR FELLOW 2yr'!W38+'All Other 2yr'!W38)-W38</f>
        <v>0</v>
      </c>
      <c r="AZ38" s="75">
        <f>('INSTRUCTION-2YR'!X38+'RESEARCH 2yr'!X38+'PUBLIC SERVICE 2yr'!X38+'ASptISptSSv 2yr'!X38+'PLANT OPER MAIN 2yr'!X38+'SCHOLAR FELLOW 2yr'!X38+'All Other 2yr'!X38)-X38</f>
        <v>0</v>
      </c>
      <c r="BA38" s="75">
        <f>('INSTRUCTION-2YR'!Y38+'RESEARCH 2yr'!Y38+'PUBLIC SERVICE 2yr'!Y38+'ASptISptSSv 2yr'!Y38+'PLANT OPER MAIN 2yr'!Y38+'SCHOLAR FELLOW 2yr'!Y38+'All Other 2yr'!Y38)-Y38</f>
        <v>0</v>
      </c>
      <c r="BB38" s="75">
        <f>('INSTRUCTION-2YR'!Z38+'RESEARCH 2yr'!Z38+'PUBLIC SERVICE 2yr'!Z38+'ASptISptSSv 2yr'!Z38+'PLANT OPER MAIN 2yr'!Z38+'SCHOLAR FELLOW 2yr'!Z38+'All Other 2yr'!Z38)-Z38</f>
        <v>0</v>
      </c>
      <c r="BC38" s="75">
        <f>('INSTRUCTION-2YR'!AA38+'RESEARCH 2yr'!AA38+'PUBLIC SERVICE 2yr'!AA38+'ASptISptSSv 2yr'!AA38+'PLANT OPER MAIN 2yr'!AA38+'SCHOLAR FELLOW 2yr'!AA38+'All Other 2yr'!AA38)-AA38</f>
        <v>0</v>
      </c>
      <c r="BD38" s="75">
        <f>('INSTRUCTION-2YR'!AB38+'RESEARCH 2yr'!AB38+'PUBLIC SERVICE 2yr'!AB38+'ASptISptSSv 2yr'!AB38+'PLANT OPER MAIN 2yr'!AB38+'SCHOLAR FELLOW 2yr'!AB38+'All Other 2yr'!AB38)-AB38</f>
        <v>0</v>
      </c>
      <c r="BE38" s="75">
        <f>('INSTRUCTION-2YR'!AC38+'RESEARCH 2yr'!AC38+'PUBLIC SERVICE 2yr'!AC38+'ASptISptSSv 2yr'!AC38+'PLANT OPER MAIN 2yr'!AC38+'SCHOLAR FELLOW 2yr'!AC38+'All Other 2yr'!AC38)-AC38</f>
        <v>0</v>
      </c>
    </row>
    <row r="39" spans="1:57">
      <c r="A39" s="24" t="s">
        <v>117</v>
      </c>
      <c r="B39" s="24"/>
      <c r="C39" s="24"/>
      <c r="D39" s="24"/>
      <c r="E39" s="24"/>
      <c r="F39" s="45">
        <v>83610.176000000007</v>
      </c>
      <c r="G39" s="24"/>
      <c r="H39" s="24"/>
      <c r="I39" s="24">
        <v>83880.491999999998</v>
      </c>
      <c r="J39" s="24"/>
      <c r="K39" s="24">
        <v>87501.766000000003</v>
      </c>
      <c r="L39" s="24">
        <v>98254.82</v>
      </c>
      <c r="M39" s="24">
        <v>105341.41499999999</v>
      </c>
      <c r="N39" s="24">
        <v>124657.099</v>
      </c>
      <c r="O39" s="24">
        <v>137398.69500000001</v>
      </c>
      <c r="P39" s="24">
        <v>149250.533</v>
      </c>
      <c r="Q39" s="24">
        <v>153824.75200000001</v>
      </c>
      <c r="R39" s="24">
        <v>165634.78200000001</v>
      </c>
      <c r="S39" s="24">
        <v>182299.98199999999</v>
      </c>
      <c r="T39" s="24">
        <v>212489.70499999999</v>
      </c>
      <c r="U39" s="24">
        <v>228931.35200000001</v>
      </c>
      <c r="V39" s="24">
        <v>235065.571</v>
      </c>
      <c r="W39" s="24">
        <v>249146.772</v>
      </c>
      <c r="X39" s="24">
        <v>266532.19099999999</v>
      </c>
      <c r="Y39" s="24">
        <v>268757.42800000001</v>
      </c>
      <c r="Z39" s="24">
        <v>270141.07199999999</v>
      </c>
      <c r="AA39" s="24">
        <v>288181.89199999999</v>
      </c>
      <c r="AB39" s="24">
        <v>299655.17499999999</v>
      </c>
      <c r="AC39" s="24">
        <v>291605.17099999997</v>
      </c>
      <c r="AD39" s="75">
        <f>('INSTRUCTION-2YR'!B39+'RESEARCH 2yr'!B39+'PUBLIC SERVICE 2yr'!B39+'ASptISptSSv 2yr'!B39+'PLANT OPER MAIN 2yr'!B39+'SCHOLAR FELLOW 2yr'!B39+'All Other 2yr'!B39)-B39</f>
        <v>0</v>
      </c>
      <c r="AE39" s="75">
        <f>('INSTRUCTION-2YR'!C39+'RESEARCH 2yr'!C39+'PUBLIC SERVICE 2yr'!C39+'ASptISptSSv 2yr'!C39+'PLANT OPER MAIN 2yr'!C39+'SCHOLAR FELLOW 2yr'!C39+'All Other 2yr'!C39)-C39</f>
        <v>0</v>
      </c>
      <c r="AF39" s="75">
        <f>('INSTRUCTION-2YR'!D39+'RESEARCH 2yr'!D39+'PUBLIC SERVICE 2yr'!D39+'ASptISptSSv 2yr'!D39+'PLANT OPER MAIN 2yr'!D39+'SCHOLAR FELLOW 2yr'!D39+'All Other 2yr'!D39)-D39</f>
        <v>0</v>
      </c>
      <c r="AG39" s="75">
        <f>('INSTRUCTION-2YR'!E39+'RESEARCH 2yr'!E39+'PUBLIC SERVICE 2yr'!E39+'ASptISptSSv 2yr'!E39+'PLANT OPER MAIN 2yr'!E39+'SCHOLAR FELLOW 2yr'!E39+'All Other 2yr'!E39)-E39</f>
        <v>0</v>
      </c>
      <c r="AH39" s="75">
        <f>('INSTRUCTION-2YR'!F39+'RESEARCH 2yr'!F39+'PUBLIC SERVICE 2yr'!F39+'ASptISptSSv 2yr'!F39+'PLANT OPER MAIN 2yr'!F39+'SCHOLAR FELLOW 2yr'!F39+'All Other 2yr'!F39)-F39</f>
        <v>0</v>
      </c>
      <c r="AI39" s="75">
        <f>('INSTRUCTION-2YR'!G39+'RESEARCH 2yr'!G39+'PUBLIC SERVICE 2yr'!G39+'ASptISptSSv 2yr'!G39+'PLANT OPER MAIN 2yr'!G39+'SCHOLAR FELLOW 2yr'!G39+'All Other 2yr'!G39)-G39</f>
        <v>0</v>
      </c>
      <c r="AJ39" s="75">
        <f>('INSTRUCTION-2YR'!H39+'RESEARCH 2yr'!H39+'PUBLIC SERVICE 2yr'!H39+'ASptISptSSv 2yr'!H39+'PLANT OPER MAIN 2yr'!H39+'SCHOLAR FELLOW 2yr'!H39+'All Other 2yr'!H39)-H39</f>
        <v>0</v>
      </c>
      <c r="AK39" s="75">
        <f>('INSTRUCTION-2YR'!I39+'RESEARCH 2yr'!I39+'PUBLIC SERVICE 2yr'!I39+'ASptISptSSv 2yr'!I39+'PLANT OPER MAIN 2yr'!I39+'SCHOLAR FELLOW 2yr'!I39+'All Other 2yr'!I39)-I39</f>
        <v>0</v>
      </c>
      <c r="AL39" s="75">
        <f>('INSTRUCTION-2YR'!J39+'RESEARCH 2yr'!J39+'PUBLIC SERVICE 2yr'!J39+'ASptISptSSv 2yr'!J39+'PLANT OPER MAIN 2yr'!J39+'SCHOLAR FELLOW 2yr'!J39+'All Other 2yr'!J39)-J39</f>
        <v>0</v>
      </c>
      <c r="AM39" s="75">
        <f>('INSTRUCTION-2YR'!K39+'RESEARCH 2yr'!K39+'PUBLIC SERVICE 2yr'!K39+'ASptISptSSv 2yr'!K39+'PLANT OPER MAIN 2yr'!K39+'SCHOLAR FELLOW 2yr'!K39+'All Other 2yr'!K39)-K39</f>
        <v>0</v>
      </c>
      <c r="AN39" s="75">
        <f>('INSTRUCTION-2YR'!L39+'RESEARCH 2yr'!L39+'PUBLIC SERVICE 2yr'!L39+'ASptISptSSv 2yr'!L39+'PLANT OPER MAIN 2yr'!L39+'SCHOLAR FELLOW 2yr'!L39+'All Other 2yr'!L39)-L39</f>
        <v>0</v>
      </c>
      <c r="AO39" s="75">
        <f>('INSTRUCTION-2YR'!M39+'RESEARCH 2yr'!M39+'PUBLIC SERVICE 2yr'!M39+'ASptISptSSv 2yr'!M39+'PLANT OPER MAIN 2yr'!M39+'SCHOLAR FELLOW 2yr'!M39+'All Other 2yr'!M39)-M39</f>
        <v>0</v>
      </c>
      <c r="AP39" s="75">
        <f>('INSTRUCTION-2YR'!N39+'RESEARCH 2yr'!N39+'PUBLIC SERVICE 2yr'!N39+'ASptISptSSv 2yr'!N39+'PLANT OPER MAIN 2yr'!N39+'SCHOLAR FELLOW 2yr'!N39+'All Other 2yr'!N39)-N39</f>
        <v>0</v>
      </c>
      <c r="AQ39" s="75">
        <f>('INSTRUCTION-2YR'!O39+'RESEARCH 2yr'!O39+'PUBLIC SERVICE 2yr'!O39+'ASptISptSSv 2yr'!O39+'PLANT OPER MAIN 2yr'!O39+'SCHOLAR FELLOW 2yr'!O39+'All Other 2yr'!O39)-O39</f>
        <v>0</v>
      </c>
      <c r="AR39" s="75">
        <f>('INSTRUCTION-2YR'!P39+'RESEARCH 2yr'!P39+'PUBLIC SERVICE 2yr'!P39+'ASptISptSSv 2yr'!P39+'PLANT OPER MAIN 2yr'!P39+'SCHOLAR FELLOW 2yr'!P39+'All Other 2yr'!P39)-P39</f>
        <v>0</v>
      </c>
      <c r="AS39" s="75">
        <f>('INSTRUCTION-2YR'!Q39+'RESEARCH 2yr'!Q39+'PUBLIC SERVICE 2yr'!Q39+'ASptISptSSv 2yr'!Q39+'PLANT OPER MAIN 2yr'!Q39+'SCHOLAR FELLOW 2yr'!Q39+'All Other 2yr'!Q39)-Q39</f>
        <v>0</v>
      </c>
      <c r="AT39" s="75">
        <f>('INSTRUCTION-2YR'!R39+'RESEARCH 2yr'!R39+'PUBLIC SERVICE 2yr'!R39+'ASptISptSSv 2yr'!R39+'PLANT OPER MAIN 2yr'!R39+'SCHOLAR FELLOW 2yr'!R39+'All Other 2yr'!R39)-R39</f>
        <v>0</v>
      </c>
      <c r="AU39" s="75">
        <f>('INSTRUCTION-2YR'!S39+'RESEARCH 2yr'!S39+'PUBLIC SERVICE 2yr'!S39+'ASptISptSSv 2yr'!S39+'PLANT OPER MAIN 2yr'!S39+'SCHOLAR FELLOW 2yr'!S39+'All Other 2yr'!S39)-S39</f>
        <v>0</v>
      </c>
      <c r="AV39" s="75">
        <f>('INSTRUCTION-2YR'!T39+'RESEARCH 2yr'!T39+'PUBLIC SERVICE 2yr'!T39+'ASptISptSSv 2yr'!T39+'PLANT OPER MAIN 2yr'!T39+'SCHOLAR FELLOW 2yr'!T39+'All Other 2yr'!T39)-T39</f>
        <v>0</v>
      </c>
      <c r="AW39" s="75">
        <f>('INSTRUCTION-2YR'!U39+'RESEARCH 2yr'!U39+'PUBLIC SERVICE 2yr'!U39+'ASptISptSSv 2yr'!U39+'PLANT OPER MAIN 2yr'!U39+'SCHOLAR FELLOW 2yr'!U39+'All Other 2yr'!U39)-U39</f>
        <v>0</v>
      </c>
      <c r="AX39" s="75">
        <f>('INSTRUCTION-2YR'!V39+'RESEARCH 2yr'!V39+'PUBLIC SERVICE 2yr'!V39+'ASptISptSSv 2yr'!V39+'PLANT OPER MAIN 2yr'!V39+'SCHOLAR FELLOW 2yr'!V39+'All Other 2yr'!V39)-V39</f>
        <v>0</v>
      </c>
      <c r="AY39" s="75">
        <f>('INSTRUCTION-2YR'!W39+'RESEARCH 2yr'!W39+'PUBLIC SERVICE 2yr'!W39+'ASptISptSSv 2yr'!W39+'PLANT OPER MAIN 2yr'!W39+'SCHOLAR FELLOW 2yr'!W39+'All Other 2yr'!W39)-W39</f>
        <v>0</v>
      </c>
      <c r="AZ39" s="75">
        <f>('INSTRUCTION-2YR'!X39+'RESEARCH 2yr'!X39+'PUBLIC SERVICE 2yr'!X39+'ASptISptSSv 2yr'!X39+'PLANT OPER MAIN 2yr'!X39+'SCHOLAR FELLOW 2yr'!X39+'All Other 2yr'!X39)-X39</f>
        <v>0</v>
      </c>
      <c r="BA39" s="75">
        <f>('INSTRUCTION-2YR'!Y39+'RESEARCH 2yr'!Y39+'PUBLIC SERVICE 2yr'!Y39+'ASptISptSSv 2yr'!Y39+'PLANT OPER MAIN 2yr'!Y39+'SCHOLAR FELLOW 2yr'!Y39+'All Other 2yr'!Y39)-Y39</f>
        <v>0</v>
      </c>
      <c r="BB39" s="75">
        <f>('INSTRUCTION-2YR'!Z39+'RESEARCH 2yr'!Z39+'PUBLIC SERVICE 2yr'!Z39+'ASptISptSSv 2yr'!Z39+'PLANT OPER MAIN 2yr'!Z39+'SCHOLAR FELLOW 2yr'!Z39+'All Other 2yr'!Z39)-Z39</f>
        <v>0</v>
      </c>
      <c r="BC39" s="75">
        <f>('INSTRUCTION-2YR'!AA39+'RESEARCH 2yr'!AA39+'PUBLIC SERVICE 2yr'!AA39+'ASptISptSSv 2yr'!AA39+'PLANT OPER MAIN 2yr'!AA39+'SCHOLAR FELLOW 2yr'!AA39+'All Other 2yr'!AA39)-AA39</f>
        <v>0</v>
      </c>
      <c r="BD39" s="75">
        <f>('INSTRUCTION-2YR'!AB39+'RESEARCH 2yr'!AB39+'PUBLIC SERVICE 2yr'!AB39+'ASptISptSSv 2yr'!AB39+'PLANT OPER MAIN 2yr'!AB39+'SCHOLAR FELLOW 2yr'!AB39+'All Other 2yr'!AB39)-AB39</f>
        <v>0</v>
      </c>
      <c r="BE39" s="75">
        <f>('INSTRUCTION-2YR'!AC39+'RESEARCH 2yr'!AC39+'PUBLIC SERVICE 2yr'!AC39+'ASptISptSSv 2yr'!AC39+'PLANT OPER MAIN 2yr'!AC39+'SCHOLAR FELLOW 2yr'!AC39+'All Other 2yr'!AC39)-AC39</f>
        <v>0</v>
      </c>
    </row>
    <row r="40" spans="1:57">
      <c r="A40" s="7" t="s">
        <v>121</v>
      </c>
      <c r="B40" s="48">
        <f>SUM(B42:B53)</f>
        <v>0</v>
      </c>
      <c r="C40" s="48">
        <f t="shared" ref="C40:AC40" si="13">SUM(C42:C53)</f>
        <v>0</v>
      </c>
      <c r="D40" s="48">
        <f t="shared" si="13"/>
        <v>0</v>
      </c>
      <c r="E40" s="48">
        <f t="shared" si="13"/>
        <v>0</v>
      </c>
      <c r="F40" s="48">
        <f t="shared" si="13"/>
        <v>4259626.72</v>
      </c>
      <c r="G40" s="48">
        <f t="shared" si="13"/>
        <v>0</v>
      </c>
      <c r="H40" s="48">
        <f t="shared" si="13"/>
        <v>0</v>
      </c>
      <c r="I40" s="48">
        <f t="shared" si="13"/>
        <v>4820534.1730000004</v>
      </c>
      <c r="J40" s="48">
        <f t="shared" si="13"/>
        <v>0</v>
      </c>
      <c r="K40" s="48">
        <f t="shared" si="13"/>
        <v>5609860.1867300002</v>
      </c>
      <c r="L40" s="48">
        <f t="shared" si="13"/>
        <v>6424138.4040000001</v>
      </c>
      <c r="M40" s="48">
        <f t="shared" si="13"/>
        <v>6939268.0340000009</v>
      </c>
      <c r="N40" s="48">
        <f t="shared" si="13"/>
        <v>7448520.0999999996</v>
      </c>
      <c r="O40" s="48">
        <f t="shared" si="13"/>
        <v>7926938.9130000006</v>
      </c>
      <c r="P40" s="48">
        <f t="shared" si="13"/>
        <v>8483175.4470000006</v>
      </c>
      <c r="Q40" s="48">
        <f t="shared" si="13"/>
        <v>8647448.5929999985</v>
      </c>
      <c r="R40" s="48">
        <f t="shared" si="13"/>
        <v>9066584.3829999994</v>
      </c>
      <c r="S40" s="48">
        <f t="shared" si="13"/>
        <v>9338104.6229999997</v>
      </c>
      <c r="T40" s="48">
        <f t="shared" si="13"/>
        <v>9894923.9419999998</v>
      </c>
      <c r="U40" s="48">
        <f t="shared" si="13"/>
        <v>11053874.666999999</v>
      </c>
      <c r="V40" s="48">
        <f t="shared" si="13"/>
        <v>12479881.108000003</v>
      </c>
      <c r="W40" s="48">
        <f t="shared" si="13"/>
        <v>13633926.005000001</v>
      </c>
      <c r="X40" s="48">
        <f t="shared" si="13"/>
        <v>13632667.156000001</v>
      </c>
      <c r="Y40" s="48">
        <f t="shared" si="13"/>
        <v>10556927.597000001</v>
      </c>
      <c r="Z40" s="48">
        <f t="shared" si="13"/>
        <v>10653037.125999998</v>
      </c>
      <c r="AA40" s="48">
        <f t="shared" si="13"/>
        <v>10535388.676000001</v>
      </c>
      <c r="AB40" s="48">
        <f t="shared" si="13"/>
        <v>13739985.577</v>
      </c>
      <c r="AC40" s="48">
        <f t="shared" si="13"/>
        <v>13894922.088</v>
      </c>
      <c r="AD40" s="75">
        <f>('INSTRUCTION-2YR'!B40+'RESEARCH 2yr'!B40+'PUBLIC SERVICE 2yr'!B40+'ASptISptSSv 2yr'!B40+'PLANT OPER MAIN 2yr'!B40+'SCHOLAR FELLOW 2yr'!B40+'All Other 2yr'!B40)-B40</f>
        <v>0</v>
      </c>
      <c r="AE40" s="75">
        <f>('INSTRUCTION-2YR'!C40+'RESEARCH 2yr'!C40+'PUBLIC SERVICE 2yr'!C40+'ASptISptSSv 2yr'!C40+'PLANT OPER MAIN 2yr'!C40+'SCHOLAR FELLOW 2yr'!C40+'All Other 2yr'!C40)-C40</f>
        <v>0</v>
      </c>
      <c r="AF40" s="75">
        <f>('INSTRUCTION-2YR'!D40+'RESEARCH 2yr'!D40+'PUBLIC SERVICE 2yr'!D40+'ASptISptSSv 2yr'!D40+'PLANT OPER MAIN 2yr'!D40+'SCHOLAR FELLOW 2yr'!D40+'All Other 2yr'!D40)-D40</f>
        <v>0</v>
      </c>
      <c r="AG40" s="75">
        <f>('INSTRUCTION-2YR'!E40+'RESEARCH 2yr'!E40+'PUBLIC SERVICE 2yr'!E40+'ASptISptSSv 2yr'!E40+'PLANT OPER MAIN 2yr'!E40+'SCHOLAR FELLOW 2yr'!E40+'All Other 2yr'!E40)-E40</f>
        <v>0</v>
      </c>
      <c r="AH40" s="75">
        <f>('INSTRUCTION-2YR'!F40+'RESEARCH 2yr'!F40+'PUBLIC SERVICE 2yr'!F40+'ASptISptSSv 2yr'!F40+'PLANT OPER MAIN 2yr'!F40+'SCHOLAR FELLOW 2yr'!F40+'All Other 2yr'!F40)-F40</f>
        <v>0</v>
      </c>
      <c r="AI40" s="75">
        <f>('INSTRUCTION-2YR'!G40+'RESEARCH 2yr'!G40+'PUBLIC SERVICE 2yr'!G40+'ASptISptSSv 2yr'!G40+'PLANT OPER MAIN 2yr'!G40+'SCHOLAR FELLOW 2yr'!G40+'All Other 2yr'!G40)-G40</f>
        <v>0</v>
      </c>
      <c r="AJ40" s="75">
        <f>('INSTRUCTION-2YR'!H40+'RESEARCH 2yr'!H40+'PUBLIC SERVICE 2yr'!H40+'ASptISptSSv 2yr'!H40+'PLANT OPER MAIN 2yr'!H40+'SCHOLAR FELLOW 2yr'!H40+'All Other 2yr'!H40)-H40</f>
        <v>0</v>
      </c>
      <c r="AK40" s="75">
        <f>('INSTRUCTION-2YR'!I40+'RESEARCH 2yr'!I40+'PUBLIC SERVICE 2yr'!I40+'ASptISptSSv 2yr'!I40+'PLANT OPER MAIN 2yr'!I40+'SCHOLAR FELLOW 2yr'!I40+'All Other 2yr'!I40)-I40</f>
        <v>0</v>
      </c>
      <c r="AL40" s="75">
        <f>('INSTRUCTION-2YR'!J40+'RESEARCH 2yr'!J40+'PUBLIC SERVICE 2yr'!J40+'ASptISptSSv 2yr'!J40+'PLANT OPER MAIN 2yr'!J40+'SCHOLAR FELLOW 2yr'!J40+'All Other 2yr'!J40)-J40</f>
        <v>0</v>
      </c>
      <c r="AM40" s="75">
        <f>('INSTRUCTION-2YR'!K40+'RESEARCH 2yr'!K40+'PUBLIC SERVICE 2yr'!K40+'ASptISptSSv 2yr'!K40+'PLANT OPER MAIN 2yr'!K40+'SCHOLAR FELLOW 2yr'!K40+'All Other 2yr'!K40)-K40</f>
        <v>0</v>
      </c>
      <c r="AN40" s="75">
        <f>('INSTRUCTION-2YR'!L40+'RESEARCH 2yr'!L40+'PUBLIC SERVICE 2yr'!L40+'ASptISptSSv 2yr'!L40+'PLANT OPER MAIN 2yr'!L40+'SCHOLAR FELLOW 2yr'!L40+'All Other 2yr'!L40)-L40</f>
        <v>0</v>
      </c>
      <c r="AO40" s="75">
        <f>('INSTRUCTION-2YR'!M40+'RESEARCH 2yr'!M40+'PUBLIC SERVICE 2yr'!M40+'ASptISptSSv 2yr'!M40+'PLANT OPER MAIN 2yr'!M40+'SCHOLAR FELLOW 2yr'!M40+'All Other 2yr'!M40)-M40</f>
        <v>0</v>
      </c>
      <c r="AP40" s="75">
        <f>('INSTRUCTION-2YR'!N40+'RESEARCH 2yr'!N40+'PUBLIC SERVICE 2yr'!N40+'ASptISptSSv 2yr'!N40+'PLANT OPER MAIN 2yr'!N40+'SCHOLAR FELLOW 2yr'!N40+'All Other 2yr'!N40)-N40</f>
        <v>0</v>
      </c>
      <c r="AQ40" s="75">
        <f>('INSTRUCTION-2YR'!O40+'RESEARCH 2yr'!O40+'PUBLIC SERVICE 2yr'!O40+'ASptISptSSv 2yr'!O40+'PLANT OPER MAIN 2yr'!O40+'SCHOLAR FELLOW 2yr'!O40+'All Other 2yr'!O40)-O40</f>
        <v>0</v>
      </c>
      <c r="AR40" s="75">
        <f>('INSTRUCTION-2YR'!P40+'RESEARCH 2yr'!P40+'PUBLIC SERVICE 2yr'!P40+'ASptISptSSv 2yr'!P40+'PLANT OPER MAIN 2yr'!P40+'SCHOLAR FELLOW 2yr'!P40+'All Other 2yr'!P40)-P40</f>
        <v>0</v>
      </c>
      <c r="AS40" s="75">
        <f>('INSTRUCTION-2YR'!Q40+'RESEARCH 2yr'!Q40+'PUBLIC SERVICE 2yr'!Q40+'ASptISptSSv 2yr'!Q40+'PLANT OPER MAIN 2yr'!Q40+'SCHOLAR FELLOW 2yr'!Q40+'All Other 2yr'!Q40)-Q40</f>
        <v>0</v>
      </c>
      <c r="AT40" s="75">
        <f>('INSTRUCTION-2YR'!R40+'RESEARCH 2yr'!R40+'PUBLIC SERVICE 2yr'!R40+'ASptISptSSv 2yr'!R40+'PLANT OPER MAIN 2yr'!R40+'SCHOLAR FELLOW 2yr'!R40+'All Other 2yr'!R40)-R40</f>
        <v>0</v>
      </c>
      <c r="AU40" s="75">
        <f>('INSTRUCTION-2YR'!S40+'RESEARCH 2yr'!S40+'PUBLIC SERVICE 2yr'!S40+'ASptISptSSv 2yr'!S40+'PLANT OPER MAIN 2yr'!S40+'SCHOLAR FELLOW 2yr'!S40+'All Other 2yr'!S40)-S40</f>
        <v>0</v>
      </c>
      <c r="AV40" s="75">
        <f>('INSTRUCTION-2YR'!T40+'RESEARCH 2yr'!T40+'PUBLIC SERVICE 2yr'!T40+'ASptISptSSv 2yr'!T40+'PLANT OPER MAIN 2yr'!T40+'SCHOLAR FELLOW 2yr'!T40+'All Other 2yr'!T40)-T40</f>
        <v>0</v>
      </c>
      <c r="AW40" s="75">
        <f>('INSTRUCTION-2YR'!U40+'RESEARCH 2yr'!U40+'PUBLIC SERVICE 2yr'!U40+'ASptISptSSv 2yr'!U40+'PLANT OPER MAIN 2yr'!U40+'SCHOLAR FELLOW 2yr'!U40+'All Other 2yr'!U40)-U40</f>
        <v>0</v>
      </c>
      <c r="AX40" s="75">
        <f>('INSTRUCTION-2YR'!V40+'RESEARCH 2yr'!V40+'PUBLIC SERVICE 2yr'!V40+'ASptISptSSv 2yr'!V40+'PLANT OPER MAIN 2yr'!V40+'SCHOLAR FELLOW 2yr'!V40+'All Other 2yr'!V40)-V40</f>
        <v>0</v>
      </c>
      <c r="AY40" s="75">
        <f>('INSTRUCTION-2YR'!W40+'RESEARCH 2yr'!W40+'PUBLIC SERVICE 2yr'!W40+'ASptISptSSv 2yr'!W40+'PLANT OPER MAIN 2yr'!W40+'SCHOLAR FELLOW 2yr'!W40+'All Other 2yr'!W40)-W40</f>
        <v>0</v>
      </c>
      <c r="AZ40" s="75">
        <f>('INSTRUCTION-2YR'!X40+'RESEARCH 2yr'!X40+'PUBLIC SERVICE 2yr'!X40+'ASptISptSSv 2yr'!X40+'PLANT OPER MAIN 2yr'!X40+'SCHOLAR FELLOW 2yr'!X40+'All Other 2yr'!X40)-X40</f>
        <v>0</v>
      </c>
      <c r="BA40" s="75">
        <f>('INSTRUCTION-2YR'!Y40+'RESEARCH 2yr'!Y40+'PUBLIC SERVICE 2yr'!Y40+'ASptISptSSv 2yr'!Y40+'PLANT OPER MAIN 2yr'!Y40+'SCHOLAR FELLOW 2yr'!Y40+'All Other 2yr'!Y40)-Y40</f>
        <v>0</v>
      </c>
      <c r="BB40" s="75">
        <f>('INSTRUCTION-2YR'!Z40+'RESEARCH 2yr'!Z40+'PUBLIC SERVICE 2yr'!Z40+'ASptISptSSv 2yr'!Z40+'PLANT OPER MAIN 2yr'!Z40+'SCHOLAR FELLOW 2yr'!Z40+'All Other 2yr'!Z40)-Z40</f>
        <v>0</v>
      </c>
      <c r="BC40" s="75">
        <f>('INSTRUCTION-2YR'!AA40+'RESEARCH 2yr'!AA40+'PUBLIC SERVICE 2yr'!AA40+'ASptISptSSv 2yr'!AA40+'PLANT OPER MAIN 2yr'!AA40+'SCHOLAR FELLOW 2yr'!AA40+'All Other 2yr'!AA40)-AA40</f>
        <v>0</v>
      </c>
      <c r="BD40" s="75">
        <f>('INSTRUCTION-2YR'!AB40+'RESEARCH 2yr'!AB40+'PUBLIC SERVICE 2yr'!AB40+'ASptISptSSv 2yr'!AB40+'PLANT OPER MAIN 2yr'!AB40+'SCHOLAR FELLOW 2yr'!AB40+'All Other 2yr'!AB40)-AB40</f>
        <v>0</v>
      </c>
      <c r="BE40" s="75">
        <f>('INSTRUCTION-2YR'!AC40+'RESEARCH 2yr'!AC40+'PUBLIC SERVICE 2yr'!AC40+'ASptISptSSv 2yr'!AC40+'PLANT OPER MAIN 2yr'!AC40+'SCHOLAR FELLOW 2yr'!AC40+'All Other 2yr'!AC40)-AC40</f>
        <v>0</v>
      </c>
    </row>
    <row r="41" spans="1:57">
      <c r="A41" s="7" t="s">
        <v>119</v>
      </c>
      <c r="X41" s="1">
        <v>0</v>
      </c>
      <c r="Y41" s="1">
        <v>0</v>
      </c>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row>
    <row r="42" spans="1:57">
      <c r="A42" s="1" t="s">
        <v>93</v>
      </c>
      <c r="F42" s="42">
        <v>990080.58100000001</v>
      </c>
      <c r="I42" s="1">
        <v>1148342.0589999999</v>
      </c>
      <c r="K42" s="1">
        <v>1266604.2897300001</v>
      </c>
      <c r="L42" s="1">
        <v>1545503.135</v>
      </c>
      <c r="M42" s="1">
        <v>1640731.716</v>
      </c>
      <c r="N42" s="1">
        <v>1817909.9469999999</v>
      </c>
      <c r="O42" s="1">
        <v>1757205.956</v>
      </c>
      <c r="P42" s="1">
        <v>2122198.8480000002</v>
      </c>
      <c r="Q42" s="1">
        <v>1983877.6329999999</v>
      </c>
      <c r="R42" s="1">
        <v>2051190.6540000001</v>
      </c>
      <c r="S42" s="1">
        <v>2126987.1069999998</v>
      </c>
      <c r="T42" s="1">
        <v>2259275.0090000001</v>
      </c>
      <c r="U42" s="1">
        <v>2402254.1120000002</v>
      </c>
      <c r="V42" s="1">
        <v>2721305.608</v>
      </c>
      <c r="W42" s="1">
        <v>2951338.16</v>
      </c>
      <c r="X42" s="1">
        <v>3002478.1860000002</v>
      </c>
      <c r="Y42" s="1">
        <v>1798311.6440000001</v>
      </c>
      <c r="Z42" s="1">
        <v>1835171.6629999999</v>
      </c>
      <c r="AA42" s="1">
        <v>1882181.7239999999</v>
      </c>
      <c r="AB42" s="1">
        <v>3252356.466</v>
      </c>
      <c r="AC42" s="1">
        <v>3352052.09</v>
      </c>
      <c r="AD42" s="75">
        <f>('INSTRUCTION-2YR'!B42+'RESEARCH 2yr'!B42+'PUBLIC SERVICE 2yr'!B42+'ASptISptSSv 2yr'!B42+'PLANT OPER MAIN 2yr'!B42+'SCHOLAR FELLOW 2yr'!B42+'All Other 2yr'!B42)-B42</f>
        <v>0</v>
      </c>
      <c r="AE42" s="75">
        <f>('INSTRUCTION-2YR'!C42+'RESEARCH 2yr'!C42+'PUBLIC SERVICE 2yr'!C42+'ASptISptSSv 2yr'!C42+'PLANT OPER MAIN 2yr'!C42+'SCHOLAR FELLOW 2yr'!C42+'All Other 2yr'!C42)-C42</f>
        <v>0</v>
      </c>
      <c r="AF42" s="75">
        <f>('INSTRUCTION-2YR'!D42+'RESEARCH 2yr'!D42+'PUBLIC SERVICE 2yr'!D42+'ASptISptSSv 2yr'!D42+'PLANT OPER MAIN 2yr'!D42+'SCHOLAR FELLOW 2yr'!D42+'All Other 2yr'!D42)-D42</f>
        <v>0</v>
      </c>
      <c r="AG42" s="75">
        <f>('INSTRUCTION-2YR'!E42+'RESEARCH 2yr'!E42+'PUBLIC SERVICE 2yr'!E42+'ASptISptSSv 2yr'!E42+'PLANT OPER MAIN 2yr'!E42+'SCHOLAR FELLOW 2yr'!E42+'All Other 2yr'!E42)-E42</f>
        <v>0</v>
      </c>
      <c r="AH42" s="75">
        <f>('INSTRUCTION-2YR'!F42+'RESEARCH 2yr'!F42+'PUBLIC SERVICE 2yr'!F42+'ASptISptSSv 2yr'!F42+'PLANT OPER MAIN 2yr'!F42+'SCHOLAR FELLOW 2yr'!F42+'All Other 2yr'!F42)-F42</f>
        <v>0</v>
      </c>
      <c r="AI42" s="75">
        <f>('INSTRUCTION-2YR'!G42+'RESEARCH 2yr'!G42+'PUBLIC SERVICE 2yr'!G42+'ASptISptSSv 2yr'!G42+'PLANT OPER MAIN 2yr'!G42+'SCHOLAR FELLOW 2yr'!G42+'All Other 2yr'!G42)-G42</f>
        <v>0</v>
      </c>
      <c r="AJ42" s="75">
        <f>('INSTRUCTION-2YR'!H42+'RESEARCH 2yr'!H42+'PUBLIC SERVICE 2yr'!H42+'ASptISptSSv 2yr'!H42+'PLANT OPER MAIN 2yr'!H42+'SCHOLAR FELLOW 2yr'!H42+'All Other 2yr'!H42)-H42</f>
        <v>0</v>
      </c>
      <c r="AK42" s="75">
        <f>('INSTRUCTION-2YR'!I42+'RESEARCH 2yr'!I42+'PUBLIC SERVICE 2yr'!I42+'ASptISptSSv 2yr'!I42+'PLANT OPER MAIN 2yr'!I42+'SCHOLAR FELLOW 2yr'!I42+'All Other 2yr'!I42)-I42</f>
        <v>0</v>
      </c>
      <c r="AL42" s="75">
        <f>('INSTRUCTION-2YR'!J42+'RESEARCH 2yr'!J42+'PUBLIC SERVICE 2yr'!J42+'ASptISptSSv 2yr'!J42+'PLANT OPER MAIN 2yr'!J42+'SCHOLAR FELLOW 2yr'!J42+'All Other 2yr'!J42)-J42</f>
        <v>0</v>
      </c>
      <c r="AM42" s="75">
        <f>('INSTRUCTION-2YR'!K42+'RESEARCH 2yr'!K42+'PUBLIC SERVICE 2yr'!K42+'ASptISptSSv 2yr'!K42+'PLANT OPER MAIN 2yr'!K42+'SCHOLAR FELLOW 2yr'!K42+'All Other 2yr'!K42)-K42</f>
        <v>0</v>
      </c>
      <c r="AN42" s="75">
        <f>('INSTRUCTION-2YR'!L42+'RESEARCH 2yr'!L42+'PUBLIC SERVICE 2yr'!L42+'ASptISptSSv 2yr'!L42+'PLANT OPER MAIN 2yr'!L42+'SCHOLAR FELLOW 2yr'!L42+'All Other 2yr'!L42)-L42</f>
        <v>0</v>
      </c>
      <c r="AO42" s="75">
        <f>('INSTRUCTION-2YR'!M42+'RESEARCH 2yr'!M42+'PUBLIC SERVICE 2yr'!M42+'ASptISptSSv 2yr'!M42+'PLANT OPER MAIN 2yr'!M42+'SCHOLAR FELLOW 2yr'!M42+'All Other 2yr'!M42)-M42</f>
        <v>0</v>
      </c>
      <c r="AP42" s="75">
        <f>('INSTRUCTION-2YR'!N42+'RESEARCH 2yr'!N42+'PUBLIC SERVICE 2yr'!N42+'ASptISptSSv 2yr'!N42+'PLANT OPER MAIN 2yr'!N42+'SCHOLAR FELLOW 2yr'!N42+'All Other 2yr'!N42)-N42</f>
        <v>0</v>
      </c>
      <c r="AQ42" s="75">
        <f>('INSTRUCTION-2YR'!O42+'RESEARCH 2yr'!O42+'PUBLIC SERVICE 2yr'!O42+'ASptISptSSv 2yr'!O42+'PLANT OPER MAIN 2yr'!O42+'SCHOLAR FELLOW 2yr'!O42+'All Other 2yr'!O42)-O42</f>
        <v>0</v>
      </c>
      <c r="AR42" s="75">
        <f>('INSTRUCTION-2YR'!P42+'RESEARCH 2yr'!P42+'PUBLIC SERVICE 2yr'!P42+'ASptISptSSv 2yr'!P42+'PLANT OPER MAIN 2yr'!P42+'SCHOLAR FELLOW 2yr'!P42+'All Other 2yr'!P42)-P42</f>
        <v>0</v>
      </c>
      <c r="AS42" s="75">
        <f>('INSTRUCTION-2YR'!Q42+'RESEARCH 2yr'!Q42+'PUBLIC SERVICE 2yr'!Q42+'ASptISptSSv 2yr'!Q42+'PLANT OPER MAIN 2yr'!Q42+'SCHOLAR FELLOW 2yr'!Q42+'All Other 2yr'!Q42)-Q42</f>
        <v>0</v>
      </c>
      <c r="AT42" s="75">
        <f>('INSTRUCTION-2YR'!R42+'RESEARCH 2yr'!R42+'PUBLIC SERVICE 2yr'!R42+'ASptISptSSv 2yr'!R42+'PLANT OPER MAIN 2yr'!R42+'SCHOLAR FELLOW 2yr'!R42+'All Other 2yr'!R42)-R42</f>
        <v>0</v>
      </c>
      <c r="AU42" s="75">
        <f>('INSTRUCTION-2YR'!S42+'RESEARCH 2yr'!S42+'PUBLIC SERVICE 2yr'!S42+'ASptISptSSv 2yr'!S42+'PLANT OPER MAIN 2yr'!S42+'SCHOLAR FELLOW 2yr'!S42+'All Other 2yr'!S42)-S42</f>
        <v>0</v>
      </c>
      <c r="AV42" s="75">
        <f>('INSTRUCTION-2YR'!T42+'RESEARCH 2yr'!T42+'PUBLIC SERVICE 2yr'!T42+'ASptISptSSv 2yr'!T42+'PLANT OPER MAIN 2yr'!T42+'SCHOLAR FELLOW 2yr'!T42+'All Other 2yr'!T42)-T42</f>
        <v>0</v>
      </c>
      <c r="AW42" s="75">
        <f>('INSTRUCTION-2YR'!U42+'RESEARCH 2yr'!U42+'PUBLIC SERVICE 2yr'!U42+'ASptISptSSv 2yr'!U42+'PLANT OPER MAIN 2yr'!U42+'SCHOLAR FELLOW 2yr'!U42+'All Other 2yr'!U42)-U42</f>
        <v>0</v>
      </c>
      <c r="AX42" s="75">
        <f>('INSTRUCTION-2YR'!V42+'RESEARCH 2yr'!V42+'PUBLIC SERVICE 2yr'!V42+'ASptISptSSv 2yr'!V42+'PLANT OPER MAIN 2yr'!V42+'SCHOLAR FELLOW 2yr'!V42+'All Other 2yr'!V42)-V42</f>
        <v>0</v>
      </c>
      <c r="AY42" s="75">
        <f>('INSTRUCTION-2YR'!W42+'RESEARCH 2yr'!W42+'PUBLIC SERVICE 2yr'!W42+'ASptISptSSv 2yr'!W42+'PLANT OPER MAIN 2yr'!W42+'SCHOLAR FELLOW 2yr'!W42+'All Other 2yr'!W42)-W42</f>
        <v>0</v>
      </c>
      <c r="AZ42" s="75">
        <f>('INSTRUCTION-2YR'!X42+'RESEARCH 2yr'!X42+'PUBLIC SERVICE 2yr'!X42+'ASptISptSSv 2yr'!X42+'PLANT OPER MAIN 2yr'!X42+'SCHOLAR FELLOW 2yr'!X42+'All Other 2yr'!X42)-X42</f>
        <v>0</v>
      </c>
      <c r="BA42" s="75">
        <f>('INSTRUCTION-2YR'!Y42+'RESEARCH 2yr'!Y42+'PUBLIC SERVICE 2yr'!Y42+'ASptISptSSv 2yr'!Y42+'PLANT OPER MAIN 2yr'!Y42+'SCHOLAR FELLOW 2yr'!Y42+'All Other 2yr'!Y42)-Y42</f>
        <v>0</v>
      </c>
      <c r="BB42" s="75">
        <f>('INSTRUCTION-2YR'!Z42+'RESEARCH 2yr'!Z42+'PUBLIC SERVICE 2yr'!Z42+'ASptISptSSv 2yr'!Z42+'PLANT OPER MAIN 2yr'!Z42+'SCHOLAR FELLOW 2yr'!Z42+'All Other 2yr'!Z42)-Z42</f>
        <v>0</v>
      </c>
      <c r="BC42" s="75">
        <f>('INSTRUCTION-2YR'!AA42+'RESEARCH 2yr'!AA42+'PUBLIC SERVICE 2yr'!AA42+'ASptISptSSv 2yr'!AA42+'PLANT OPER MAIN 2yr'!AA42+'SCHOLAR FELLOW 2yr'!AA42+'All Other 2yr'!AA42)-AA42</f>
        <v>0</v>
      </c>
      <c r="BD42" s="75">
        <f>('INSTRUCTION-2YR'!AB42+'RESEARCH 2yr'!AB42+'PUBLIC SERVICE 2yr'!AB42+'ASptISptSSv 2yr'!AB42+'PLANT OPER MAIN 2yr'!AB42+'SCHOLAR FELLOW 2yr'!AB42+'All Other 2yr'!AB42)-AB42</f>
        <v>0</v>
      </c>
      <c r="BE42" s="75">
        <f>('INSTRUCTION-2YR'!AC42+'RESEARCH 2yr'!AC42+'PUBLIC SERVICE 2yr'!AC42+'ASptISptSSv 2yr'!AC42+'PLANT OPER MAIN 2yr'!AC42+'SCHOLAR FELLOW 2yr'!AC42+'All Other 2yr'!AC42)-AC42</f>
        <v>0</v>
      </c>
    </row>
    <row r="43" spans="1:57">
      <c r="A43" s="1" t="s">
        <v>58</v>
      </c>
      <c r="F43" s="42">
        <v>173731.198</v>
      </c>
      <c r="I43" s="1">
        <v>185083.34899999999</v>
      </c>
      <c r="K43" s="1">
        <v>241431.31</v>
      </c>
      <c r="L43" s="1">
        <v>255886.59700000001</v>
      </c>
      <c r="M43" s="1">
        <v>273397.88400000002</v>
      </c>
      <c r="N43" s="1">
        <v>325599.61499999999</v>
      </c>
      <c r="O43" s="1">
        <v>349803.30800000002</v>
      </c>
      <c r="P43" s="1">
        <v>294631.87099999998</v>
      </c>
      <c r="Q43" s="1">
        <v>327848.09999999998</v>
      </c>
      <c r="R43" s="1">
        <v>342187.68400000001</v>
      </c>
      <c r="S43" s="1">
        <v>363977.97</v>
      </c>
      <c r="T43" s="1">
        <v>364552.72100000002</v>
      </c>
      <c r="U43" s="1">
        <v>461340.34499999997</v>
      </c>
      <c r="V43" s="1">
        <v>618063.91</v>
      </c>
      <c r="W43" s="1">
        <v>690296.14099999995</v>
      </c>
      <c r="X43" s="1">
        <v>773367.54599999997</v>
      </c>
      <c r="Y43" s="1">
        <v>858619.08200000005</v>
      </c>
      <c r="Z43" s="1">
        <v>837089.93700000003</v>
      </c>
      <c r="AA43" s="1">
        <v>792633.21499999997</v>
      </c>
      <c r="AB43" s="1">
        <v>646059.91099999996</v>
      </c>
      <c r="AC43" s="1">
        <v>617766.02599999995</v>
      </c>
      <c r="AD43" s="75">
        <f>('INSTRUCTION-2YR'!B43+'RESEARCH 2yr'!B43+'PUBLIC SERVICE 2yr'!B43+'ASptISptSSv 2yr'!B43+'PLANT OPER MAIN 2yr'!B43+'SCHOLAR FELLOW 2yr'!B43+'All Other 2yr'!B43)-B43</f>
        <v>0</v>
      </c>
      <c r="AE43" s="75">
        <f>('INSTRUCTION-2YR'!C43+'RESEARCH 2yr'!C43+'PUBLIC SERVICE 2yr'!C43+'ASptISptSSv 2yr'!C43+'PLANT OPER MAIN 2yr'!C43+'SCHOLAR FELLOW 2yr'!C43+'All Other 2yr'!C43)-C43</f>
        <v>0</v>
      </c>
      <c r="AF43" s="75">
        <f>('INSTRUCTION-2YR'!D43+'RESEARCH 2yr'!D43+'PUBLIC SERVICE 2yr'!D43+'ASptISptSSv 2yr'!D43+'PLANT OPER MAIN 2yr'!D43+'SCHOLAR FELLOW 2yr'!D43+'All Other 2yr'!D43)-D43</f>
        <v>0</v>
      </c>
      <c r="AG43" s="75">
        <f>('INSTRUCTION-2YR'!E43+'RESEARCH 2yr'!E43+'PUBLIC SERVICE 2yr'!E43+'ASptISptSSv 2yr'!E43+'PLANT OPER MAIN 2yr'!E43+'SCHOLAR FELLOW 2yr'!E43+'All Other 2yr'!E43)-E43</f>
        <v>0</v>
      </c>
      <c r="AH43" s="75">
        <f>('INSTRUCTION-2YR'!F43+'RESEARCH 2yr'!F43+'PUBLIC SERVICE 2yr'!F43+'ASptISptSSv 2yr'!F43+'PLANT OPER MAIN 2yr'!F43+'SCHOLAR FELLOW 2yr'!F43+'All Other 2yr'!F43)-F43</f>
        <v>0</v>
      </c>
      <c r="AI43" s="75">
        <f>('INSTRUCTION-2YR'!G43+'RESEARCH 2yr'!G43+'PUBLIC SERVICE 2yr'!G43+'ASptISptSSv 2yr'!G43+'PLANT OPER MAIN 2yr'!G43+'SCHOLAR FELLOW 2yr'!G43+'All Other 2yr'!G43)-G43</f>
        <v>0</v>
      </c>
      <c r="AJ43" s="75">
        <f>('INSTRUCTION-2YR'!H43+'RESEARCH 2yr'!H43+'PUBLIC SERVICE 2yr'!H43+'ASptISptSSv 2yr'!H43+'PLANT OPER MAIN 2yr'!H43+'SCHOLAR FELLOW 2yr'!H43+'All Other 2yr'!H43)-H43</f>
        <v>0</v>
      </c>
      <c r="AK43" s="75">
        <f>('INSTRUCTION-2YR'!I43+'RESEARCH 2yr'!I43+'PUBLIC SERVICE 2yr'!I43+'ASptISptSSv 2yr'!I43+'PLANT OPER MAIN 2yr'!I43+'SCHOLAR FELLOW 2yr'!I43+'All Other 2yr'!I43)-I43</f>
        <v>0</v>
      </c>
      <c r="AL43" s="75">
        <f>('INSTRUCTION-2YR'!J43+'RESEARCH 2yr'!J43+'PUBLIC SERVICE 2yr'!J43+'ASptISptSSv 2yr'!J43+'PLANT OPER MAIN 2yr'!J43+'SCHOLAR FELLOW 2yr'!J43+'All Other 2yr'!J43)-J43</f>
        <v>0</v>
      </c>
      <c r="AM43" s="75">
        <f>('INSTRUCTION-2YR'!K43+'RESEARCH 2yr'!K43+'PUBLIC SERVICE 2yr'!K43+'ASptISptSSv 2yr'!K43+'PLANT OPER MAIN 2yr'!K43+'SCHOLAR FELLOW 2yr'!K43+'All Other 2yr'!K43)-K43</f>
        <v>0</v>
      </c>
      <c r="AN43" s="75">
        <f>('INSTRUCTION-2YR'!L43+'RESEARCH 2yr'!L43+'PUBLIC SERVICE 2yr'!L43+'ASptISptSSv 2yr'!L43+'PLANT OPER MAIN 2yr'!L43+'SCHOLAR FELLOW 2yr'!L43+'All Other 2yr'!L43)-L43</f>
        <v>0</v>
      </c>
      <c r="AO43" s="75">
        <f>('INSTRUCTION-2YR'!M43+'RESEARCH 2yr'!M43+'PUBLIC SERVICE 2yr'!M43+'ASptISptSSv 2yr'!M43+'PLANT OPER MAIN 2yr'!M43+'SCHOLAR FELLOW 2yr'!M43+'All Other 2yr'!M43)-M43</f>
        <v>0</v>
      </c>
      <c r="AP43" s="75">
        <f>('INSTRUCTION-2YR'!N43+'RESEARCH 2yr'!N43+'PUBLIC SERVICE 2yr'!N43+'ASptISptSSv 2yr'!N43+'PLANT OPER MAIN 2yr'!N43+'SCHOLAR FELLOW 2yr'!N43+'All Other 2yr'!N43)-N43</f>
        <v>0</v>
      </c>
      <c r="AQ43" s="75">
        <f>('INSTRUCTION-2YR'!O43+'RESEARCH 2yr'!O43+'PUBLIC SERVICE 2yr'!O43+'ASptISptSSv 2yr'!O43+'PLANT OPER MAIN 2yr'!O43+'SCHOLAR FELLOW 2yr'!O43+'All Other 2yr'!O43)-O43</f>
        <v>0</v>
      </c>
      <c r="AR43" s="75">
        <f>('INSTRUCTION-2YR'!P43+'RESEARCH 2yr'!P43+'PUBLIC SERVICE 2yr'!P43+'ASptISptSSv 2yr'!P43+'PLANT OPER MAIN 2yr'!P43+'SCHOLAR FELLOW 2yr'!P43+'All Other 2yr'!P43)-P43</f>
        <v>0</v>
      </c>
      <c r="AS43" s="75">
        <f>('INSTRUCTION-2YR'!Q43+'RESEARCH 2yr'!Q43+'PUBLIC SERVICE 2yr'!Q43+'ASptISptSSv 2yr'!Q43+'PLANT OPER MAIN 2yr'!Q43+'SCHOLAR FELLOW 2yr'!Q43+'All Other 2yr'!Q43)-Q43</f>
        <v>0</v>
      </c>
      <c r="AT43" s="75">
        <f>('INSTRUCTION-2YR'!R43+'RESEARCH 2yr'!R43+'PUBLIC SERVICE 2yr'!R43+'ASptISptSSv 2yr'!R43+'PLANT OPER MAIN 2yr'!R43+'SCHOLAR FELLOW 2yr'!R43+'All Other 2yr'!R43)-R43</f>
        <v>0</v>
      </c>
      <c r="AU43" s="75">
        <f>('INSTRUCTION-2YR'!S43+'RESEARCH 2yr'!S43+'PUBLIC SERVICE 2yr'!S43+'ASptISptSSv 2yr'!S43+'PLANT OPER MAIN 2yr'!S43+'SCHOLAR FELLOW 2yr'!S43+'All Other 2yr'!S43)-S43</f>
        <v>0</v>
      </c>
      <c r="AV43" s="75">
        <f>('INSTRUCTION-2YR'!T43+'RESEARCH 2yr'!T43+'PUBLIC SERVICE 2yr'!T43+'ASptISptSSv 2yr'!T43+'PLANT OPER MAIN 2yr'!T43+'SCHOLAR FELLOW 2yr'!T43+'All Other 2yr'!T43)-T43</f>
        <v>0</v>
      </c>
      <c r="AW43" s="75">
        <f>('INSTRUCTION-2YR'!U43+'RESEARCH 2yr'!U43+'PUBLIC SERVICE 2yr'!U43+'ASptISptSSv 2yr'!U43+'PLANT OPER MAIN 2yr'!U43+'SCHOLAR FELLOW 2yr'!U43+'All Other 2yr'!U43)-U43</f>
        <v>0</v>
      </c>
      <c r="AX43" s="75">
        <f>('INSTRUCTION-2YR'!V43+'RESEARCH 2yr'!V43+'PUBLIC SERVICE 2yr'!V43+'ASptISptSSv 2yr'!V43+'PLANT OPER MAIN 2yr'!V43+'SCHOLAR FELLOW 2yr'!V43+'All Other 2yr'!V43)-V43</f>
        <v>0</v>
      </c>
      <c r="AY43" s="75">
        <f>('INSTRUCTION-2YR'!W43+'RESEARCH 2yr'!W43+'PUBLIC SERVICE 2yr'!W43+'ASptISptSSv 2yr'!W43+'PLANT OPER MAIN 2yr'!W43+'SCHOLAR FELLOW 2yr'!W43+'All Other 2yr'!W43)-W43</f>
        <v>0</v>
      </c>
      <c r="AZ43" s="75">
        <f>('INSTRUCTION-2YR'!X43+'RESEARCH 2yr'!X43+'PUBLIC SERVICE 2yr'!X43+'ASptISptSSv 2yr'!X43+'PLANT OPER MAIN 2yr'!X43+'SCHOLAR FELLOW 2yr'!X43+'All Other 2yr'!X43)-X43</f>
        <v>0</v>
      </c>
      <c r="BA43" s="75">
        <f>('INSTRUCTION-2YR'!Y43+'RESEARCH 2yr'!Y43+'PUBLIC SERVICE 2yr'!Y43+'ASptISptSSv 2yr'!Y43+'PLANT OPER MAIN 2yr'!Y43+'SCHOLAR FELLOW 2yr'!Y43+'All Other 2yr'!Y43)-Y43</f>
        <v>0</v>
      </c>
      <c r="BB43" s="75">
        <f>('INSTRUCTION-2YR'!Z43+'RESEARCH 2yr'!Z43+'PUBLIC SERVICE 2yr'!Z43+'ASptISptSSv 2yr'!Z43+'PLANT OPER MAIN 2yr'!Z43+'SCHOLAR FELLOW 2yr'!Z43+'All Other 2yr'!Z43)-Z43</f>
        <v>0</v>
      </c>
      <c r="BC43" s="75">
        <f>('INSTRUCTION-2YR'!AA43+'RESEARCH 2yr'!AA43+'PUBLIC SERVICE 2yr'!AA43+'ASptISptSSv 2yr'!AA43+'PLANT OPER MAIN 2yr'!AA43+'SCHOLAR FELLOW 2yr'!AA43+'All Other 2yr'!AA43)-AA43</f>
        <v>0</v>
      </c>
      <c r="BD43" s="75">
        <f>('INSTRUCTION-2YR'!AB43+'RESEARCH 2yr'!AB43+'PUBLIC SERVICE 2yr'!AB43+'ASptISptSSv 2yr'!AB43+'PLANT OPER MAIN 2yr'!AB43+'SCHOLAR FELLOW 2yr'!AB43+'All Other 2yr'!AB43)-AB43</f>
        <v>0</v>
      </c>
      <c r="BE43" s="75">
        <f>('INSTRUCTION-2YR'!AC43+'RESEARCH 2yr'!AC43+'PUBLIC SERVICE 2yr'!AC43+'ASptISptSSv 2yr'!AC43+'PLANT OPER MAIN 2yr'!AC43+'SCHOLAR FELLOW 2yr'!AC43+'All Other 2yr'!AC43)-AC43</f>
        <v>0</v>
      </c>
    </row>
    <row r="44" spans="1:57">
      <c r="A44" s="1" t="s">
        <v>94</v>
      </c>
      <c r="F44" s="42">
        <v>312740.55900000001</v>
      </c>
      <c r="I44" s="1">
        <v>332278.57799999998</v>
      </c>
      <c r="K44" s="1">
        <v>357379.53</v>
      </c>
      <c r="L44" s="1">
        <v>439750.12599999999</v>
      </c>
      <c r="M44" s="1">
        <v>476966.364</v>
      </c>
      <c r="N44" s="1">
        <v>501223.587</v>
      </c>
      <c r="O44" s="1">
        <v>538308.35699999996</v>
      </c>
      <c r="P44" s="1">
        <v>586095.23699999996</v>
      </c>
      <c r="Q44" s="1">
        <v>606756.78799999994</v>
      </c>
      <c r="R44" s="1">
        <v>645842.96499999997</v>
      </c>
      <c r="S44" s="1">
        <v>672132.53</v>
      </c>
      <c r="T44" s="1">
        <v>728485.93799999997</v>
      </c>
      <c r="U44" s="1">
        <v>813793.35600000003</v>
      </c>
      <c r="V44" s="1">
        <v>867324.9</v>
      </c>
      <c r="W44" s="1">
        <v>949090.47900000005</v>
      </c>
      <c r="X44" s="1">
        <v>928210.63800000004</v>
      </c>
      <c r="Y44" s="1">
        <v>874941.201</v>
      </c>
      <c r="Z44" s="1">
        <v>866060.59400000004</v>
      </c>
      <c r="AA44" s="1">
        <v>892605.48699999996</v>
      </c>
      <c r="AB44" s="1">
        <v>942048.19900000002</v>
      </c>
      <c r="AC44" s="1">
        <v>946207.30799999996</v>
      </c>
      <c r="AD44" s="75">
        <f>('INSTRUCTION-2YR'!B44+'RESEARCH 2yr'!B44+'PUBLIC SERVICE 2yr'!B44+'ASptISptSSv 2yr'!B44+'PLANT OPER MAIN 2yr'!B44+'SCHOLAR FELLOW 2yr'!B44+'All Other 2yr'!B44)-B44</f>
        <v>0</v>
      </c>
      <c r="AE44" s="75">
        <f>('INSTRUCTION-2YR'!C44+'RESEARCH 2yr'!C44+'PUBLIC SERVICE 2yr'!C44+'ASptISptSSv 2yr'!C44+'PLANT OPER MAIN 2yr'!C44+'SCHOLAR FELLOW 2yr'!C44+'All Other 2yr'!C44)-C44</f>
        <v>0</v>
      </c>
      <c r="AF44" s="75">
        <f>('INSTRUCTION-2YR'!D44+'RESEARCH 2yr'!D44+'PUBLIC SERVICE 2yr'!D44+'ASptISptSSv 2yr'!D44+'PLANT OPER MAIN 2yr'!D44+'SCHOLAR FELLOW 2yr'!D44+'All Other 2yr'!D44)-D44</f>
        <v>0</v>
      </c>
      <c r="AG44" s="75">
        <f>('INSTRUCTION-2YR'!E44+'RESEARCH 2yr'!E44+'PUBLIC SERVICE 2yr'!E44+'ASptISptSSv 2yr'!E44+'PLANT OPER MAIN 2yr'!E44+'SCHOLAR FELLOW 2yr'!E44+'All Other 2yr'!E44)-E44</f>
        <v>0</v>
      </c>
      <c r="AH44" s="75">
        <f>('INSTRUCTION-2YR'!F44+'RESEARCH 2yr'!F44+'PUBLIC SERVICE 2yr'!F44+'ASptISptSSv 2yr'!F44+'PLANT OPER MAIN 2yr'!F44+'SCHOLAR FELLOW 2yr'!F44+'All Other 2yr'!F44)-F44</f>
        <v>0</v>
      </c>
      <c r="AI44" s="75">
        <f>('INSTRUCTION-2YR'!G44+'RESEARCH 2yr'!G44+'PUBLIC SERVICE 2yr'!G44+'ASptISptSSv 2yr'!G44+'PLANT OPER MAIN 2yr'!G44+'SCHOLAR FELLOW 2yr'!G44+'All Other 2yr'!G44)-G44</f>
        <v>0</v>
      </c>
      <c r="AJ44" s="75">
        <f>('INSTRUCTION-2YR'!H44+'RESEARCH 2yr'!H44+'PUBLIC SERVICE 2yr'!H44+'ASptISptSSv 2yr'!H44+'PLANT OPER MAIN 2yr'!H44+'SCHOLAR FELLOW 2yr'!H44+'All Other 2yr'!H44)-H44</f>
        <v>0</v>
      </c>
      <c r="AK44" s="75">
        <f>('INSTRUCTION-2YR'!I44+'RESEARCH 2yr'!I44+'PUBLIC SERVICE 2yr'!I44+'ASptISptSSv 2yr'!I44+'PLANT OPER MAIN 2yr'!I44+'SCHOLAR FELLOW 2yr'!I44+'All Other 2yr'!I44)-I44</f>
        <v>0</v>
      </c>
      <c r="AL44" s="75">
        <f>('INSTRUCTION-2YR'!J44+'RESEARCH 2yr'!J44+'PUBLIC SERVICE 2yr'!J44+'ASptISptSSv 2yr'!J44+'PLANT OPER MAIN 2yr'!J44+'SCHOLAR FELLOW 2yr'!J44+'All Other 2yr'!J44)-J44</f>
        <v>0</v>
      </c>
      <c r="AM44" s="75">
        <f>('INSTRUCTION-2YR'!K44+'RESEARCH 2yr'!K44+'PUBLIC SERVICE 2yr'!K44+'ASptISptSSv 2yr'!K44+'PLANT OPER MAIN 2yr'!K44+'SCHOLAR FELLOW 2yr'!K44+'All Other 2yr'!K44)-K44</f>
        <v>0</v>
      </c>
      <c r="AN44" s="75">
        <f>('INSTRUCTION-2YR'!L44+'RESEARCH 2yr'!L44+'PUBLIC SERVICE 2yr'!L44+'ASptISptSSv 2yr'!L44+'PLANT OPER MAIN 2yr'!L44+'SCHOLAR FELLOW 2yr'!L44+'All Other 2yr'!L44)-L44</f>
        <v>0</v>
      </c>
      <c r="AO44" s="75">
        <f>('INSTRUCTION-2YR'!M44+'RESEARCH 2yr'!M44+'PUBLIC SERVICE 2yr'!M44+'ASptISptSSv 2yr'!M44+'PLANT OPER MAIN 2yr'!M44+'SCHOLAR FELLOW 2yr'!M44+'All Other 2yr'!M44)-M44</f>
        <v>0</v>
      </c>
      <c r="AP44" s="75">
        <f>('INSTRUCTION-2YR'!N44+'RESEARCH 2yr'!N44+'PUBLIC SERVICE 2yr'!N44+'ASptISptSSv 2yr'!N44+'PLANT OPER MAIN 2yr'!N44+'SCHOLAR FELLOW 2yr'!N44+'All Other 2yr'!N44)-N44</f>
        <v>0</v>
      </c>
      <c r="AQ44" s="75">
        <f>('INSTRUCTION-2YR'!O44+'RESEARCH 2yr'!O44+'PUBLIC SERVICE 2yr'!O44+'ASptISptSSv 2yr'!O44+'PLANT OPER MAIN 2yr'!O44+'SCHOLAR FELLOW 2yr'!O44+'All Other 2yr'!O44)-O44</f>
        <v>0</v>
      </c>
      <c r="AR44" s="75">
        <f>('INSTRUCTION-2YR'!P44+'RESEARCH 2yr'!P44+'PUBLIC SERVICE 2yr'!P44+'ASptISptSSv 2yr'!P44+'PLANT OPER MAIN 2yr'!P44+'SCHOLAR FELLOW 2yr'!P44+'All Other 2yr'!P44)-P44</f>
        <v>0</v>
      </c>
      <c r="AS44" s="75">
        <f>('INSTRUCTION-2YR'!Q44+'RESEARCH 2yr'!Q44+'PUBLIC SERVICE 2yr'!Q44+'ASptISptSSv 2yr'!Q44+'PLANT OPER MAIN 2yr'!Q44+'SCHOLAR FELLOW 2yr'!Q44+'All Other 2yr'!Q44)-Q44</f>
        <v>0</v>
      </c>
      <c r="AT44" s="75">
        <f>('INSTRUCTION-2YR'!R44+'RESEARCH 2yr'!R44+'PUBLIC SERVICE 2yr'!R44+'ASptISptSSv 2yr'!R44+'PLANT OPER MAIN 2yr'!R44+'SCHOLAR FELLOW 2yr'!R44+'All Other 2yr'!R44)-R44</f>
        <v>0</v>
      </c>
      <c r="AU44" s="75">
        <f>('INSTRUCTION-2YR'!S44+'RESEARCH 2yr'!S44+'PUBLIC SERVICE 2yr'!S44+'ASptISptSSv 2yr'!S44+'PLANT OPER MAIN 2yr'!S44+'SCHOLAR FELLOW 2yr'!S44+'All Other 2yr'!S44)-S44</f>
        <v>0</v>
      </c>
      <c r="AV44" s="75">
        <f>('INSTRUCTION-2YR'!T44+'RESEARCH 2yr'!T44+'PUBLIC SERVICE 2yr'!T44+'ASptISptSSv 2yr'!T44+'PLANT OPER MAIN 2yr'!T44+'SCHOLAR FELLOW 2yr'!T44+'All Other 2yr'!T44)-T44</f>
        <v>0</v>
      </c>
      <c r="AW44" s="75">
        <f>('INSTRUCTION-2YR'!U44+'RESEARCH 2yr'!U44+'PUBLIC SERVICE 2yr'!U44+'ASptISptSSv 2yr'!U44+'PLANT OPER MAIN 2yr'!U44+'SCHOLAR FELLOW 2yr'!U44+'All Other 2yr'!U44)-U44</f>
        <v>0</v>
      </c>
      <c r="AX44" s="75">
        <f>('INSTRUCTION-2YR'!V44+'RESEARCH 2yr'!V44+'PUBLIC SERVICE 2yr'!V44+'ASptISptSSv 2yr'!V44+'PLANT OPER MAIN 2yr'!V44+'SCHOLAR FELLOW 2yr'!V44+'All Other 2yr'!V44)-V44</f>
        <v>0</v>
      </c>
      <c r="AY44" s="75">
        <f>('INSTRUCTION-2YR'!W44+'RESEARCH 2yr'!W44+'PUBLIC SERVICE 2yr'!W44+'ASptISptSSv 2yr'!W44+'PLANT OPER MAIN 2yr'!W44+'SCHOLAR FELLOW 2yr'!W44+'All Other 2yr'!W44)-W44</f>
        <v>0</v>
      </c>
      <c r="AZ44" s="75">
        <f>('INSTRUCTION-2YR'!X44+'RESEARCH 2yr'!X44+'PUBLIC SERVICE 2yr'!X44+'ASptISptSSv 2yr'!X44+'PLANT OPER MAIN 2yr'!X44+'SCHOLAR FELLOW 2yr'!X44+'All Other 2yr'!X44)-X44</f>
        <v>0</v>
      </c>
      <c r="BA44" s="75">
        <f>('INSTRUCTION-2YR'!Y44+'RESEARCH 2yr'!Y44+'PUBLIC SERVICE 2yr'!Y44+'ASptISptSSv 2yr'!Y44+'PLANT OPER MAIN 2yr'!Y44+'SCHOLAR FELLOW 2yr'!Y44+'All Other 2yr'!Y44)-Y44</f>
        <v>0</v>
      </c>
      <c r="BB44" s="75">
        <f>('INSTRUCTION-2YR'!Z44+'RESEARCH 2yr'!Z44+'PUBLIC SERVICE 2yr'!Z44+'ASptISptSSv 2yr'!Z44+'PLANT OPER MAIN 2yr'!Z44+'SCHOLAR FELLOW 2yr'!Z44+'All Other 2yr'!Z44)-Z44</f>
        <v>0</v>
      </c>
      <c r="BC44" s="75">
        <f>('INSTRUCTION-2YR'!AA44+'RESEARCH 2yr'!AA44+'PUBLIC SERVICE 2yr'!AA44+'ASptISptSSv 2yr'!AA44+'PLANT OPER MAIN 2yr'!AA44+'SCHOLAR FELLOW 2yr'!AA44+'All Other 2yr'!AA44)-AA44</f>
        <v>0</v>
      </c>
      <c r="BD44" s="75">
        <f>('INSTRUCTION-2YR'!AB44+'RESEARCH 2yr'!AB44+'PUBLIC SERVICE 2yr'!AB44+'ASptISptSSv 2yr'!AB44+'PLANT OPER MAIN 2yr'!AB44+'SCHOLAR FELLOW 2yr'!AB44+'All Other 2yr'!AB44)-AB44</f>
        <v>0</v>
      </c>
      <c r="BE44" s="75">
        <f>('INSTRUCTION-2YR'!AC44+'RESEARCH 2yr'!AC44+'PUBLIC SERVICE 2yr'!AC44+'ASptISptSSv 2yr'!AC44+'PLANT OPER MAIN 2yr'!AC44+'SCHOLAR FELLOW 2yr'!AC44+'All Other 2yr'!AC44)-AC44</f>
        <v>0</v>
      </c>
    </row>
    <row r="45" spans="1:57">
      <c r="A45" s="1" t="s">
        <v>95</v>
      </c>
      <c r="F45" s="42">
        <v>217582.35200000001</v>
      </c>
      <c r="I45" s="1">
        <v>267566.75400000002</v>
      </c>
      <c r="K45" s="1">
        <v>298627.16092999995</v>
      </c>
      <c r="L45" s="1">
        <v>349425.99800000002</v>
      </c>
      <c r="M45" s="1">
        <v>377416.83600000001</v>
      </c>
      <c r="N45" s="1">
        <v>415971.48800000001</v>
      </c>
      <c r="O45" s="1">
        <v>429891.45500000002</v>
      </c>
      <c r="P45" s="1">
        <v>433829.37099999998</v>
      </c>
      <c r="Q45" s="1">
        <v>471593.20699999999</v>
      </c>
      <c r="R45" s="1">
        <v>508490.28</v>
      </c>
      <c r="S45" s="1">
        <v>529238.005</v>
      </c>
      <c r="T45" s="1">
        <v>564983.625</v>
      </c>
      <c r="U45" s="1">
        <v>621624.15399999998</v>
      </c>
      <c r="V45" s="1">
        <v>671250.28500000003</v>
      </c>
      <c r="W45" s="1">
        <v>707935.755</v>
      </c>
      <c r="X45" s="1">
        <v>716323.52</v>
      </c>
      <c r="Y45" s="1">
        <v>585903.05700000003</v>
      </c>
      <c r="Z45" s="1">
        <v>582092.28300000005</v>
      </c>
      <c r="AA45" s="1">
        <v>584483.17700000003</v>
      </c>
      <c r="AB45" s="1">
        <v>745740.88800000004</v>
      </c>
      <c r="AC45" s="1">
        <v>740393.424</v>
      </c>
      <c r="AD45" s="75">
        <f>('INSTRUCTION-2YR'!B45+'RESEARCH 2yr'!B45+'PUBLIC SERVICE 2yr'!B45+'ASptISptSSv 2yr'!B45+'PLANT OPER MAIN 2yr'!B45+'SCHOLAR FELLOW 2yr'!B45+'All Other 2yr'!B45)-B45</f>
        <v>0</v>
      </c>
      <c r="AE45" s="75">
        <f>('INSTRUCTION-2YR'!C45+'RESEARCH 2yr'!C45+'PUBLIC SERVICE 2yr'!C45+'ASptISptSSv 2yr'!C45+'PLANT OPER MAIN 2yr'!C45+'SCHOLAR FELLOW 2yr'!C45+'All Other 2yr'!C45)-C45</f>
        <v>0</v>
      </c>
      <c r="AF45" s="75">
        <f>('INSTRUCTION-2YR'!D45+'RESEARCH 2yr'!D45+'PUBLIC SERVICE 2yr'!D45+'ASptISptSSv 2yr'!D45+'PLANT OPER MAIN 2yr'!D45+'SCHOLAR FELLOW 2yr'!D45+'All Other 2yr'!D45)-D45</f>
        <v>0</v>
      </c>
      <c r="AG45" s="75">
        <f>('INSTRUCTION-2YR'!E45+'RESEARCH 2yr'!E45+'PUBLIC SERVICE 2yr'!E45+'ASptISptSSv 2yr'!E45+'PLANT OPER MAIN 2yr'!E45+'SCHOLAR FELLOW 2yr'!E45+'All Other 2yr'!E45)-E45</f>
        <v>0</v>
      </c>
      <c r="AH45" s="75">
        <f>('INSTRUCTION-2YR'!F45+'RESEARCH 2yr'!F45+'PUBLIC SERVICE 2yr'!F45+'ASptISptSSv 2yr'!F45+'PLANT OPER MAIN 2yr'!F45+'SCHOLAR FELLOW 2yr'!F45+'All Other 2yr'!F45)-F45</f>
        <v>0</v>
      </c>
      <c r="AI45" s="75">
        <f>('INSTRUCTION-2YR'!G45+'RESEARCH 2yr'!G45+'PUBLIC SERVICE 2yr'!G45+'ASptISptSSv 2yr'!G45+'PLANT OPER MAIN 2yr'!G45+'SCHOLAR FELLOW 2yr'!G45+'All Other 2yr'!G45)-G45</f>
        <v>0</v>
      </c>
      <c r="AJ45" s="75">
        <f>('INSTRUCTION-2YR'!H45+'RESEARCH 2yr'!H45+'PUBLIC SERVICE 2yr'!H45+'ASptISptSSv 2yr'!H45+'PLANT OPER MAIN 2yr'!H45+'SCHOLAR FELLOW 2yr'!H45+'All Other 2yr'!H45)-H45</f>
        <v>0</v>
      </c>
      <c r="AK45" s="75">
        <f>('INSTRUCTION-2YR'!I45+'RESEARCH 2yr'!I45+'PUBLIC SERVICE 2yr'!I45+'ASptISptSSv 2yr'!I45+'PLANT OPER MAIN 2yr'!I45+'SCHOLAR FELLOW 2yr'!I45+'All Other 2yr'!I45)-I45</f>
        <v>0</v>
      </c>
      <c r="AL45" s="75">
        <f>('INSTRUCTION-2YR'!J45+'RESEARCH 2yr'!J45+'PUBLIC SERVICE 2yr'!J45+'ASptISptSSv 2yr'!J45+'PLANT OPER MAIN 2yr'!J45+'SCHOLAR FELLOW 2yr'!J45+'All Other 2yr'!J45)-J45</f>
        <v>0</v>
      </c>
      <c r="AM45" s="75">
        <f>('INSTRUCTION-2YR'!K45+'RESEARCH 2yr'!K45+'PUBLIC SERVICE 2yr'!K45+'ASptISptSSv 2yr'!K45+'PLANT OPER MAIN 2yr'!K45+'SCHOLAR FELLOW 2yr'!K45+'All Other 2yr'!K45)-K45</f>
        <v>0</v>
      </c>
      <c r="AN45" s="75">
        <f>('INSTRUCTION-2YR'!L45+'RESEARCH 2yr'!L45+'PUBLIC SERVICE 2yr'!L45+'ASptISptSSv 2yr'!L45+'PLANT OPER MAIN 2yr'!L45+'SCHOLAR FELLOW 2yr'!L45+'All Other 2yr'!L45)-L45</f>
        <v>0</v>
      </c>
      <c r="AO45" s="75">
        <f>('INSTRUCTION-2YR'!M45+'RESEARCH 2yr'!M45+'PUBLIC SERVICE 2yr'!M45+'ASptISptSSv 2yr'!M45+'PLANT OPER MAIN 2yr'!M45+'SCHOLAR FELLOW 2yr'!M45+'All Other 2yr'!M45)-M45</f>
        <v>0</v>
      </c>
      <c r="AP45" s="75">
        <f>('INSTRUCTION-2YR'!N45+'RESEARCH 2yr'!N45+'PUBLIC SERVICE 2yr'!N45+'ASptISptSSv 2yr'!N45+'PLANT OPER MAIN 2yr'!N45+'SCHOLAR FELLOW 2yr'!N45+'All Other 2yr'!N45)-N45</f>
        <v>0</v>
      </c>
      <c r="AQ45" s="75">
        <f>('INSTRUCTION-2YR'!O45+'RESEARCH 2yr'!O45+'PUBLIC SERVICE 2yr'!O45+'ASptISptSSv 2yr'!O45+'PLANT OPER MAIN 2yr'!O45+'SCHOLAR FELLOW 2yr'!O45+'All Other 2yr'!O45)-O45</f>
        <v>0</v>
      </c>
      <c r="AR45" s="75">
        <f>('INSTRUCTION-2YR'!P45+'RESEARCH 2yr'!P45+'PUBLIC SERVICE 2yr'!P45+'ASptISptSSv 2yr'!P45+'PLANT OPER MAIN 2yr'!P45+'SCHOLAR FELLOW 2yr'!P45+'All Other 2yr'!P45)-P45</f>
        <v>0</v>
      </c>
      <c r="AS45" s="75">
        <f>('INSTRUCTION-2YR'!Q45+'RESEARCH 2yr'!Q45+'PUBLIC SERVICE 2yr'!Q45+'ASptISptSSv 2yr'!Q45+'PLANT OPER MAIN 2yr'!Q45+'SCHOLAR FELLOW 2yr'!Q45+'All Other 2yr'!Q45)-Q45</f>
        <v>0</v>
      </c>
      <c r="AT45" s="75">
        <f>('INSTRUCTION-2YR'!R45+'RESEARCH 2yr'!R45+'PUBLIC SERVICE 2yr'!R45+'ASptISptSSv 2yr'!R45+'PLANT OPER MAIN 2yr'!R45+'SCHOLAR FELLOW 2yr'!R45+'All Other 2yr'!R45)-R45</f>
        <v>0</v>
      </c>
      <c r="AU45" s="75">
        <f>('INSTRUCTION-2YR'!S45+'RESEARCH 2yr'!S45+'PUBLIC SERVICE 2yr'!S45+'ASptISptSSv 2yr'!S45+'PLANT OPER MAIN 2yr'!S45+'SCHOLAR FELLOW 2yr'!S45+'All Other 2yr'!S45)-S45</f>
        <v>0</v>
      </c>
      <c r="AV45" s="75">
        <f>('INSTRUCTION-2YR'!T45+'RESEARCH 2yr'!T45+'PUBLIC SERVICE 2yr'!T45+'ASptISptSSv 2yr'!T45+'PLANT OPER MAIN 2yr'!T45+'SCHOLAR FELLOW 2yr'!T45+'All Other 2yr'!T45)-T45</f>
        <v>0</v>
      </c>
      <c r="AW45" s="75">
        <f>('INSTRUCTION-2YR'!U45+'RESEARCH 2yr'!U45+'PUBLIC SERVICE 2yr'!U45+'ASptISptSSv 2yr'!U45+'PLANT OPER MAIN 2yr'!U45+'SCHOLAR FELLOW 2yr'!U45+'All Other 2yr'!U45)-U45</f>
        <v>0</v>
      </c>
      <c r="AX45" s="75">
        <f>('INSTRUCTION-2YR'!V45+'RESEARCH 2yr'!V45+'PUBLIC SERVICE 2yr'!V45+'ASptISptSSv 2yr'!V45+'PLANT OPER MAIN 2yr'!V45+'SCHOLAR FELLOW 2yr'!V45+'All Other 2yr'!V45)-V45</f>
        <v>0</v>
      </c>
      <c r="AY45" s="75">
        <f>('INSTRUCTION-2YR'!W45+'RESEARCH 2yr'!W45+'PUBLIC SERVICE 2yr'!W45+'ASptISptSSv 2yr'!W45+'PLANT OPER MAIN 2yr'!W45+'SCHOLAR FELLOW 2yr'!W45+'All Other 2yr'!W45)-W45</f>
        <v>0</v>
      </c>
      <c r="AZ45" s="75">
        <f>('INSTRUCTION-2YR'!X45+'RESEARCH 2yr'!X45+'PUBLIC SERVICE 2yr'!X45+'ASptISptSSv 2yr'!X45+'PLANT OPER MAIN 2yr'!X45+'SCHOLAR FELLOW 2yr'!X45+'All Other 2yr'!X45)-X45</f>
        <v>0</v>
      </c>
      <c r="BA45" s="75">
        <f>('INSTRUCTION-2YR'!Y45+'RESEARCH 2yr'!Y45+'PUBLIC SERVICE 2yr'!Y45+'ASptISptSSv 2yr'!Y45+'PLANT OPER MAIN 2yr'!Y45+'SCHOLAR FELLOW 2yr'!Y45+'All Other 2yr'!Y45)-Y45</f>
        <v>0</v>
      </c>
      <c r="BB45" s="75">
        <f>('INSTRUCTION-2YR'!Z45+'RESEARCH 2yr'!Z45+'PUBLIC SERVICE 2yr'!Z45+'ASptISptSSv 2yr'!Z45+'PLANT OPER MAIN 2yr'!Z45+'SCHOLAR FELLOW 2yr'!Z45+'All Other 2yr'!Z45)-Z45</f>
        <v>0</v>
      </c>
      <c r="BC45" s="75">
        <f>('INSTRUCTION-2YR'!AA45+'RESEARCH 2yr'!AA45+'PUBLIC SERVICE 2yr'!AA45+'ASptISptSSv 2yr'!AA45+'PLANT OPER MAIN 2yr'!AA45+'SCHOLAR FELLOW 2yr'!AA45+'All Other 2yr'!AA45)-AA45</f>
        <v>0</v>
      </c>
      <c r="BD45" s="75">
        <f>('INSTRUCTION-2YR'!AB45+'RESEARCH 2yr'!AB45+'PUBLIC SERVICE 2yr'!AB45+'ASptISptSSv 2yr'!AB45+'PLANT OPER MAIN 2yr'!AB45+'SCHOLAR FELLOW 2yr'!AB45+'All Other 2yr'!AB45)-AB45</f>
        <v>0</v>
      </c>
      <c r="BE45" s="75">
        <f>('INSTRUCTION-2YR'!AC45+'RESEARCH 2yr'!AC45+'PUBLIC SERVICE 2yr'!AC45+'ASptISptSSv 2yr'!AC45+'PLANT OPER MAIN 2yr'!AC45+'SCHOLAR FELLOW 2yr'!AC45+'All Other 2yr'!AC45)-AC45</f>
        <v>0</v>
      </c>
    </row>
    <row r="46" spans="1:57">
      <c r="A46" s="1" t="s">
        <v>98</v>
      </c>
      <c r="F46" s="42">
        <v>784496.67099999997</v>
      </c>
      <c r="I46" s="1">
        <v>854918.56499999994</v>
      </c>
      <c r="K46" s="1">
        <v>930034.7375200002</v>
      </c>
      <c r="L46" s="1">
        <v>1085659.6780000001</v>
      </c>
      <c r="M46" s="1">
        <v>1141180.1340000001</v>
      </c>
      <c r="N46" s="1">
        <v>1231723.622</v>
      </c>
      <c r="O46" s="1">
        <v>1391366.0730000001</v>
      </c>
      <c r="P46" s="1">
        <v>1424007.459</v>
      </c>
      <c r="Q46" s="1">
        <v>1477885.047</v>
      </c>
      <c r="R46" s="1">
        <v>1551337.7509999999</v>
      </c>
      <c r="S46" s="1">
        <v>1622756.74</v>
      </c>
      <c r="T46" s="1">
        <v>1708047.0490000001</v>
      </c>
      <c r="U46" s="1">
        <v>1856810.628</v>
      </c>
      <c r="V46" s="1">
        <v>2095875.1459999999</v>
      </c>
      <c r="W46" s="1">
        <v>2172617.4539999999</v>
      </c>
      <c r="X46" s="1">
        <v>2153765.5789999999</v>
      </c>
      <c r="Y46" s="1">
        <v>1946784.9739999999</v>
      </c>
      <c r="Z46" s="1">
        <v>1902645.696</v>
      </c>
      <c r="AA46" s="1">
        <v>1894975.9350000001</v>
      </c>
      <c r="AB46" s="1">
        <v>2014246.075</v>
      </c>
      <c r="AC46" s="1">
        <v>1968883.132</v>
      </c>
      <c r="AD46" s="75">
        <f>('INSTRUCTION-2YR'!B46+'RESEARCH 2yr'!B46+'PUBLIC SERVICE 2yr'!B46+'ASptISptSSv 2yr'!B46+'PLANT OPER MAIN 2yr'!B46+'SCHOLAR FELLOW 2yr'!B46+'All Other 2yr'!B46)-B46</f>
        <v>0</v>
      </c>
      <c r="AE46" s="75">
        <f>('INSTRUCTION-2YR'!C46+'RESEARCH 2yr'!C46+'PUBLIC SERVICE 2yr'!C46+'ASptISptSSv 2yr'!C46+'PLANT OPER MAIN 2yr'!C46+'SCHOLAR FELLOW 2yr'!C46+'All Other 2yr'!C46)-C46</f>
        <v>0</v>
      </c>
      <c r="AF46" s="75">
        <f>('INSTRUCTION-2YR'!D46+'RESEARCH 2yr'!D46+'PUBLIC SERVICE 2yr'!D46+'ASptISptSSv 2yr'!D46+'PLANT OPER MAIN 2yr'!D46+'SCHOLAR FELLOW 2yr'!D46+'All Other 2yr'!D46)-D46</f>
        <v>0</v>
      </c>
      <c r="AG46" s="75">
        <f>('INSTRUCTION-2YR'!E46+'RESEARCH 2yr'!E46+'PUBLIC SERVICE 2yr'!E46+'ASptISptSSv 2yr'!E46+'PLANT OPER MAIN 2yr'!E46+'SCHOLAR FELLOW 2yr'!E46+'All Other 2yr'!E46)-E46</f>
        <v>0</v>
      </c>
      <c r="AH46" s="75">
        <f>('INSTRUCTION-2YR'!F46+'RESEARCH 2yr'!F46+'PUBLIC SERVICE 2yr'!F46+'ASptISptSSv 2yr'!F46+'PLANT OPER MAIN 2yr'!F46+'SCHOLAR FELLOW 2yr'!F46+'All Other 2yr'!F46)-F46</f>
        <v>0</v>
      </c>
      <c r="AI46" s="75">
        <f>('INSTRUCTION-2YR'!G46+'RESEARCH 2yr'!G46+'PUBLIC SERVICE 2yr'!G46+'ASptISptSSv 2yr'!G46+'PLANT OPER MAIN 2yr'!G46+'SCHOLAR FELLOW 2yr'!G46+'All Other 2yr'!G46)-G46</f>
        <v>0</v>
      </c>
      <c r="AJ46" s="75">
        <f>('INSTRUCTION-2YR'!H46+'RESEARCH 2yr'!H46+'PUBLIC SERVICE 2yr'!H46+'ASptISptSSv 2yr'!H46+'PLANT OPER MAIN 2yr'!H46+'SCHOLAR FELLOW 2yr'!H46+'All Other 2yr'!H46)-H46</f>
        <v>0</v>
      </c>
      <c r="AK46" s="75">
        <f>('INSTRUCTION-2YR'!I46+'RESEARCH 2yr'!I46+'PUBLIC SERVICE 2yr'!I46+'ASptISptSSv 2yr'!I46+'PLANT OPER MAIN 2yr'!I46+'SCHOLAR FELLOW 2yr'!I46+'All Other 2yr'!I46)-I46</f>
        <v>0</v>
      </c>
      <c r="AL46" s="75">
        <f>('INSTRUCTION-2YR'!J46+'RESEARCH 2yr'!J46+'PUBLIC SERVICE 2yr'!J46+'ASptISptSSv 2yr'!J46+'PLANT OPER MAIN 2yr'!J46+'SCHOLAR FELLOW 2yr'!J46+'All Other 2yr'!J46)-J46</f>
        <v>0</v>
      </c>
      <c r="AM46" s="75">
        <f>('INSTRUCTION-2YR'!K46+'RESEARCH 2yr'!K46+'PUBLIC SERVICE 2yr'!K46+'ASptISptSSv 2yr'!K46+'PLANT OPER MAIN 2yr'!K46+'SCHOLAR FELLOW 2yr'!K46+'All Other 2yr'!K46)-K46</f>
        <v>0</v>
      </c>
      <c r="AN46" s="75">
        <f>('INSTRUCTION-2YR'!L46+'RESEARCH 2yr'!L46+'PUBLIC SERVICE 2yr'!L46+'ASptISptSSv 2yr'!L46+'PLANT OPER MAIN 2yr'!L46+'SCHOLAR FELLOW 2yr'!L46+'All Other 2yr'!L46)-L46</f>
        <v>0</v>
      </c>
      <c r="AO46" s="75">
        <f>('INSTRUCTION-2YR'!M46+'RESEARCH 2yr'!M46+'PUBLIC SERVICE 2yr'!M46+'ASptISptSSv 2yr'!M46+'PLANT OPER MAIN 2yr'!M46+'SCHOLAR FELLOW 2yr'!M46+'All Other 2yr'!M46)-M46</f>
        <v>0</v>
      </c>
      <c r="AP46" s="75">
        <f>('INSTRUCTION-2YR'!N46+'RESEARCH 2yr'!N46+'PUBLIC SERVICE 2yr'!N46+'ASptISptSSv 2yr'!N46+'PLANT OPER MAIN 2yr'!N46+'SCHOLAR FELLOW 2yr'!N46+'All Other 2yr'!N46)-N46</f>
        <v>0</v>
      </c>
      <c r="AQ46" s="75">
        <f>('INSTRUCTION-2YR'!O46+'RESEARCH 2yr'!O46+'PUBLIC SERVICE 2yr'!O46+'ASptISptSSv 2yr'!O46+'PLANT OPER MAIN 2yr'!O46+'SCHOLAR FELLOW 2yr'!O46+'All Other 2yr'!O46)-O46</f>
        <v>0</v>
      </c>
      <c r="AR46" s="75">
        <f>('INSTRUCTION-2YR'!P46+'RESEARCH 2yr'!P46+'PUBLIC SERVICE 2yr'!P46+'ASptISptSSv 2yr'!P46+'PLANT OPER MAIN 2yr'!P46+'SCHOLAR FELLOW 2yr'!P46+'All Other 2yr'!P46)-P46</f>
        <v>0</v>
      </c>
      <c r="AS46" s="75">
        <f>('INSTRUCTION-2YR'!Q46+'RESEARCH 2yr'!Q46+'PUBLIC SERVICE 2yr'!Q46+'ASptISptSSv 2yr'!Q46+'PLANT OPER MAIN 2yr'!Q46+'SCHOLAR FELLOW 2yr'!Q46+'All Other 2yr'!Q46)-Q46</f>
        <v>0</v>
      </c>
      <c r="AT46" s="75">
        <f>('INSTRUCTION-2YR'!R46+'RESEARCH 2yr'!R46+'PUBLIC SERVICE 2yr'!R46+'ASptISptSSv 2yr'!R46+'PLANT OPER MAIN 2yr'!R46+'SCHOLAR FELLOW 2yr'!R46+'All Other 2yr'!R46)-R46</f>
        <v>0</v>
      </c>
      <c r="AU46" s="75">
        <f>('INSTRUCTION-2YR'!S46+'RESEARCH 2yr'!S46+'PUBLIC SERVICE 2yr'!S46+'ASptISptSSv 2yr'!S46+'PLANT OPER MAIN 2yr'!S46+'SCHOLAR FELLOW 2yr'!S46+'All Other 2yr'!S46)-S46</f>
        <v>0</v>
      </c>
      <c r="AV46" s="75">
        <f>('INSTRUCTION-2YR'!T46+'RESEARCH 2yr'!T46+'PUBLIC SERVICE 2yr'!T46+'ASptISptSSv 2yr'!T46+'PLANT OPER MAIN 2yr'!T46+'SCHOLAR FELLOW 2yr'!T46+'All Other 2yr'!T46)-T46</f>
        <v>0</v>
      </c>
      <c r="AW46" s="75">
        <f>('INSTRUCTION-2YR'!U46+'RESEARCH 2yr'!U46+'PUBLIC SERVICE 2yr'!U46+'ASptISptSSv 2yr'!U46+'PLANT OPER MAIN 2yr'!U46+'SCHOLAR FELLOW 2yr'!U46+'All Other 2yr'!U46)-U46</f>
        <v>0</v>
      </c>
      <c r="AX46" s="75">
        <f>('INSTRUCTION-2YR'!V46+'RESEARCH 2yr'!V46+'PUBLIC SERVICE 2yr'!V46+'ASptISptSSv 2yr'!V46+'PLANT OPER MAIN 2yr'!V46+'SCHOLAR FELLOW 2yr'!V46+'All Other 2yr'!V46)-V46</f>
        <v>0</v>
      </c>
      <c r="AY46" s="75">
        <f>('INSTRUCTION-2YR'!W46+'RESEARCH 2yr'!W46+'PUBLIC SERVICE 2yr'!W46+'ASptISptSSv 2yr'!W46+'PLANT OPER MAIN 2yr'!W46+'SCHOLAR FELLOW 2yr'!W46+'All Other 2yr'!W46)-W46</f>
        <v>0</v>
      </c>
      <c r="AZ46" s="75">
        <f>('INSTRUCTION-2YR'!X46+'RESEARCH 2yr'!X46+'PUBLIC SERVICE 2yr'!X46+'ASptISptSSv 2yr'!X46+'PLANT OPER MAIN 2yr'!X46+'SCHOLAR FELLOW 2yr'!X46+'All Other 2yr'!X46)-X46</f>
        <v>0</v>
      </c>
      <c r="BA46" s="75">
        <f>('INSTRUCTION-2YR'!Y46+'RESEARCH 2yr'!Y46+'PUBLIC SERVICE 2yr'!Y46+'ASptISptSSv 2yr'!Y46+'PLANT OPER MAIN 2yr'!Y46+'SCHOLAR FELLOW 2yr'!Y46+'All Other 2yr'!Y46)-Y46</f>
        <v>0</v>
      </c>
      <c r="BB46" s="75">
        <f>('INSTRUCTION-2YR'!Z46+'RESEARCH 2yr'!Z46+'PUBLIC SERVICE 2yr'!Z46+'ASptISptSSv 2yr'!Z46+'PLANT OPER MAIN 2yr'!Z46+'SCHOLAR FELLOW 2yr'!Z46+'All Other 2yr'!Z46)-Z46</f>
        <v>0</v>
      </c>
      <c r="BC46" s="75">
        <f>('INSTRUCTION-2YR'!AA46+'RESEARCH 2yr'!AA46+'PUBLIC SERVICE 2yr'!AA46+'ASptISptSSv 2yr'!AA46+'PLANT OPER MAIN 2yr'!AA46+'SCHOLAR FELLOW 2yr'!AA46+'All Other 2yr'!AA46)-AA46</f>
        <v>0</v>
      </c>
      <c r="BD46" s="75">
        <f>('INSTRUCTION-2YR'!AB46+'RESEARCH 2yr'!AB46+'PUBLIC SERVICE 2yr'!AB46+'ASptISptSSv 2yr'!AB46+'PLANT OPER MAIN 2yr'!AB46+'SCHOLAR FELLOW 2yr'!AB46+'All Other 2yr'!AB46)-AB46</f>
        <v>0</v>
      </c>
      <c r="BE46" s="75">
        <f>('INSTRUCTION-2YR'!AC46+'RESEARCH 2yr'!AC46+'PUBLIC SERVICE 2yr'!AC46+'ASptISptSSv 2yr'!AC46+'PLANT OPER MAIN 2yr'!AC46+'SCHOLAR FELLOW 2yr'!AC46+'All Other 2yr'!AC46)-AC46</f>
        <v>0</v>
      </c>
    </row>
    <row r="47" spans="1:57">
      <c r="A47" s="1" t="s">
        <v>99</v>
      </c>
      <c r="F47" s="42">
        <v>373520.995</v>
      </c>
      <c r="I47" s="1">
        <v>520699.42599999998</v>
      </c>
      <c r="K47" s="1">
        <v>585028.45890000009</v>
      </c>
      <c r="L47" s="1">
        <v>621936.79799999995</v>
      </c>
      <c r="M47" s="1">
        <v>696988.071</v>
      </c>
      <c r="N47" s="1">
        <v>712501.86600000004</v>
      </c>
      <c r="O47" s="1">
        <v>761804.17099999997</v>
      </c>
      <c r="P47" s="1">
        <v>803183.26599999995</v>
      </c>
      <c r="Q47" s="1">
        <v>830515.03200000001</v>
      </c>
      <c r="R47" s="1">
        <v>877158.17099999997</v>
      </c>
      <c r="S47" s="1">
        <v>929569.88</v>
      </c>
      <c r="T47" s="1">
        <v>1016395.545</v>
      </c>
      <c r="U47" s="1">
        <v>1057378.585</v>
      </c>
      <c r="V47" s="1">
        <v>1154697.254</v>
      </c>
      <c r="W47" s="1">
        <v>1199554</v>
      </c>
      <c r="X47" s="1">
        <v>1169197.2990000001</v>
      </c>
      <c r="Y47" s="1">
        <v>920269.96499999997</v>
      </c>
      <c r="Z47" s="1">
        <v>919036.89599999995</v>
      </c>
      <c r="AA47" s="1">
        <v>904449.00300000003</v>
      </c>
      <c r="AB47" s="1">
        <v>1149706.3230000001</v>
      </c>
      <c r="AC47" s="1">
        <v>1300772.2350000001</v>
      </c>
      <c r="AD47" s="75">
        <f>('INSTRUCTION-2YR'!B47+'RESEARCH 2yr'!B47+'PUBLIC SERVICE 2yr'!B47+'ASptISptSSv 2yr'!B47+'PLANT OPER MAIN 2yr'!B47+'SCHOLAR FELLOW 2yr'!B47+'All Other 2yr'!B47)-B47</f>
        <v>0</v>
      </c>
      <c r="AE47" s="75">
        <f>('INSTRUCTION-2YR'!C47+'RESEARCH 2yr'!C47+'PUBLIC SERVICE 2yr'!C47+'ASptISptSSv 2yr'!C47+'PLANT OPER MAIN 2yr'!C47+'SCHOLAR FELLOW 2yr'!C47+'All Other 2yr'!C47)-C47</f>
        <v>0</v>
      </c>
      <c r="AF47" s="75">
        <f>('INSTRUCTION-2YR'!D47+'RESEARCH 2yr'!D47+'PUBLIC SERVICE 2yr'!D47+'ASptISptSSv 2yr'!D47+'PLANT OPER MAIN 2yr'!D47+'SCHOLAR FELLOW 2yr'!D47+'All Other 2yr'!D47)-D47</f>
        <v>0</v>
      </c>
      <c r="AG47" s="75">
        <f>('INSTRUCTION-2YR'!E47+'RESEARCH 2yr'!E47+'PUBLIC SERVICE 2yr'!E47+'ASptISptSSv 2yr'!E47+'PLANT OPER MAIN 2yr'!E47+'SCHOLAR FELLOW 2yr'!E47+'All Other 2yr'!E47)-E47</f>
        <v>0</v>
      </c>
      <c r="AH47" s="75">
        <f>('INSTRUCTION-2YR'!F47+'RESEARCH 2yr'!F47+'PUBLIC SERVICE 2yr'!F47+'ASptISptSSv 2yr'!F47+'PLANT OPER MAIN 2yr'!F47+'SCHOLAR FELLOW 2yr'!F47+'All Other 2yr'!F47)-F47</f>
        <v>0</v>
      </c>
      <c r="AI47" s="75">
        <f>('INSTRUCTION-2YR'!G47+'RESEARCH 2yr'!G47+'PUBLIC SERVICE 2yr'!G47+'ASptISptSSv 2yr'!G47+'PLANT OPER MAIN 2yr'!G47+'SCHOLAR FELLOW 2yr'!G47+'All Other 2yr'!G47)-G47</f>
        <v>0</v>
      </c>
      <c r="AJ47" s="75">
        <f>('INSTRUCTION-2YR'!H47+'RESEARCH 2yr'!H47+'PUBLIC SERVICE 2yr'!H47+'ASptISptSSv 2yr'!H47+'PLANT OPER MAIN 2yr'!H47+'SCHOLAR FELLOW 2yr'!H47+'All Other 2yr'!H47)-H47</f>
        <v>0</v>
      </c>
      <c r="AK47" s="75">
        <f>('INSTRUCTION-2YR'!I47+'RESEARCH 2yr'!I47+'PUBLIC SERVICE 2yr'!I47+'ASptISptSSv 2yr'!I47+'PLANT OPER MAIN 2yr'!I47+'SCHOLAR FELLOW 2yr'!I47+'All Other 2yr'!I47)-I47</f>
        <v>0</v>
      </c>
      <c r="AL47" s="75">
        <f>('INSTRUCTION-2YR'!J47+'RESEARCH 2yr'!J47+'PUBLIC SERVICE 2yr'!J47+'ASptISptSSv 2yr'!J47+'PLANT OPER MAIN 2yr'!J47+'SCHOLAR FELLOW 2yr'!J47+'All Other 2yr'!J47)-J47</f>
        <v>0</v>
      </c>
      <c r="AM47" s="75">
        <f>('INSTRUCTION-2YR'!K47+'RESEARCH 2yr'!K47+'PUBLIC SERVICE 2yr'!K47+'ASptISptSSv 2yr'!K47+'PLANT OPER MAIN 2yr'!K47+'SCHOLAR FELLOW 2yr'!K47+'All Other 2yr'!K47)-K47</f>
        <v>0</v>
      </c>
      <c r="AN47" s="75">
        <f>('INSTRUCTION-2YR'!L47+'RESEARCH 2yr'!L47+'PUBLIC SERVICE 2yr'!L47+'ASptISptSSv 2yr'!L47+'PLANT OPER MAIN 2yr'!L47+'SCHOLAR FELLOW 2yr'!L47+'All Other 2yr'!L47)-L47</f>
        <v>0</v>
      </c>
      <c r="AO47" s="75">
        <f>('INSTRUCTION-2YR'!M47+'RESEARCH 2yr'!M47+'PUBLIC SERVICE 2yr'!M47+'ASptISptSSv 2yr'!M47+'PLANT OPER MAIN 2yr'!M47+'SCHOLAR FELLOW 2yr'!M47+'All Other 2yr'!M47)-M47</f>
        <v>0</v>
      </c>
      <c r="AP47" s="75">
        <f>('INSTRUCTION-2YR'!N47+'RESEARCH 2yr'!N47+'PUBLIC SERVICE 2yr'!N47+'ASptISptSSv 2yr'!N47+'PLANT OPER MAIN 2yr'!N47+'SCHOLAR FELLOW 2yr'!N47+'All Other 2yr'!N47)-N47</f>
        <v>0</v>
      </c>
      <c r="AQ47" s="75">
        <f>('INSTRUCTION-2YR'!O47+'RESEARCH 2yr'!O47+'PUBLIC SERVICE 2yr'!O47+'ASptISptSSv 2yr'!O47+'PLANT OPER MAIN 2yr'!O47+'SCHOLAR FELLOW 2yr'!O47+'All Other 2yr'!O47)-O47</f>
        <v>0</v>
      </c>
      <c r="AR47" s="75">
        <f>('INSTRUCTION-2YR'!P47+'RESEARCH 2yr'!P47+'PUBLIC SERVICE 2yr'!P47+'ASptISptSSv 2yr'!P47+'PLANT OPER MAIN 2yr'!P47+'SCHOLAR FELLOW 2yr'!P47+'All Other 2yr'!P47)-P47</f>
        <v>0</v>
      </c>
      <c r="AS47" s="75">
        <f>('INSTRUCTION-2YR'!Q47+'RESEARCH 2yr'!Q47+'PUBLIC SERVICE 2yr'!Q47+'ASptISptSSv 2yr'!Q47+'PLANT OPER MAIN 2yr'!Q47+'SCHOLAR FELLOW 2yr'!Q47+'All Other 2yr'!Q47)-Q47</f>
        <v>0</v>
      </c>
      <c r="AT47" s="75">
        <f>('INSTRUCTION-2YR'!R47+'RESEARCH 2yr'!R47+'PUBLIC SERVICE 2yr'!R47+'ASptISptSSv 2yr'!R47+'PLANT OPER MAIN 2yr'!R47+'SCHOLAR FELLOW 2yr'!R47+'All Other 2yr'!R47)-R47</f>
        <v>0</v>
      </c>
      <c r="AU47" s="75">
        <f>('INSTRUCTION-2YR'!S47+'RESEARCH 2yr'!S47+'PUBLIC SERVICE 2yr'!S47+'ASptISptSSv 2yr'!S47+'PLANT OPER MAIN 2yr'!S47+'SCHOLAR FELLOW 2yr'!S47+'All Other 2yr'!S47)-S47</f>
        <v>0</v>
      </c>
      <c r="AV47" s="75">
        <f>('INSTRUCTION-2YR'!T47+'RESEARCH 2yr'!T47+'PUBLIC SERVICE 2yr'!T47+'ASptISptSSv 2yr'!T47+'PLANT OPER MAIN 2yr'!T47+'SCHOLAR FELLOW 2yr'!T47+'All Other 2yr'!T47)-T47</f>
        <v>0</v>
      </c>
      <c r="AW47" s="75">
        <f>('INSTRUCTION-2YR'!U47+'RESEARCH 2yr'!U47+'PUBLIC SERVICE 2yr'!U47+'ASptISptSSv 2yr'!U47+'PLANT OPER MAIN 2yr'!U47+'SCHOLAR FELLOW 2yr'!U47+'All Other 2yr'!U47)-U47</f>
        <v>0</v>
      </c>
      <c r="AX47" s="75">
        <f>('INSTRUCTION-2YR'!V47+'RESEARCH 2yr'!V47+'PUBLIC SERVICE 2yr'!V47+'ASptISptSSv 2yr'!V47+'PLANT OPER MAIN 2yr'!V47+'SCHOLAR FELLOW 2yr'!V47+'All Other 2yr'!V47)-V47</f>
        <v>0</v>
      </c>
      <c r="AY47" s="75">
        <f>('INSTRUCTION-2YR'!W47+'RESEARCH 2yr'!W47+'PUBLIC SERVICE 2yr'!W47+'ASptISptSSv 2yr'!W47+'PLANT OPER MAIN 2yr'!W47+'SCHOLAR FELLOW 2yr'!W47+'All Other 2yr'!W47)-W47</f>
        <v>0</v>
      </c>
      <c r="AZ47" s="75">
        <f>('INSTRUCTION-2YR'!X47+'RESEARCH 2yr'!X47+'PUBLIC SERVICE 2yr'!X47+'ASptISptSSv 2yr'!X47+'PLANT OPER MAIN 2yr'!X47+'SCHOLAR FELLOW 2yr'!X47+'All Other 2yr'!X47)-X47</f>
        <v>0</v>
      </c>
      <c r="BA47" s="75">
        <f>('INSTRUCTION-2YR'!Y47+'RESEARCH 2yr'!Y47+'PUBLIC SERVICE 2yr'!Y47+'ASptISptSSv 2yr'!Y47+'PLANT OPER MAIN 2yr'!Y47+'SCHOLAR FELLOW 2yr'!Y47+'All Other 2yr'!Y47)-Y47</f>
        <v>0</v>
      </c>
      <c r="BB47" s="75">
        <f>('INSTRUCTION-2YR'!Z47+'RESEARCH 2yr'!Z47+'PUBLIC SERVICE 2yr'!Z47+'ASptISptSSv 2yr'!Z47+'PLANT OPER MAIN 2yr'!Z47+'SCHOLAR FELLOW 2yr'!Z47+'All Other 2yr'!Z47)-Z47</f>
        <v>0</v>
      </c>
      <c r="BC47" s="75">
        <f>('INSTRUCTION-2YR'!AA47+'RESEARCH 2yr'!AA47+'PUBLIC SERVICE 2yr'!AA47+'ASptISptSSv 2yr'!AA47+'PLANT OPER MAIN 2yr'!AA47+'SCHOLAR FELLOW 2yr'!AA47+'All Other 2yr'!AA47)-AA47</f>
        <v>0</v>
      </c>
      <c r="BD47" s="75">
        <f>('INSTRUCTION-2YR'!AB47+'RESEARCH 2yr'!AB47+'PUBLIC SERVICE 2yr'!AB47+'ASptISptSSv 2yr'!AB47+'PLANT OPER MAIN 2yr'!AB47+'SCHOLAR FELLOW 2yr'!AB47+'All Other 2yr'!AB47)-AB47</f>
        <v>0</v>
      </c>
      <c r="BE47" s="75">
        <f>('INSTRUCTION-2YR'!AC47+'RESEARCH 2yr'!AC47+'PUBLIC SERVICE 2yr'!AC47+'ASptISptSSv 2yr'!AC47+'PLANT OPER MAIN 2yr'!AC47+'SCHOLAR FELLOW 2yr'!AC47+'All Other 2yr'!AC47)-AC47</f>
        <v>0</v>
      </c>
    </row>
    <row r="48" spans="1:57">
      <c r="A48" s="1" t="s">
        <v>59</v>
      </c>
      <c r="F48" s="42">
        <v>217768.98499999999</v>
      </c>
      <c r="I48" s="1">
        <v>105803.815</v>
      </c>
      <c r="K48" s="1">
        <v>341820.50599999999</v>
      </c>
      <c r="L48" s="1">
        <v>185012.33199999999</v>
      </c>
      <c r="M48" s="1">
        <v>253030.28700000001</v>
      </c>
      <c r="N48" s="1">
        <v>209689.06700000001</v>
      </c>
      <c r="O48" s="1">
        <v>233803.66200000001</v>
      </c>
      <c r="P48" s="1">
        <v>247604.644</v>
      </c>
      <c r="Q48" s="1">
        <v>266767.99400000001</v>
      </c>
      <c r="R48" s="1">
        <v>280971.21999999997</v>
      </c>
      <c r="S48" s="1">
        <v>300388.72700000001</v>
      </c>
      <c r="T48" s="1">
        <v>331162.076</v>
      </c>
      <c r="U48" s="1">
        <v>361007.50300000003</v>
      </c>
      <c r="V48" s="1">
        <v>429916.08299999998</v>
      </c>
      <c r="W48" s="1">
        <v>687884.103</v>
      </c>
      <c r="X48" s="1">
        <v>699748.87600000005</v>
      </c>
      <c r="Y48" s="1">
        <v>702462.36600000004</v>
      </c>
      <c r="Z48" s="1">
        <v>852848.57799999998</v>
      </c>
      <c r="AA48" s="1">
        <v>805288.69</v>
      </c>
      <c r="AB48" s="1">
        <v>805232.60900000005</v>
      </c>
      <c r="AC48" s="1">
        <v>813192.53200000001</v>
      </c>
      <c r="AD48" s="75">
        <f>('INSTRUCTION-2YR'!B48+'RESEARCH 2yr'!B48+'PUBLIC SERVICE 2yr'!B48+'ASptISptSSv 2yr'!B48+'PLANT OPER MAIN 2yr'!B48+'SCHOLAR FELLOW 2yr'!B48+'All Other 2yr'!B48)-B48</f>
        <v>0</v>
      </c>
      <c r="AE48" s="75">
        <f>('INSTRUCTION-2YR'!C48+'RESEARCH 2yr'!C48+'PUBLIC SERVICE 2yr'!C48+'ASptISptSSv 2yr'!C48+'PLANT OPER MAIN 2yr'!C48+'SCHOLAR FELLOW 2yr'!C48+'All Other 2yr'!C48)-C48</f>
        <v>0</v>
      </c>
      <c r="AF48" s="75">
        <f>('INSTRUCTION-2YR'!D48+'RESEARCH 2yr'!D48+'PUBLIC SERVICE 2yr'!D48+'ASptISptSSv 2yr'!D48+'PLANT OPER MAIN 2yr'!D48+'SCHOLAR FELLOW 2yr'!D48+'All Other 2yr'!D48)-D48</f>
        <v>0</v>
      </c>
      <c r="AG48" s="75">
        <f>('INSTRUCTION-2YR'!E48+'RESEARCH 2yr'!E48+'PUBLIC SERVICE 2yr'!E48+'ASptISptSSv 2yr'!E48+'PLANT OPER MAIN 2yr'!E48+'SCHOLAR FELLOW 2yr'!E48+'All Other 2yr'!E48)-E48</f>
        <v>0</v>
      </c>
      <c r="AH48" s="75">
        <f>('INSTRUCTION-2YR'!F48+'RESEARCH 2yr'!F48+'PUBLIC SERVICE 2yr'!F48+'ASptISptSSv 2yr'!F48+'PLANT OPER MAIN 2yr'!F48+'SCHOLAR FELLOW 2yr'!F48+'All Other 2yr'!F48)-F48</f>
        <v>0</v>
      </c>
      <c r="AI48" s="75">
        <f>('INSTRUCTION-2YR'!G48+'RESEARCH 2yr'!G48+'PUBLIC SERVICE 2yr'!G48+'ASptISptSSv 2yr'!G48+'PLANT OPER MAIN 2yr'!G48+'SCHOLAR FELLOW 2yr'!G48+'All Other 2yr'!G48)-G48</f>
        <v>0</v>
      </c>
      <c r="AJ48" s="75">
        <f>('INSTRUCTION-2YR'!H48+'RESEARCH 2yr'!H48+'PUBLIC SERVICE 2yr'!H48+'ASptISptSSv 2yr'!H48+'PLANT OPER MAIN 2yr'!H48+'SCHOLAR FELLOW 2yr'!H48+'All Other 2yr'!H48)-H48</f>
        <v>0</v>
      </c>
      <c r="AK48" s="75">
        <f>('INSTRUCTION-2YR'!I48+'RESEARCH 2yr'!I48+'PUBLIC SERVICE 2yr'!I48+'ASptISptSSv 2yr'!I48+'PLANT OPER MAIN 2yr'!I48+'SCHOLAR FELLOW 2yr'!I48+'All Other 2yr'!I48)-I48</f>
        <v>0</v>
      </c>
      <c r="AL48" s="75">
        <f>('INSTRUCTION-2YR'!J48+'RESEARCH 2yr'!J48+'PUBLIC SERVICE 2yr'!J48+'ASptISptSSv 2yr'!J48+'PLANT OPER MAIN 2yr'!J48+'SCHOLAR FELLOW 2yr'!J48+'All Other 2yr'!J48)-J48</f>
        <v>0</v>
      </c>
      <c r="AM48" s="75">
        <f>('INSTRUCTION-2YR'!K48+'RESEARCH 2yr'!K48+'PUBLIC SERVICE 2yr'!K48+'ASptISptSSv 2yr'!K48+'PLANT OPER MAIN 2yr'!K48+'SCHOLAR FELLOW 2yr'!K48+'All Other 2yr'!K48)-K48</f>
        <v>0</v>
      </c>
      <c r="AN48" s="75">
        <f>('INSTRUCTION-2YR'!L48+'RESEARCH 2yr'!L48+'PUBLIC SERVICE 2yr'!L48+'ASptISptSSv 2yr'!L48+'PLANT OPER MAIN 2yr'!L48+'SCHOLAR FELLOW 2yr'!L48+'All Other 2yr'!L48)-L48</f>
        <v>0</v>
      </c>
      <c r="AO48" s="75">
        <f>('INSTRUCTION-2YR'!M48+'RESEARCH 2yr'!M48+'PUBLIC SERVICE 2yr'!M48+'ASptISptSSv 2yr'!M48+'PLANT OPER MAIN 2yr'!M48+'SCHOLAR FELLOW 2yr'!M48+'All Other 2yr'!M48)-M48</f>
        <v>0</v>
      </c>
      <c r="AP48" s="75">
        <f>('INSTRUCTION-2YR'!N48+'RESEARCH 2yr'!N48+'PUBLIC SERVICE 2yr'!N48+'ASptISptSSv 2yr'!N48+'PLANT OPER MAIN 2yr'!N48+'SCHOLAR FELLOW 2yr'!N48+'All Other 2yr'!N48)-N48</f>
        <v>0</v>
      </c>
      <c r="AQ48" s="75">
        <f>('INSTRUCTION-2YR'!O48+'RESEARCH 2yr'!O48+'PUBLIC SERVICE 2yr'!O48+'ASptISptSSv 2yr'!O48+'PLANT OPER MAIN 2yr'!O48+'SCHOLAR FELLOW 2yr'!O48+'All Other 2yr'!O48)-O48</f>
        <v>0</v>
      </c>
      <c r="AR48" s="75">
        <f>('INSTRUCTION-2YR'!P48+'RESEARCH 2yr'!P48+'PUBLIC SERVICE 2yr'!P48+'ASptISptSSv 2yr'!P48+'PLANT OPER MAIN 2yr'!P48+'SCHOLAR FELLOW 2yr'!P48+'All Other 2yr'!P48)-P48</f>
        <v>0</v>
      </c>
      <c r="AS48" s="75">
        <f>('INSTRUCTION-2YR'!Q48+'RESEARCH 2yr'!Q48+'PUBLIC SERVICE 2yr'!Q48+'ASptISptSSv 2yr'!Q48+'PLANT OPER MAIN 2yr'!Q48+'SCHOLAR FELLOW 2yr'!Q48+'All Other 2yr'!Q48)-Q48</f>
        <v>0</v>
      </c>
      <c r="AT48" s="75">
        <f>('INSTRUCTION-2YR'!R48+'RESEARCH 2yr'!R48+'PUBLIC SERVICE 2yr'!R48+'ASptISptSSv 2yr'!R48+'PLANT OPER MAIN 2yr'!R48+'SCHOLAR FELLOW 2yr'!R48+'All Other 2yr'!R48)-R48</f>
        <v>0</v>
      </c>
      <c r="AU48" s="75">
        <f>('INSTRUCTION-2YR'!S48+'RESEARCH 2yr'!S48+'PUBLIC SERVICE 2yr'!S48+'ASptISptSSv 2yr'!S48+'PLANT OPER MAIN 2yr'!S48+'SCHOLAR FELLOW 2yr'!S48+'All Other 2yr'!S48)-S48</f>
        <v>0</v>
      </c>
      <c r="AV48" s="75">
        <f>('INSTRUCTION-2YR'!T48+'RESEARCH 2yr'!T48+'PUBLIC SERVICE 2yr'!T48+'ASptISptSSv 2yr'!T48+'PLANT OPER MAIN 2yr'!T48+'SCHOLAR FELLOW 2yr'!T48+'All Other 2yr'!T48)-T48</f>
        <v>0</v>
      </c>
      <c r="AW48" s="75">
        <f>('INSTRUCTION-2YR'!U48+'RESEARCH 2yr'!U48+'PUBLIC SERVICE 2yr'!U48+'ASptISptSSv 2yr'!U48+'PLANT OPER MAIN 2yr'!U48+'SCHOLAR FELLOW 2yr'!U48+'All Other 2yr'!U48)-U48</f>
        <v>0</v>
      </c>
      <c r="AX48" s="75">
        <f>('INSTRUCTION-2YR'!V48+'RESEARCH 2yr'!V48+'PUBLIC SERVICE 2yr'!V48+'ASptISptSSv 2yr'!V48+'PLANT OPER MAIN 2yr'!V48+'SCHOLAR FELLOW 2yr'!V48+'All Other 2yr'!V48)-V48</f>
        <v>0</v>
      </c>
      <c r="AY48" s="75">
        <f>('INSTRUCTION-2YR'!W48+'RESEARCH 2yr'!W48+'PUBLIC SERVICE 2yr'!W48+'ASptISptSSv 2yr'!W48+'PLANT OPER MAIN 2yr'!W48+'SCHOLAR FELLOW 2yr'!W48+'All Other 2yr'!W48)-W48</f>
        <v>0</v>
      </c>
      <c r="AZ48" s="75">
        <f>('INSTRUCTION-2YR'!X48+'RESEARCH 2yr'!X48+'PUBLIC SERVICE 2yr'!X48+'ASptISptSSv 2yr'!X48+'PLANT OPER MAIN 2yr'!X48+'SCHOLAR FELLOW 2yr'!X48+'All Other 2yr'!X48)-X48</f>
        <v>0</v>
      </c>
      <c r="BA48" s="75">
        <f>('INSTRUCTION-2YR'!Y48+'RESEARCH 2yr'!Y48+'PUBLIC SERVICE 2yr'!Y48+'ASptISptSSv 2yr'!Y48+'PLANT OPER MAIN 2yr'!Y48+'SCHOLAR FELLOW 2yr'!Y48+'All Other 2yr'!Y48)-Y48</f>
        <v>0</v>
      </c>
      <c r="BB48" s="75">
        <f>('INSTRUCTION-2YR'!Z48+'RESEARCH 2yr'!Z48+'PUBLIC SERVICE 2yr'!Z48+'ASptISptSSv 2yr'!Z48+'PLANT OPER MAIN 2yr'!Z48+'SCHOLAR FELLOW 2yr'!Z48+'All Other 2yr'!Z48)-Z48</f>
        <v>0</v>
      </c>
      <c r="BC48" s="75">
        <f>('INSTRUCTION-2YR'!AA48+'RESEARCH 2yr'!AA48+'PUBLIC SERVICE 2yr'!AA48+'ASptISptSSv 2yr'!AA48+'PLANT OPER MAIN 2yr'!AA48+'SCHOLAR FELLOW 2yr'!AA48+'All Other 2yr'!AA48)-AA48</f>
        <v>0</v>
      </c>
      <c r="BD48" s="75">
        <f>('INSTRUCTION-2YR'!AB48+'RESEARCH 2yr'!AB48+'PUBLIC SERVICE 2yr'!AB48+'ASptISptSSv 2yr'!AB48+'PLANT OPER MAIN 2yr'!AB48+'SCHOLAR FELLOW 2yr'!AB48+'All Other 2yr'!AB48)-AB48</f>
        <v>0</v>
      </c>
      <c r="BE48" s="75">
        <f>('INSTRUCTION-2YR'!AC48+'RESEARCH 2yr'!AC48+'PUBLIC SERVICE 2yr'!AC48+'ASptISptSSv 2yr'!AC48+'PLANT OPER MAIN 2yr'!AC48+'SCHOLAR FELLOW 2yr'!AC48+'All Other 2yr'!AC48)-AC48</f>
        <v>0</v>
      </c>
    </row>
    <row r="49" spans="1:57">
      <c r="A49" s="1" t="s">
        <v>101</v>
      </c>
      <c r="F49" s="42">
        <v>84499.707999999999</v>
      </c>
      <c r="I49" s="1">
        <v>90127.212</v>
      </c>
      <c r="K49" s="1">
        <v>145557.92600000001</v>
      </c>
      <c r="L49" s="1">
        <v>172604.73300000001</v>
      </c>
      <c r="M49" s="1">
        <v>182082.36199999999</v>
      </c>
      <c r="N49" s="1">
        <v>199283.041</v>
      </c>
      <c r="O49" s="1">
        <v>218573.15599999999</v>
      </c>
      <c r="P49" s="1">
        <v>232417.48199999999</v>
      </c>
      <c r="Q49" s="1">
        <v>237282.147</v>
      </c>
      <c r="R49" s="1">
        <v>248524.557</v>
      </c>
      <c r="S49" s="1">
        <v>259448.61199999999</v>
      </c>
      <c r="T49" s="1">
        <v>276772.32500000001</v>
      </c>
      <c r="U49" s="1">
        <v>300704.484</v>
      </c>
      <c r="V49" s="1">
        <v>342750.02299999999</v>
      </c>
      <c r="W49" s="1">
        <v>382302.96500000003</v>
      </c>
      <c r="X49" s="1">
        <v>398019.61</v>
      </c>
      <c r="Y49" s="1">
        <v>331798.61800000002</v>
      </c>
      <c r="Z49" s="1">
        <v>335954.14199999999</v>
      </c>
      <c r="AA49" s="1">
        <v>343376.16499999998</v>
      </c>
      <c r="AB49" s="1">
        <v>422960.55499999999</v>
      </c>
      <c r="AC49" s="1">
        <v>423921.03100000002</v>
      </c>
      <c r="AD49" s="75">
        <f>('INSTRUCTION-2YR'!B49+'RESEARCH 2yr'!B49+'PUBLIC SERVICE 2yr'!B49+'ASptISptSSv 2yr'!B49+'PLANT OPER MAIN 2yr'!B49+'SCHOLAR FELLOW 2yr'!B49+'All Other 2yr'!B49)-B49</f>
        <v>0</v>
      </c>
      <c r="AE49" s="75">
        <f>('INSTRUCTION-2YR'!C49+'RESEARCH 2yr'!C49+'PUBLIC SERVICE 2yr'!C49+'ASptISptSSv 2yr'!C49+'PLANT OPER MAIN 2yr'!C49+'SCHOLAR FELLOW 2yr'!C49+'All Other 2yr'!C49)-C49</f>
        <v>0</v>
      </c>
      <c r="AF49" s="75">
        <f>('INSTRUCTION-2YR'!D49+'RESEARCH 2yr'!D49+'PUBLIC SERVICE 2yr'!D49+'ASptISptSSv 2yr'!D49+'PLANT OPER MAIN 2yr'!D49+'SCHOLAR FELLOW 2yr'!D49+'All Other 2yr'!D49)-D49</f>
        <v>0</v>
      </c>
      <c r="AG49" s="75">
        <f>('INSTRUCTION-2YR'!E49+'RESEARCH 2yr'!E49+'PUBLIC SERVICE 2yr'!E49+'ASptISptSSv 2yr'!E49+'PLANT OPER MAIN 2yr'!E49+'SCHOLAR FELLOW 2yr'!E49+'All Other 2yr'!E49)-E49</f>
        <v>0</v>
      </c>
      <c r="AH49" s="75">
        <f>('INSTRUCTION-2YR'!F49+'RESEARCH 2yr'!F49+'PUBLIC SERVICE 2yr'!F49+'ASptISptSSv 2yr'!F49+'PLANT OPER MAIN 2yr'!F49+'SCHOLAR FELLOW 2yr'!F49+'All Other 2yr'!F49)-F49</f>
        <v>0</v>
      </c>
      <c r="AI49" s="75">
        <f>('INSTRUCTION-2YR'!G49+'RESEARCH 2yr'!G49+'PUBLIC SERVICE 2yr'!G49+'ASptISptSSv 2yr'!G49+'PLANT OPER MAIN 2yr'!G49+'SCHOLAR FELLOW 2yr'!G49+'All Other 2yr'!G49)-G49</f>
        <v>0</v>
      </c>
      <c r="AJ49" s="75">
        <f>('INSTRUCTION-2YR'!H49+'RESEARCH 2yr'!H49+'PUBLIC SERVICE 2yr'!H49+'ASptISptSSv 2yr'!H49+'PLANT OPER MAIN 2yr'!H49+'SCHOLAR FELLOW 2yr'!H49+'All Other 2yr'!H49)-H49</f>
        <v>0</v>
      </c>
      <c r="AK49" s="75">
        <f>('INSTRUCTION-2YR'!I49+'RESEARCH 2yr'!I49+'PUBLIC SERVICE 2yr'!I49+'ASptISptSSv 2yr'!I49+'PLANT OPER MAIN 2yr'!I49+'SCHOLAR FELLOW 2yr'!I49+'All Other 2yr'!I49)-I49</f>
        <v>0</v>
      </c>
      <c r="AL49" s="75">
        <f>('INSTRUCTION-2YR'!J49+'RESEARCH 2yr'!J49+'PUBLIC SERVICE 2yr'!J49+'ASptISptSSv 2yr'!J49+'PLANT OPER MAIN 2yr'!J49+'SCHOLAR FELLOW 2yr'!J49+'All Other 2yr'!J49)-J49</f>
        <v>0</v>
      </c>
      <c r="AM49" s="75">
        <f>('INSTRUCTION-2YR'!K49+'RESEARCH 2yr'!K49+'PUBLIC SERVICE 2yr'!K49+'ASptISptSSv 2yr'!K49+'PLANT OPER MAIN 2yr'!K49+'SCHOLAR FELLOW 2yr'!K49+'All Other 2yr'!K49)-K49</f>
        <v>0</v>
      </c>
      <c r="AN49" s="75">
        <f>('INSTRUCTION-2YR'!L49+'RESEARCH 2yr'!L49+'PUBLIC SERVICE 2yr'!L49+'ASptISptSSv 2yr'!L49+'PLANT OPER MAIN 2yr'!L49+'SCHOLAR FELLOW 2yr'!L49+'All Other 2yr'!L49)-L49</f>
        <v>0</v>
      </c>
      <c r="AO49" s="75">
        <f>('INSTRUCTION-2YR'!M49+'RESEARCH 2yr'!M49+'PUBLIC SERVICE 2yr'!M49+'ASptISptSSv 2yr'!M49+'PLANT OPER MAIN 2yr'!M49+'SCHOLAR FELLOW 2yr'!M49+'All Other 2yr'!M49)-M49</f>
        <v>0</v>
      </c>
      <c r="AP49" s="75">
        <f>('INSTRUCTION-2YR'!N49+'RESEARCH 2yr'!N49+'PUBLIC SERVICE 2yr'!N49+'ASptISptSSv 2yr'!N49+'PLANT OPER MAIN 2yr'!N49+'SCHOLAR FELLOW 2yr'!N49+'All Other 2yr'!N49)-N49</f>
        <v>0</v>
      </c>
      <c r="AQ49" s="75">
        <f>('INSTRUCTION-2YR'!O49+'RESEARCH 2yr'!O49+'PUBLIC SERVICE 2yr'!O49+'ASptISptSSv 2yr'!O49+'PLANT OPER MAIN 2yr'!O49+'SCHOLAR FELLOW 2yr'!O49+'All Other 2yr'!O49)-O49</f>
        <v>0</v>
      </c>
      <c r="AR49" s="75">
        <f>('INSTRUCTION-2YR'!P49+'RESEARCH 2yr'!P49+'PUBLIC SERVICE 2yr'!P49+'ASptISptSSv 2yr'!P49+'PLANT OPER MAIN 2yr'!P49+'SCHOLAR FELLOW 2yr'!P49+'All Other 2yr'!P49)-P49</f>
        <v>0</v>
      </c>
      <c r="AS49" s="75">
        <f>('INSTRUCTION-2YR'!Q49+'RESEARCH 2yr'!Q49+'PUBLIC SERVICE 2yr'!Q49+'ASptISptSSv 2yr'!Q49+'PLANT OPER MAIN 2yr'!Q49+'SCHOLAR FELLOW 2yr'!Q49+'All Other 2yr'!Q49)-Q49</f>
        <v>0</v>
      </c>
      <c r="AT49" s="75">
        <f>('INSTRUCTION-2YR'!R49+'RESEARCH 2yr'!R49+'PUBLIC SERVICE 2yr'!R49+'ASptISptSSv 2yr'!R49+'PLANT OPER MAIN 2yr'!R49+'SCHOLAR FELLOW 2yr'!R49+'All Other 2yr'!R49)-R49</f>
        <v>0</v>
      </c>
      <c r="AU49" s="75">
        <f>('INSTRUCTION-2YR'!S49+'RESEARCH 2yr'!S49+'PUBLIC SERVICE 2yr'!S49+'ASptISptSSv 2yr'!S49+'PLANT OPER MAIN 2yr'!S49+'SCHOLAR FELLOW 2yr'!S49+'All Other 2yr'!S49)-S49</f>
        <v>0</v>
      </c>
      <c r="AV49" s="75">
        <f>('INSTRUCTION-2YR'!T49+'RESEARCH 2yr'!T49+'PUBLIC SERVICE 2yr'!T49+'ASptISptSSv 2yr'!T49+'PLANT OPER MAIN 2yr'!T49+'SCHOLAR FELLOW 2yr'!T49+'All Other 2yr'!T49)-T49</f>
        <v>0</v>
      </c>
      <c r="AW49" s="75">
        <f>('INSTRUCTION-2YR'!U49+'RESEARCH 2yr'!U49+'PUBLIC SERVICE 2yr'!U49+'ASptISptSSv 2yr'!U49+'PLANT OPER MAIN 2yr'!U49+'SCHOLAR FELLOW 2yr'!U49+'All Other 2yr'!U49)-U49</f>
        <v>0</v>
      </c>
      <c r="AX49" s="75">
        <f>('INSTRUCTION-2YR'!V49+'RESEARCH 2yr'!V49+'PUBLIC SERVICE 2yr'!V49+'ASptISptSSv 2yr'!V49+'PLANT OPER MAIN 2yr'!V49+'SCHOLAR FELLOW 2yr'!V49+'All Other 2yr'!V49)-V49</f>
        <v>0</v>
      </c>
      <c r="AY49" s="75">
        <f>('INSTRUCTION-2YR'!W49+'RESEARCH 2yr'!W49+'PUBLIC SERVICE 2yr'!W49+'ASptISptSSv 2yr'!W49+'PLANT OPER MAIN 2yr'!W49+'SCHOLAR FELLOW 2yr'!W49+'All Other 2yr'!W49)-W49</f>
        <v>0</v>
      </c>
      <c r="AZ49" s="75">
        <f>('INSTRUCTION-2YR'!X49+'RESEARCH 2yr'!X49+'PUBLIC SERVICE 2yr'!X49+'ASptISptSSv 2yr'!X49+'PLANT OPER MAIN 2yr'!X49+'SCHOLAR FELLOW 2yr'!X49+'All Other 2yr'!X49)-X49</f>
        <v>0</v>
      </c>
      <c r="BA49" s="75">
        <f>('INSTRUCTION-2YR'!Y49+'RESEARCH 2yr'!Y49+'PUBLIC SERVICE 2yr'!Y49+'ASptISptSSv 2yr'!Y49+'PLANT OPER MAIN 2yr'!Y49+'SCHOLAR FELLOW 2yr'!Y49+'All Other 2yr'!Y49)-Y49</f>
        <v>0</v>
      </c>
      <c r="BB49" s="75">
        <f>('INSTRUCTION-2YR'!Z49+'RESEARCH 2yr'!Z49+'PUBLIC SERVICE 2yr'!Z49+'ASptISptSSv 2yr'!Z49+'PLANT OPER MAIN 2yr'!Z49+'SCHOLAR FELLOW 2yr'!Z49+'All Other 2yr'!Z49)-Z49</f>
        <v>0</v>
      </c>
      <c r="BC49" s="75">
        <f>('INSTRUCTION-2YR'!AA49+'RESEARCH 2yr'!AA49+'PUBLIC SERVICE 2yr'!AA49+'ASptISptSSv 2yr'!AA49+'PLANT OPER MAIN 2yr'!AA49+'SCHOLAR FELLOW 2yr'!AA49+'All Other 2yr'!AA49)-AA49</f>
        <v>0</v>
      </c>
      <c r="BD49" s="75">
        <f>('INSTRUCTION-2YR'!AB49+'RESEARCH 2yr'!AB49+'PUBLIC SERVICE 2yr'!AB49+'ASptISptSSv 2yr'!AB49+'PLANT OPER MAIN 2yr'!AB49+'SCHOLAR FELLOW 2yr'!AB49+'All Other 2yr'!AB49)-AB49</f>
        <v>0</v>
      </c>
      <c r="BE49" s="75">
        <f>('INSTRUCTION-2YR'!AC49+'RESEARCH 2yr'!AC49+'PUBLIC SERVICE 2yr'!AC49+'ASptISptSSv 2yr'!AC49+'PLANT OPER MAIN 2yr'!AC49+'SCHOLAR FELLOW 2yr'!AC49+'All Other 2yr'!AC49)-AC49</f>
        <v>0</v>
      </c>
    </row>
    <row r="50" spans="1:57">
      <c r="A50" s="1" t="s">
        <v>107</v>
      </c>
      <c r="F50" s="42">
        <v>46567.531000000003</v>
      </c>
      <c r="I50" s="1">
        <v>50587.714999999997</v>
      </c>
      <c r="K50" s="1">
        <v>55961.191980000018</v>
      </c>
      <c r="L50" s="1">
        <v>70273.726999999999</v>
      </c>
      <c r="M50" s="1">
        <v>60918.65</v>
      </c>
      <c r="N50" s="1">
        <v>69505.225000000006</v>
      </c>
      <c r="O50" s="1">
        <v>71847.675000000003</v>
      </c>
      <c r="P50" s="1">
        <v>72955.294999999998</v>
      </c>
      <c r="Q50" s="1">
        <v>83774.494999999995</v>
      </c>
      <c r="R50" s="1">
        <v>86380.774000000005</v>
      </c>
      <c r="S50" s="1">
        <v>88371.596000000005</v>
      </c>
      <c r="T50" s="1">
        <v>67575.335000000006</v>
      </c>
      <c r="U50" s="1">
        <v>109825.973</v>
      </c>
      <c r="V50" s="1">
        <v>116433.61599999999</v>
      </c>
      <c r="W50" s="1">
        <v>131572.93700000001</v>
      </c>
      <c r="X50" s="1">
        <v>140018.64000000001</v>
      </c>
      <c r="Y50" s="1">
        <v>138505.66</v>
      </c>
      <c r="Z50" s="1">
        <v>156752.22899999999</v>
      </c>
      <c r="AA50" s="1">
        <v>161938.462</v>
      </c>
      <c r="AB50" s="1">
        <v>175308.66</v>
      </c>
      <c r="AC50" s="1">
        <v>168097.41</v>
      </c>
      <c r="AD50" s="75">
        <f>('INSTRUCTION-2YR'!B50+'RESEARCH 2yr'!B50+'PUBLIC SERVICE 2yr'!B50+'ASptISptSSv 2yr'!B50+'PLANT OPER MAIN 2yr'!B50+'SCHOLAR FELLOW 2yr'!B50+'All Other 2yr'!B50)-B50</f>
        <v>0</v>
      </c>
      <c r="AE50" s="75">
        <f>('INSTRUCTION-2YR'!C50+'RESEARCH 2yr'!C50+'PUBLIC SERVICE 2yr'!C50+'ASptISptSSv 2yr'!C50+'PLANT OPER MAIN 2yr'!C50+'SCHOLAR FELLOW 2yr'!C50+'All Other 2yr'!C50)-C50</f>
        <v>0</v>
      </c>
      <c r="AF50" s="75">
        <f>('INSTRUCTION-2YR'!D50+'RESEARCH 2yr'!D50+'PUBLIC SERVICE 2yr'!D50+'ASptISptSSv 2yr'!D50+'PLANT OPER MAIN 2yr'!D50+'SCHOLAR FELLOW 2yr'!D50+'All Other 2yr'!D50)-D50</f>
        <v>0</v>
      </c>
      <c r="AG50" s="75">
        <f>('INSTRUCTION-2YR'!E50+'RESEARCH 2yr'!E50+'PUBLIC SERVICE 2yr'!E50+'ASptISptSSv 2yr'!E50+'PLANT OPER MAIN 2yr'!E50+'SCHOLAR FELLOW 2yr'!E50+'All Other 2yr'!E50)-E50</f>
        <v>0</v>
      </c>
      <c r="AH50" s="75">
        <f>('INSTRUCTION-2YR'!F50+'RESEARCH 2yr'!F50+'PUBLIC SERVICE 2yr'!F50+'ASptISptSSv 2yr'!F50+'PLANT OPER MAIN 2yr'!F50+'SCHOLAR FELLOW 2yr'!F50+'All Other 2yr'!F50)-F50</f>
        <v>0</v>
      </c>
      <c r="AI50" s="75">
        <f>('INSTRUCTION-2YR'!G50+'RESEARCH 2yr'!G50+'PUBLIC SERVICE 2yr'!G50+'ASptISptSSv 2yr'!G50+'PLANT OPER MAIN 2yr'!G50+'SCHOLAR FELLOW 2yr'!G50+'All Other 2yr'!G50)-G50</f>
        <v>0</v>
      </c>
      <c r="AJ50" s="75">
        <f>('INSTRUCTION-2YR'!H50+'RESEARCH 2yr'!H50+'PUBLIC SERVICE 2yr'!H50+'ASptISptSSv 2yr'!H50+'PLANT OPER MAIN 2yr'!H50+'SCHOLAR FELLOW 2yr'!H50+'All Other 2yr'!H50)-H50</f>
        <v>0</v>
      </c>
      <c r="AK50" s="75">
        <f>('INSTRUCTION-2YR'!I50+'RESEARCH 2yr'!I50+'PUBLIC SERVICE 2yr'!I50+'ASptISptSSv 2yr'!I50+'PLANT OPER MAIN 2yr'!I50+'SCHOLAR FELLOW 2yr'!I50+'All Other 2yr'!I50)-I50</f>
        <v>0</v>
      </c>
      <c r="AL50" s="75">
        <f>('INSTRUCTION-2YR'!J50+'RESEARCH 2yr'!J50+'PUBLIC SERVICE 2yr'!J50+'ASptISptSSv 2yr'!J50+'PLANT OPER MAIN 2yr'!J50+'SCHOLAR FELLOW 2yr'!J50+'All Other 2yr'!J50)-J50</f>
        <v>0</v>
      </c>
      <c r="AM50" s="75">
        <f>('INSTRUCTION-2YR'!K50+'RESEARCH 2yr'!K50+'PUBLIC SERVICE 2yr'!K50+'ASptISptSSv 2yr'!K50+'PLANT OPER MAIN 2yr'!K50+'SCHOLAR FELLOW 2yr'!K50+'All Other 2yr'!K50)-K50</f>
        <v>0</v>
      </c>
      <c r="AN50" s="75">
        <f>('INSTRUCTION-2YR'!L50+'RESEARCH 2yr'!L50+'PUBLIC SERVICE 2yr'!L50+'ASptISptSSv 2yr'!L50+'PLANT OPER MAIN 2yr'!L50+'SCHOLAR FELLOW 2yr'!L50+'All Other 2yr'!L50)-L50</f>
        <v>0</v>
      </c>
      <c r="AO50" s="75">
        <f>('INSTRUCTION-2YR'!M50+'RESEARCH 2yr'!M50+'PUBLIC SERVICE 2yr'!M50+'ASptISptSSv 2yr'!M50+'PLANT OPER MAIN 2yr'!M50+'SCHOLAR FELLOW 2yr'!M50+'All Other 2yr'!M50)-M50</f>
        <v>0</v>
      </c>
      <c r="AP50" s="75">
        <f>('INSTRUCTION-2YR'!N50+'RESEARCH 2yr'!N50+'PUBLIC SERVICE 2yr'!N50+'ASptISptSSv 2yr'!N50+'PLANT OPER MAIN 2yr'!N50+'SCHOLAR FELLOW 2yr'!N50+'All Other 2yr'!N50)-N50</f>
        <v>0</v>
      </c>
      <c r="AQ50" s="75">
        <f>('INSTRUCTION-2YR'!O50+'RESEARCH 2yr'!O50+'PUBLIC SERVICE 2yr'!O50+'ASptISptSSv 2yr'!O50+'PLANT OPER MAIN 2yr'!O50+'SCHOLAR FELLOW 2yr'!O50+'All Other 2yr'!O50)-O50</f>
        <v>0</v>
      </c>
      <c r="AR50" s="75">
        <f>('INSTRUCTION-2YR'!P50+'RESEARCH 2yr'!P50+'PUBLIC SERVICE 2yr'!P50+'ASptISptSSv 2yr'!P50+'PLANT OPER MAIN 2yr'!P50+'SCHOLAR FELLOW 2yr'!P50+'All Other 2yr'!P50)-P50</f>
        <v>0</v>
      </c>
      <c r="AS50" s="75">
        <f>('INSTRUCTION-2YR'!Q50+'RESEARCH 2yr'!Q50+'PUBLIC SERVICE 2yr'!Q50+'ASptISptSSv 2yr'!Q50+'PLANT OPER MAIN 2yr'!Q50+'SCHOLAR FELLOW 2yr'!Q50+'All Other 2yr'!Q50)-Q50</f>
        <v>0</v>
      </c>
      <c r="AT50" s="75">
        <f>('INSTRUCTION-2YR'!R50+'RESEARCH 2yr'!R50+'PUBLIC SERVICE 2yr'!R50+'ASptISptSSv 2yr'!R50+'PLANT OPER MAIN 2yr'!R50+'SCHOLAR FELLOW 2yr'!R50+'All Other 2yr'!R50)-R50</f>
        <v>0</v>
      </c>
      <c r="AU50" s="75">
        <f>('INSTRUCTION-2YR'!S50+'RESEARCH 2yr'!S50+'PUBLIC SERVICE 2yr'!S50+'ASptISptSSv 2yr'!S50+'PLANT OPER MAIN 2yr'!S50+'SCHOLAR FELLOW 2yr'!S50+'All Other 2yr'!S50)-S50</f>
        <v>0</v>
      </c>
      <c r="AV50" s="75">
        <f>('INSTRUCTION-2YR'!T50+'RESEARCH 2yr'!T50+'PUBLIC SERVICE 2yr'!T50+'ASptISptSSv 2yr'!T50+'PLANT OPER MAIN 2yr'!T50+'SCHOLAR FELLOW 2yr'!T50+'All Other 2yr'!T50)-T50</f>
        <v>0</v>
      </c>
      <c r="AW50" s="75">
        <f>('INSTRUCTION-2YR'!U50+'RESEARCH 2yr'!U50+'PUBLIC SERVICE 2yr'!U50+'ASptISptSSv 2yr'!U50+'PLANT OPER MAIN 2yr'!U50+'SCHOLAR FELLOW 2yr'!U50+'All Other 2yr'!U50)-U50</f>
        <v>0</v>
      </c>
      <c r="AX50" s="75">
        <f>('INSTRUCTION-2YR'!V50+'RESEARCH 2yr'!V50+'PUBLIC SERVICE 2yr'!V50+'ASptISptSSv 2yr'!V50+'PLANT OPER MAIN 2yr'!V50+'SCHOLAR FELLOW 2yr'!V50+'All Other 2yr'!V50)-V50</f>
        <v>0</v>
      </c>
      <c r="AY50" s="75">
        <f>('INSTRUCTION-2YR'!W50+'RESEARCH 2yr'!W50+'PUBLIC SERVICE 2yr'!W50+'ASptISptSSv 2yr'!W50+'PLANT OPER MAIN 2yr'!W50+'SCHOLAR FELLOW 2yr'!W50+'All Other 2yr'!W50)-W50</f>
        <v>0</v>
      </c>
      <c r="AZ50" s="75">
        <f>('INSTRUCTION-2YR'!X50+'RESEARCH 2yr'!X50+'PUBLIC SERVICE 2yr'!X50+'ASptISptSSv 2yr'!X50+'PLANT OPER MAIN 2yr'!X50+'SCHOLAR FELLOW 2yr'!X50+'All Other 2yr'!X50)-X50</f>
        <v>0</v>
      </c>
      <c r="BA50" s="75">
        <f>('INSTRUCTION-2YR'!Y50+'RESEARCH 2yr'!Y50+'PUBLIC SERVICE 2yr'!Y50+'ASptISptSSv 2yr'!Y50+'PLANT OPER MAIN 2yr'!Y50+'SCHOLAR FELLOW 2yr'!Y50+'All Other 2yr'!Y50)-Y50</f>
        <v>0</v>
      </c>
      <c r="BB50" s="75">
        <f>('INSTRUCTION-2YR'!Z50+'RESEARCH 2yr'!Z50+'PUBLIC SERVICE 2yr'!Z50+'ASptISptSSv 2yr'!Z50+'PLANT OPER MAIN 2yr'!Z50+'SCHOLAR FELLOW 2yr'!Z50+'All Other 2yr'!Z50)-Z50</f>
        <v>0</v>
      </c>
      <c r="BC50" s="75">
        <f>('INSTRUCTION-2YR'!AA50+'RESEARCH 2yr'!AA50+'PUBLIC SERVICE 2yr'!AA50+'ASptISptSSv 2yr'!AA50+'PLANT OPER MAIN 2yr'!AA50+'SCHOLAR FELLOW 2yr'!AA50+'All Other 2yr'!AA50)-AA50</f>
        <v>0</v>
      </c>
      <c r="BD50" s="75">
        <f>('INSTRUCTION-2YR'!AB50+'RESEARCH 2yr'!AB50+'PUBLIC SERVICE 2yr'!AB50+'ASptISptSSv 2yr'!AB50+'PLANT OPER MAIN 2yr'!AB50+'SCHOLAR FELLOW 2yr'!AB50+'All Other 2yr'!AB50)-AB50</f>
        <v>0</v>
      </c>
      <c r="BE50" s="75">
        <f>('INSTRUCTION-2YR'!AC50+'RESEARCH 2yr'!AC50+'PUBLIC SERVICE 2yr'!AC50+'ASptISptSSv 2yr'!AC50+'PLANT OPER MAIN 2yr'!AC50+'SCHOLAR FELLOW 2yr'!AC50+'All Other 2yr'!AC50)-AC50</f>
        <v>0</v>
      </c>
    </row>
    <row r="51" spans="1:57">
      <c r="A51" s="1" t="s">
        <v>108</v>
      </c>
      <c r="F51" s="42">
        <v>546852.27099999995</v>
      </c>
      <c r="I51" s="1">
        <v>668059.946</v>
      </c>
      <c r="K51" s="1">
        <v>716120.679</v>
      </c>
      <c r="L51" s="1">
        <v>890583.78200000001</v>
      </c>
      <c r="M51" s="1">
        <v>971383.05</v>
      </c>
      <c r="N51" s="1">
        <v>997393.18299999996</v>
      </c>
      <c r="O51" s="1">
        <v>1093816.929</v>
      </c>
      <c r="P51" s="1">
        <v>1129965.858</v>
      </c>
      <c r="Q51" s="1">
        <v>1176289.5330000001</v>
      </c>
      <c r="R51" s="1">
        <v>1246839.692</v>
      </c>
      <c r="S51" s="1">
        <v>1290832.23</v>
      </c>
      <c r="T51" s="1">
        <v>1365297.7990000001</v>
      </c>
      <c r="U51" s="1">
        <v>1753529.4650000001</v>
      </c>
      <c r="V51" s="1">
        <v>1895043.3659999999</v>
      </c>
      <c r="W51" s="1">
        <v>2077770.1669999999</v>
      </c>
      <c r="X51" s="1">
        <v>2025773.0430000001</v>
      </c>
      <c r="Y51" s="1">
        <v>1880464.6910000001</v>
      </c>
      <c r="Z51" s="1">
        <v>1837504.4580000001</v>
      </c>
      <c r="AA51" s="1">
        <v>1765623.08</v>
      </c>
      <c r="AB51" s="1">
        <v>1827281.98</v>
      </c>
      <c r="AC51" s="1">
        <v>1880938.68</v>
      </c>
      <c r="AD51" s="75">
        <f>('INSTRUCTION-2YR'!B51+'RESEARCH 2yr'!B51+'PUBLIC SERVICE 2yr'!B51+'ASptISptSSv 2yr'!B51+'PLANT OPER MAIN 2yr'!B51+'SCHOLAR FELLOW 2yr'!B51+'All Other 2yr'!B51)-B51</f>
        <v>0</v>
      </c>
      <c r="AE51" s="75">
        <f>('INSTRUCTION-2YR'!C51+'RESEARCH 2yr'!C51+'PUBLIC SERVICE 2yr'!C51+'ASptISptSSv 2yr'!C51+'PLANT OPER MAIN 2yr'!C51+'SCHOLAR FELLOW 2yr'!C51+'All Other 2yr'!C51)-C51</f>
        <v>0</v>
      </c>
      <c r="AF51" s="75">
        <f>('INSTRUCTION-2YR'!D51+'RESEARCH 2yr'!D51+'PUBLIC SERVICE 2yr'!D51+'ASptISptSSv 2yr'!D51+'PLANT OPER MAIN 2yr'!D51+'SCHOLAR FELLOW 2yr'!D51+'All Other 2yr'!D51)-D51</f>
        <v>0</v>
      </c>
      <c r="AG51" s="75">
        <f>('INSTRUCTION-2YR'!E51+'RESEARCH 2yr'!E51+'PUBLIC SERVICE 2yr'!E51+'ASptISptSSv 2yr'!E51+'PLANT OPER MAIN 2yr'!E51+'SCHOLAR FELLOW 2yr'!E51+'All Other 2yr'!E51)-E51</f>
        <v>0</v>
      </c>
      <c r="AH51" s="75">
        <f>('INSTRUCTION-2YR'!F51+'RESEARCH 2yr'!F51+'PUBLIC SERVICE 2yr'!F51+'ASptISptSSv 2yr'!F51+'PLANT OPER MAIN 2yr'!F51+'SCHOLAR FELLOW 2yr'!F51+'All Other 2yr'!F51)-F51</f>
        <v>0</v>
      </c>
      <c r="AI51" s="75">
        <f>('INSTRUCTION-2YR'!G51+'RESEARCH 2yr'!G51+'PUBLIC SERVICE 2yr'!G51+'ASptISptSSv 2yr'!G51+'PLANT OPER MAIN 2yr'!G51+'SCHOLAR FELLOW 2yr'!G51+'All Other 2yr'!G51)-G51</f>
        <v>0</v>
      </c>
      <c r="AJ51" s="75">
        <f>('INSTRUCTION-2YR'!H51+'RESEARCH 2yr'!H51+'PUBLIC SERVICE 2yr'!H51+'ASptISptSSv 2yr'!H51+'PLANT OPER MAIN 2yr'!H51+'SCHOLAR FELLOW 2yr'!H51+'All Other 2yr'!H51)-H51</f>
        <v>0</v>
      </c>
      <c r="AK51" s="75">
        <f>('INSTRUCTION-2YR'!I51+'RESEARCH 2yr'!I51+'PUBLIC SERVICE 2yr'!I51+'ASptISptSSv 2yr'!I51+'PLANT OPER MAIN 2yr'!I51+'SCHOLAR FELLOW 2yr'!I51+'All Other 2yr'!I51)-I51</f>
        <v>0</v>
      </c>
      <c r="AL51" s="75">
        <f>('INSTRUCTION-2YR'!J51+'RESEARCH 2yr'!J51+'PUBLIC SERVICE 2yr'!J51+'ASptISptSSv 2yr'!J51+'PLANT OPER MAIN 2yr'!J51+'SCHOLAR FELLOW 2yr'!J51+'All Other 2yr'!J51)-J51</f>
        <v>0</v>
      </c>
      <c r="AM51" s="75">
        <f>('INSTRUCTION-2YR'!K51+'RESEARCH 2yr'!K51+'PUBLIC SERVICE 2yr'!K51+'ASptISptSSv 2yr'!K51+'PLANT OPER MAIN 2yr'!K51+'SCHOLAR FELLOW 2yr'!K51+'All Other 2yr'!K51)-K51</f>
        <v>0</v>
      </c>
      <c r="AN51" s="75">
        <f>('INSTRUCTION-2YR'!L51+'RESEARCH 2yr'!L51+'PUBLIC SERVICE 2yr'!L51+'ASptISptSSv 2yr'!L51+'PLANT OPER MAIN 2yr'!L51+'SCHOLAR FELLOW 2yr'!L51+'All Other 2yr'!L51)-L51</f>
        <v>0</v>
      </c>
      <c r="AO51" s="75">
        <f>('INSTRUCTION-2YR'!M51+'RESEARCH 2yr'!M51+'PUBLIC SERVICE 2yr'!M51+'ASptISptSSv 2yr'!M51+'PLANT OPER MAIN 2yr'!M51+'SCHOLAR FELLOW 2yr'!M51+'All Other 2yr'!M51)-M51</f>
        <v>0</v>
      </c>
      <c r="AP51" s="75">
        <f>('INSTRUCTION-2YR'!N51+'RESEARCH 2yr'!N51+'PUBLIC SERVICE 2yr'!N51+'ASptISptSSv 2yr'!N51+'PLANT OPER MAIN 2yr'!N51+'SCHOLAR FELLOW 2yr'!N51+'All Other 2yr'!N51)-N51</f>
        <v>0</v>
      </c>
      <c r="AQ51" s="75">
        <f>('INSTRUCTION-2YR'!O51+'RESEARCH 2yr'!O51+'PUBLIC SERVICE 2yr'!O51+'ASptISptSSv 2yr'!O51+'PLANT OPER MAIN 2yr'!O51+'SCHOLAR FELLOW 2yr'!O51+'All Other 2yr'!O51)-O51</f>
        <v>0</v>
      </c>
      <c r="AR51" s="75">
        <f>('INSTRUCTION-2YR'!P51+'RESEARCH 2yr'!P51+'PUBLIC SERVICE 2yr'!P51+'ASptISptSSv 2yr'!P51+'PLANT OPER MAIN 2yr'!P51+'SCHOLAR FELLOW 2yr'!P51+'All Other 2yr'!P51)-P51</f>
        <v>0</v>
      </c>
      <c r="AS51" s="75">
        <f>('INSTRUCTION-2YR'!Q51+'RESEARCH 2yr'!Q51+'PUBLIC SERVICE 2yr'!Q51+'ASptISptSSv 2yr'!Q51+'PLANT OPER MAIN 2yr'!Q51+'SCHOLAR FELLOW 2yr'!Q51+'All Other 2yr'!Q51)-Q51</f>
        <v>0</v>
      </c>
      <c r="AT51" s="75">
        <f>('INSTRUCTION-2YR'!R51+'RESEARCH 2yr'!R51+'PUBLIC SERVICE 2yr'!R51+'ASptISptSSv 2yr'!R51+'PLANT OPER MAIN 2yr'!R51+'SCHOLAR FELLOW 2yr'!R51+'All Other 2yr'!R51)-R51</f>
        <v>0</v>
      </c>
      <c r="AU51" s="75">
        <f>('INSTRUCTION-2YR'!S51+'RESEARCH 2yr'!S51+'PUBLIC SERVICE 2yr'!S51+'ASptISptSSv 2yr'!S51+'PLANT OPER MAIN 2yr'!S51+'SCHOLAR FELLOW 2yr'!S51+'All Other 2yr'!S51)-S51</f>
        <v>0</v>
      </c>
      <c r="AV51" s="75">
        <f>('INSTRUCTION-2YR'!T51+'RESEARCH 2yr'!T51+'PUBLIC SERVICE 2yr'!T51+'ASptISptSSv 2yr'!T51+'PLANT OPER MAIN 2yr'!T51+'SCHOLAR FELLOW 2yr'!T51+'All Other 2yr'!T51)-T51</f>
        <v>0</v>
      </c>
      <c r="AW51" s="75">
        <f>('INSTRUCTION-2YR'!U51+'RESEARCH 2yr'!U51+'PUBLIC SERVICE 2yr'!U51+'ASptISptSSv 2yr'!U51+'PLANT OPER MAIN 2yr'!U51+'SCHOLAR FELLOW 2yr'!U51+'All Other 2yr'!U51)-U51</f>
        <v>0</v>
      </c>
      <c r="AX51" s="75">
        <f>('INSTRUCTION-2YR'!V51+'RESEARCH 2yr'!V51+'PUBLIC SERVICE 2yr'!V51+'ASptISptSSv 2yr'!V51+'PLANT OPER MAIN 2yr'!V51+'SCHOLAR FELLOW 2yr'!V51+'All Other 2yr'!V51)-V51</f>
        <v>0</v>
      </c>
      <c r="AY51" s="75">
        <f>('INSTRUCTION-2YR'!W51+'RESEARCH 2yr'!W51+'PUBLIC SERVICE 2yr'!W51+'ASptISptSSv 2yr'!W51+'PLANT OPER MAIN 2yr'!W51+'SCHOLAR FELLOW 2yr'!W51+'All Other 2yr'!W51)-W51</f>
        <v>0</v>
      </c>
      <c r="AZ51" s="75">
        <f>('INSTRUCTION-2YR'!X51+'RESEARCH 2yr'!X51+'PUBLIC SERVICE 2yr'!X51+'ASptISptSSv 2yr'!X51+'PLANT OPER MAIN 2yr'!X51+'SCHOLAR FELLOW 2yr'!X51+'All Other 2yr'!X51)-X51</f>
        <v>0</v>
      </c>
      <c r="BA51" s="75">
        <f>('INSTRUCTION-2YR'!Y51+'RESEARCH 2yr'!Y51+'PUBLIC SERVICE 2yr'!Y51+'ASptISptSSv 2yr'!Y51+'PLANT OPER MAIN 2yr'!Y51+'SCHOLAR FELLOW 2yr'!Y51+'All Other 2yr'!Y51)-Y51</f>
        <v>0</v>
      </c>
      <c r="BB51" s="75">
        <f>('INSTRUCTION-2YR'!Z51+'RESEARCH 2yr'!Z51+'PUBLIC SERVICE 2yr'!Z51+'ASptISptSSv 2yr'!Z51+'PLANT OPER MAIN 2yr'!Z51+'SCHOLAR FELLOW 2yr'!Z51+'All Other 2yr'!Z51)-Z51</f>
        <v>0</v>
      </c>
      <c r="BC51" s="75">
        <f>('INSTRUCTION-2YR'!AA51+'RESEARCH 2yr'!AA51+'PUBLIC SERVICE 2yr'!AA51+'ASptISptSSv 2yr'!AA51+'PLANT OPER MAIN 2yr'!AA51+'SCHOLAR FELLOW 2yr'!AA51+'All Other 2yr'!AA51)-AA51</f>
        <v>0</v>
      </c>
      <c r="BD51" s="75">
        <f>('INSTRUCTION-2YR'!AB51+'RESEARCH 2yr'!AB51+'PUBLIC SERVICE 2yr'!AB51+'ASptISptSSv 2yr'!AB51+'PLANT OPER MAIN 2yr'!AB51+'SCHOLAR FELLOW 2yr'!AB51+'All Other 2yr'!AB51)-AB51</f>
        <v>0</v>
      </c>
      <c r="BE51" s="75">
        <f>('INSTRUCTION-2YR'!AC51+'RESEARCH 2yr'!AC51+'PUBLIC SERVICE 2yr'!AC51+'ASptISptSSv 2yr'!AC51+'PLANT OPER MAIN 2yr'!AC51+'SCHOLAR FELLOW 2yr'!AC51+'All Other 2yr'!AC51)-AC51</f>
        <v>0</v>
      </c>
    </row>
    <row r="52" spans="1:57">
      <c r="A52" s="1" t="s">
        <v>112</v>
      </c>
      <c r="F52" s="42">
        <v>998.47299999999996</v>
      </c>
      <c r="I52" s="1">
        <v>1457.9169999999999</v>
      </c>
      <c r="K52" s="1">
        <v>31949.657669999986</v>
      </c>
      <c r="L52" s="1">
        <v>36751.06</v>
      </c>
      <c r="M52" s="1">
        <v>38934.281999999999</v>
      </c>
      <c r="N52" s="1">
        <v>46771.163</v>
      </c>
      <c r="O52" s="1">
        <v>42866.758000000002</v>
      </c>
      <c r="P52" s="1">
        <v>44326.999000000003</v>
      </c>
      <c r="Q52" s="1">
        <v>49996.264000000003</v>
      </c>
      <c r="R52" s="1">
        <v>47442.141000000003</v>
      </c>
      <c r="S52" s="1">
        <v>54394.813000000002</v>
      </c>
      <c r="T52" s="1">
        <v>56785.718000000001</v>
      </c>
      <c r="U52" s="1">
        <v>95024.167000000001</v>
      </c>
      <c r="V52" s="1">
        <v>80790.697</v>
      </c>
      <c r="W52" s="1">
        <v>87374.866999999998</v>
      </c>
      <c r="X52" s="1">
        <v>84961.760999999999</v>
      </c>
      <c r="Y52" s="1">
        <v>113995.546</v>
      </c>
      <c r="Z52" s="1">
        <v>121823.768</v>
      </c>
      <c r="AA52" s="1">
        <v>125774.91499999999</v>
      </c>
      <c r="AB52" s="1">
        <v>154213.378</v>
      </c>
      <c r="AC52" s="1">
        <v>125231.981</v>
      </c>
      <c r="AD52" s="75">
        <f>('INSTRUCTION-2YR'!B52+'RESEARCH 2yr'!B52+'PUBLIC SERVICE 2yr'!B52+'ASptISptSSv 2yr'!B52+'PLANT OPER MAIN 2yr'!B52+'SCHOLAR FELLOW 2yr'!B52+'All Other 2yr'!B52)-B52</f>
        <v>0</v>
      </c>
      <c r="AE52" s="75">
        <f>('INSTRUCTION-2YR'!C52+'RESEARCH 2yr'!C52+'PUBLIC SERVICE 2yr'!C52+'ASptISptSSv 2yr'!C52+'PLANT OPER MAIN 2yr'!C52+'SCHOLAR FELLOW 2yr'!C52+'All Other 2yr'!C52)-C52</f>
        <v>0</v>
      </c>
      <c r="AF52" s="75">
        <f>('INSTRUCTION-2YR'!D52+'RESEARCH 2yr'!D52+'PUBLIC SERVICE 2yr'!D52+'ASptISptSSv 2yr'!D52+'PLANT OPER MAIN 2yr'!D52+'SCHOLAR FELLOW 2yr'!D52+'All Other 2yr'!D52)-D52</f>
        <v>0</v>
      </c>
      <c r="AG52" s="75">
        <f>('INSTRUCTION-2YR'!E52+'RESEARCH 2yr'!E52+'PUBLIC SERVICE 2yr'!E52+'ASptISptSSv 2yr'!E52+'PLANT OPER MAIN 2yr'!E52+'SCHOLAR FELLOW 2yr'!E52+'All Other 2yr'!E52)-E52</f>
        <v>0</v>
      </c>
      <c r="AH52" s="75">
        <f>('INSTRUCTION-2YR'!F52+'RESEARCH 2yr'!F52+'PUBLIC SERVICE 2yr'!F52+'ASptISptSSv 2yr'!F52+'PLANT OPER MAIN 2yr'!F52+'SCHOLAR FELLOW 2yr'!F52+'All Other 2yr'!F52)-F52</f>
        <v>0</v>
      </c>
      <c r="AI52" s="75">
        <f>('INSTRUCTION-2YR'!G52+'RESEARCH 2yr'!G52+'PUBLIC SERVICE 2yr'!G52+'ASptISptSSv 2yr'!G52+'PLANT OPER MAIN 2yr'!G52+'SCHOLAR FELLOW 2yr'!G52+'All Other 2yr'!G52)-G52</f>
        <v>0</v>
      </c>
      <c r="AJ52" s="75">
        <f>('INSTRUCTION-2YR'!H52+'RESEARCH 2yr'!H52+'PUBLIC SERVICE 2yr'!H52+'ASptISptSSv 2yr'!H52+'PLANT OPER MAIN 2yr'!H52+'SCHOLAR FELLOW 2yr'!H52+'All Other 2yr'!H52)-H52</f>
        <v>0</v>
      </c>
      <c r="AK52" s="75">
        <f>('INSTRUCTION-2YR'!I52+'RESEARCH 2yr'!I52+'PUBLIC SERVICE 2yr'!I52+'ASptISptSSv 2yr'!I52+'PLANT OPER MAIN 2yr'!I52+'SCHOLAR FELLOW 2yr'!I52+'All Other 2yr'!I52)-I52</f>
        <v>0</v>
      </c>
      <c r="AL52" s="75">
        <f>('INSTRUCTION-2YR'!J52+'RESEARCH 2yr'!J52+'PUBLIC SERVICE 2yr'!J52+'ASptISptSSv 2yr'!J52+'PLANT OPER MAIN 2yr'!J52+'SCHOLAR FELLOW 2yr'!J52+'All Other 2yr'!J52)-J52</f>
        <v>0</v>
      </c>
      <c r="AM52" s="75">
        <f>('INSTRUCTION-2YR'!K52+'RESEARCH 2yr'!K52+'PUBLIC SERVICE 2yr'!K52+'ASptISptSSv 2yr'!K52+'PLANT OPER MAIN 2yr'!K52+'SCHOLAR FELLOW 2yr'!K52+'All Other 2yr'!K52)-K52</f>
        <v>0</v>
      </c>
      <c r="AN52" s="75">
        <f>('INSTRUCTION-2YR'!L52+'RESEARCH 2yr'!L52+'PUBLIC SERVICE 2yr'!L52+'ASptISptSSv 2yr'!L52+'PLANT OPER MAIN 2yr'!L52+'SCHOLAR FELLOW 2yr'!L52+'All Other 2yr'!L52)-L52</f>
        <v>0</v>
      </c>
      <c r="AO52" s="75">
        <f>('INSTRUCTION-2YR'!M52+'RESEARCH 2yr'!M52+'PUBLIC SERVICE 2yr'!M52+'ASptISptSSv 2yr'!M52+'PLANT OPER MAIN 2yr'!M52+'SCHOLAR FELLOW 2yr'!M52+'All Other 2yr'!M52)-M52</f>
        <v>0</v>
      </c>
      <c r="AP52" s="75">
        <f>('INSTRUCTION-2YR'!N52+'RESEARCH 2yr'!N52+'PUBLIC SERVICE 2yr'!N52+'ASptISptSSv 2yr'!N52+'PLANT OPER MAIN 2yr'!N52+'SCHOLAR FELLOW 2yr'!N52+'All Other 2yr'!N52)-N52</f>
        <v>0</v>
      </c>
      <c r="AQ52" s="75">
        <f>('INSTRUCTION-2YR'!O52+'RESEARCH 2yr'!O52+'PUBLIC SERVICE 2yr'!O52+'ASptISptSSv 2yr'!O52+'PLANT OPER MAIN 2yr'!O52+'SCHOLAR FELLOW 2yr'!O52+'All Other 2yr'!O52)-O52</f>
        <v>0</v>
      </c>
      <c r="AR52" s="75">
        <f>('INSTRUCTION-2YR'!P52+'RESEARCH 2yr'!P52+'PUBLIC SERVICE 2yr'!P52+'ASptISptSSv 2yr'!P52+'PLANT OPER MAIN 2yr'!P52+'SCHOLAR FELLOW 2yr'!P52+'All Other 2yr'!P52)-P52</f>
        <v>0</v>
      </c>
      <c r="AS52" s="75">
        <f>('INSTRUCTION-2YR'!Q52+'RESEARCH 2yr'!Q52+'PUBLIC SERVICE 2yr'!Q52+'ASptISptSSv 2yr'!Q52+'PLANT OPER MAIN 2yr'!Q52+'SCHOLAR FELLOW 2yr'!Q52+'All Other 2yr'!Q52)-Q52</f>
        <v>0</v>
      </c>
      <c r="AT52" s="75">
        <f>('INSTRUCTION-2YR'!R52+'RESEARCH 2yr'!R52+'PUBLIC SERVICE 2yr'!R52+'ASptISptSSv 2yr'!R52+'PLANT OPER MAIN 2yr'!R52+'SCHOLAR FELLOW 2yr'!R52+'All Other 2yr'!R52)-R52</f>
        <v>0</v>
      </c>
      <c r="AU52" s="75">
        <f>('INSTRUCTION-2YR'!S52+'RESEARCH 2yr'!S52+'PUBLIC SERVICE 2yr'!S52+'ASptISptSSv 2yr'!S52+'PLANT OPER MAIN 2yr'!S52+'SCHOLAR FELLOW 2yr'!S52+'All Other 2yr'!S52)-S52</f>
        <v>0</v>
      </c>
      <c r="AV52" s="75">
        <f>('INSTRUCTION-2YR'!T52+'RESEARCH 2yr'!T52+'PUBLIC SERVICE 2yr'!T52+'ASptISptSSv 2yr'!T52+'PLANT OPER MAIN 2yr'!T52+'SCHOLAR FELLOW 2yr'!T52+'All Other 2yr'!T52)-T52</f>
        <v>0</v>
      </c>
      <c r="AW52" s="75">
        <f>('INSTRUCTION-2YR'!U52+'RESEARCH 2yr'!U52+'PUBLIC SERVICE 2yr'!U52+'ASptISptSSv 2yr'!U52+'PLANT OPER MAIN 2yr'!U52+'SCHOLAR FELLOW 2yr'!U52+'All Other 2yr'!U52)-U52</f>
        <v>0</v>
      </c>
      <c r="AX52" s="75">
        <f>('INSTRUCTION-2YR'!V52+'RESEARCH 2yr'!V52+'PUBLIC SERVICE 2yr'!V52+'ASptISptSSv 2yr'!V52+'PLANT OPER MAIN 2yr'!V52+'SCHOLAR FELLOW 2yr'!V52+'All Other 2yr'!V52)-V52</f>
        <v>0</v>
      </c>
      <c r="AY52" s="75">
        <f>('INSTRUCTION-2YR'!W52+'RESEARCH 2yr'!W52+'PUBLIC SERVICE 2yr'!W52+'ASptISptSSv 2yr'!W52+'PLANT OPER MAIN 2yr'!W52+'SCHOLAR FELLOW 2yr'!W52+'All Other 2yr'!W52)-W52</f>
        <v>0</v>
      </c>
      <c r="AZ52" s="75">
        <f>('INSTRUCTION-2YR'!X52+'RESEARCH 2yr'!X52+'PUBLIC SERVICE 2yr'!X52+'ASptISptSSv 2yr'!X52+'PLANT OPER MAIN 2yr'!X52+'SCHOLAR FELLOW 2yr'!X52+'All Other 2yr'!X52)-X52</f>
        <v>0</v>
      </c>
      <c r="BA52" s="75">
        <f>('INSTRUCTION-2YR'!Y52+'RESEARCH 2yr'!Y52+'PUBLIC SERVICE 2yr'!Y52+'ASptISptSSv 2yr'!Y52+'PLANT OPER MAIN 2yr'!Y52+'SCHOLAR FELLOW 2yr'!Y52+'All Other 2yr'!Y52)-Y52</f>
        <v>0</v>
      </c>
      <c r="BB52" s="75">
        <f>('INSTRUCTION-2YR'!Z52+'RESEARCH 2yr'!Z52+'PUBLIC SERVICE 2yr'!Z52+'ASptISptSSv 2yr'!Z52+'PLANT OPER MAIN 2yr'!Z52+'SCHOLAR FELLOW 2yr'!Z52+'All Other 2yr'!Z52)-Z52</f>
        <v>0</v>
      </c>
      <c r="BC52" s="75">
        <f>('INSTRUCTION-2YR'!AA52+'RESEARCH 2yr'!AA52+'PUBLIC SERVICE 2yr'!AA52+'ASptISptSSv 2yr'!AA52+'PLANT OPER MAIN 2yr'!AA52+'SCHOLAR FELLOW 2yr'!AA52+'All Other 2yr'!AA52)-AA52</f>
        <v>0</v>
      </c>
      <c r="BD52" s="75">
        <f>('INSTRUCTION-2YR'!AB52+'RESEARCH 2yr'!AB52+'PUBLIC SERVICE 2yr'!AB52+'ASptISptSSv 2yr'!AB52+'PLANT OPER MAIN 2yr'!AB52+'SCHOLAR FELLOW 2yr'!AB52+'All Other 2yr'!AB52)-AB52</f>
        <v>0</v>
      </c>
      <c r="BE52" s="75">
        <f>('INSTRUCTION-2YR'!AC52+'RESEARCH 2yr'!AC52+'PUBLIC SERVICE 2yr'!AC52+'ASptISptSSv 2yr'!AC52+'PLANT OPER MAIN 2yr'!AC52+'SCHOLAR FELLOW 2yr'!AC52+'All Other 2yr'!AC52)-AC52</f>
        <v>0</v>
      </c>
    </row>
    <row r="53" spans="1:57">
      <c r="A53" s="24" t="s">
        <v>116</v>
      </c>
      <c r="B53" s="24"/>
      <c r="C53" s="24"/>
      <c r="D53" s="24"/>
      <c r="E53" s="24"/>
      <c r="F53" s="45">
        <v>510787.39600000001</v>
      </c>
      <c r="G53" s="24"/>
      <c r="H53" s="24"/>
      <c r="I53" s="24">
        <v>595608.83700000006</v>
      </c>
      <c r="J53" s="24"/>
      <c r="K53" s="24">
        <v>639344.73899999994</v>
      </c>
      <c r="L53" s="24">
        <v>770750.43799999997</v>
      </c>
      <c r="M53" s="24">
        <v>826238.39800000004</v>
      </c>
      <c r="N53" s="24">
        <v>920948.29599999997</v>
      </c>
      <c r="O53" s="24">
        <v>1037651.4129999999</v>
      </c>
      <c r="P53" s="24">
        <v>1091959.1170000001</v>
      </c>
      <c r="Q53" s="24">
        <v>1134862.3529999999</v>
      </c>
      <c r="R53" s="24">
        <v>1180218.4939999999</v>
      </c>
      <c r="S53" s="24">
        <v>1100006.4129999999</v>
      </c>
      <c r="T53" s="24">
        <v>1155590.8019999999</v>
      </c>
      <c r="U53" s="24">
        <v>1220581.895</v>
      </c>
      <c r="V53" s="24">
        <v>1486430.22</v>
      </c>
      <c r="W53" s="24">
        <v>1596188.977</v>
      </c>
      <c r="X53" s="24">
        <v>1540802.4580000001</v>
      </c>
      <c r="Y53" s="24">
        <v>404870.79300000001</v>
      </c>
      <c r="Z53" s="24">
        <v>406056.88199999998</v>
      </c>
      <c r="AA53" s="24">
        <v>382058.82299999997</v>
      </c>
      <c r="AB53" s="24">
        <v>1604830.5330000001</v>
      </c>
      <c r="AC53" s="24">
        <v>1557466.2390000001</v>
      </c>
      <c r="AD53" s="75">
        <f>('INSTRUCTION-2YR'!B53+'RESEARCH 2yr'!B53+'PUBLIC SERVICE 2yr'!B53+'ASptISptSSv 2yr'!B53+'PLANT OPER MAIN 2yr'!B53+'SCHOLAR FELLOW 2yr'!B53+'All Other 2yr'!B53)-B53</f>
        <v>0</v>
      </c>
      <c r="AE53" s="75">
        <f>('INSTRUCTION-2YR'!C53+'RESEARCH 2yr'!C53+'PUBLIC SERVICE 2yr'!C53+'ASptISptSSv 2yr'!C53+'PLANT OPER MAIN 2yr'!C53+'SCHOLAR FELLOW 2yr'!C53+'All Other 2yr'!C53)-C53</f>
        <v>0</v>
      </c>
      <c r="AF53" s="75">
        <f>('INSTRUCTION-2YR'!D53+'RESEARCH 2yr'!D53+'PUBLIC SERVICE 2yr'!D53+'ASptISptSSv 2yr'!D53+'PLANT OPER MAIN 2yr'!D53+'SCHOLAR FELLOW 2yr'!D53+'All Other 2yr'!D53)-D53</f>
        <v>0</v>
      </c>
      <c r="AG53" s="75">
        <f>('INSTRUCTION-2YR'!E53+'RESEARCH 2yr'!E53+'PUBLIC SERVICE 2yr'!E53+'ASptISptSSv 2yr'!E53+'PLANT OPER MAIN 2yr'!E53+'SCHOLAR FELLOW 2yr'!E53+'All Other 2yr'!E53)-E53</f>
        <v>0</v>
      </c>
      <c r="AH53" s="75">
        <f>('INSTRUCTION-2YR'!F53+'RESEARCH 2yr'!F53+'PUBLIC SERVICE 2yr'!F53+'ASptISptSSv 2yr'!F53+'PLANT OPER MAIN 2yr'!F53+'SCHOLAR FELLOW 2yr'!F53+'All Other 2yr'!F53)-F53</f>
        <v>0</v>
      </c>
      <c r="AI53" s="75">
        <f>('INSTRUCTION-2YR'!G53+'RESEARCH 2yr'!G53+'PUBLIC SERVICE 2yr'!G53+'ASptISptSSv 2yr'!G53+'PLANT OPER MAIN 2yr'!G53+'SCHOLAR FELLOW 2yr'!G53+'All Other 2yr'!G53)-G53</f>
        <v>0</v>
      </c>
      <c r="AJ53" s="75">
        <f>('INSTRUCTION-2YR'!H53+'RESEARCH 2yr'!H53+'PUBLIC SERVICE 2yr'!H53+'ASptISptSSv 2yr'!H53+'PLANT OPER MAIN 2yr'!H53+'SCHOLAR FELLOW 2yr'!H53+'All Other 2yr'!H53)-H53</f>
        <v>0</v>
      </c>
      <c r="AK53" s="75">
        <f>('INSTRUCTION-2YR'!I53+'RESEARCH 2yr'!I53+'PUBLIC SERVICE 2yr'!I53+'ASptISptSSv 2yr'!I53+'PLANT OPER MAIN 2yr'!I53+'SCHOLAR FELLOW 2yr'!I53+'All Other 2yr'!I53)-I53</f>
        <v>0</v>
      </c>
      <c r="AL53" s="75">
        <f>('INSTRUCTION-2YR'!J53+'RESEARCH 2yr'!J53+'PUBLIC SERVICE 2yr'!J53+'ASptISptSSv 2yr'!J53+'PLANT OPER MAIN 2yr'!J53+'SCHOLAR FELLOW 2yr'!J53+'All Other 2yr'!J53)-J53</f>
        <v>0</v>
      </c>
      <c r="AM53" s="75">
        <f>('INSTRUCTION-2YR'!K53+'RESEARCH 2yr'!K53+'PUBLIC SERVICE 2yr'!K53+'ASptISptSSv 2yr'!K53+'PLANT OPER MAIN 2yr'!K53+'SCHOLAR FELLOW 2yr'!K53+'All Other 2yr'!K53)-K53</f>
        <v>0</v>
      </c>
      <c r="AN53" s="75">
        <f>('INSTRUCTION-2YR'!L53+'RESEARCH 2yr'!L53+'PUBLIC SERVICE 2yr'!L53+'ASptISptSSv 2yr'!L53+'PLANT OPER MAIN 2yr'!L53+'SCHOLAR FELLOW 2yr'!L53+'All Other 2yr'!L53)-L53</f>
        <v>0</v>
      </c>
      <c r="AO53" s="75">
        <f>('INSTRUCTION-2YR'!M53+'RESEARCH 2yr'!M53+'PUBLIC SERVICE 2yr'!M53+'ASptISptSSv 2yr'!M53+'PLANT OPER MAIN 2yr'!M53+'SCHOLAR FELLOW 2yr'!M53+'All Other 2yr'!M53)-M53</f>
        <v>0</v>
      </c>
      <c r="AP53" s="75">
        <f>('INSTRUCTION-2YR'!N53+'RESEARCH 2yr'!N53+'PUBLIC SERVICE 2yr'!N53+'ASptISptSSv 2yr'!N53+'PLANT OPER MAIN 2yr'!N53+'SCHOLAR FELLOW 2yr'!N53+'All Other 2yr'!N53)-N53</f>
        <v>0</v>
      </c>
      <c r="AQ53" s="75">
        <f>('INSTRUCTION-2YR'!O53+'RESEARCH 2yr'!O53+'PUBLIC SERVICE 2yr'!O53+'ASptISptSSv 2yr'!O53+'PLANT OPER MAIN 2yr'!O53+'SCHOLAR FELLOW 2yr'!O53+'All Other 2yr'!O53)-O53</f>
        <v>0</v>
      </c>
      <c r="AR53" s="75">
        <f>('INSTRUCTION-2YR'!P53+'RESEARCH 2yr'!P53+'PUBLIC SERVICE 2yr'!P53+'ASptISptSSv 2yr'!P53+'PLANT OPER MAIN 2yr'!P53+'SCHOLAR FELLOW 2yr'!P53+'All Other 2yr'!P53)-P53</f>
        <v>0</v>
      </c>
      <c r="AS53" s="75">
        <f>('INSTRUCTION-2YR'!Q53+'RESEARCH 2yr'!Q53+'PUBLIC SERVICE 2yr'!Q53+'ASptISptSSv 2yr'!Q53+'PLANT OPER MAIN 2yr'!Q53+'SCHOLAR FELLOW 2yr'!Q53+'All Other 2yr'!Q53)-Q53</f>
        <v>0</v>
      </c>
      <c r="AT53" s="75">
        <f>('INSTRUCTION-2YR'!R53+'RESEARCH 2yr'!R53+'PUBLIC SERVICE 2yr'!R53+'ASptISptSSv 2yr'!R53+'PLANT OPER MAIN 2yr'!R53+'SCHOLAR FELLOW 2yr'!R53+'All Other 2yr'!R53)-R53</f>
        <v>0</v>
      </c>
      <c r="AU53" s="75">
        <f>('INSTRUCTION-2YR'!S53+'RESEARCH 2yr'!S53+'PUBLIC SERVICE 2yr'!S53+'ASptISptSSv 2yr'!S53+'PLANT OPER MAIN 2yr'!S53+'SCHOLAR FELLOW 2yr'!S53+'All Other 2yr'!S53)-S53</f>
        <v>0</v>
      </c>
      <c r="AV53" s="75">
        <f>('INSTRUCTION-2YR'!T53+'RESEARCH 2yr'!T53+'PUBLIC SERVICE 2yr'!T53+'ASptISptSSv 2yr'!T53+'PLANT OPER MAIN 2yr'!T53+'SCHOLAR FELLOW 2yr'!T53+'All Other 2yr'!T53)-T53</f>
        <v>0</v>
      </c>
      <c r="AW53" s="75">
        <f>('INSTRUCTION-2YR'!U53+'RESEARCH 2yr'!U53+'PUBLIC SERVICE 2yr'!U53+'ASptISptSSv 2yr'!U53+'PLANT OPER MAIN 2yr'!U53+'SCHOLAR FELLOW 2yr'!U53+'All Other 2yr'!U53)-U53</f>
        <v>0</v>
      </c>
      <c r="AX53" s="75">
        <f>('INSTRUCTION-2YR'!V53+'RESEARCH 2yr'!V53+'PUBLIC SERVICE 2yr'!V53+'ASptISptSSv 2yr'!V53+'PLANT OPER MAIN 2yr'!V53+'SCHOLAR FELLOW 2yr'!V53+'All Other 2yr'!V53)-V53</f>
        <v>0</v>
      </c>
      <c r="AY53" s="75">
        <f>('INSTRUCTION-2YR'!W53+'RESEARCH 2yr'!W53+'PUBLIC SERVICE 2yr'!W53+'ASptISptSSv 2yr'!W53+'PLANT OPER MAIN 2yr'!W53+'SCHOLAR FELLOW 2yr'!W53+'All Other 2yr'!W53)-W53</f>
        <v>0</v>
      </c>
      <c r="AZ53" s="75">
        <f>('INSTRUCTION-2YR'!X53+'RESEARCH 2yr'!X53+'PUBLIC SERVICE 2yr'!X53+'ASptISptSSv 2yr'!X53+'PLANT OPER MAIN 2yr'!X53+'SCHOLAR FELLOW 2yr'!X53+'All Other 2yr'!X53)-X53</f>
        <v>0</v>
      </c>
      <c r="BA53" s="75">
        <f>('INSTRUCTION-2YR'!Y53+'RESEARCH 2yr'!Y53+'PUBLIC SERVICE 2yr'!Y53+'ASptISptSSv 2yr'!Y53+'PLANT OPER MAIN 2yr'!Y53+'SCHOLAR FELLOW 2yr'!Y53+'All Other 2yr'!Y53)-Y53</f>
        <v>0</v>
      </c>
      <c r="BB53" s="75">
        <f>('INSTRUCTION-2YR'!Z53+'RESEARCH 2yr'!Z53+'PUBLIC SERVICE 2yr'!Z53+'ASptISptSSv 2yr'!Z53+'PLANT OPER MAIN 2yr'!Z53+'SCHOLAR FELLOW 2yr'!Z53+'All Other 2yr'!Z53)-Z53</f>
        <v>0</v>
      </c>
      <c r="BC53" s="75">
        <f>('INSTRUCTION-2YR'!AA53+'RESEARCH 2yr'!AA53+'PUBLIC SERVICE 2yr'!AA53+'ASptISptSSv 2yr'!AA53+'PLANT OPER MAIN 2yr'!AA53+'SCHOLAR FELLOW 2yr'!AA53+'All Other 2yr'!AA53)-AA53</f>
        <v>0</v>
      </c>
      <c r="BD53" s="75">
        <f>('INSTRUCTION-2YR'!AB53+'RESEARCH 2yr'!AB53+'PUBLIC SERVICE 2yr'!AB53+'ASptISptSSv 2yr'!AB53+'PLANT OPER MAIN 2yr'!AB53+'SCHOLAR FELLOW 2yr'!AB53+'All Other 2yr'!AB53)-AB53</f>
        <v>0</v>
      </c>
      <c r="BE53" s="75">
        <f>('INSTRUCTION-2YR'!AC53+'RESEARCH 2yr'!AC53+'PUBLIC SERVICE 2yr'!AC53+'ASptISptSSv 2yr'!AC53+'PLANT OPER MAIN 2yr'!AC53+'SCHOLAR FELLOW 2yr'!AC53+'All Other 2yr'!AC53)-AC53</f>
        <v>0</v>
      </c>
    </row>
    <row r="54" spans="1:57">
      <c r="A54" s="7" t="s">
        <v>122</v>
      </c>
      <c r="B54" s="48">
        <f>SUM(B56:B64)</f>
        <v>0</v>
      </c>
      <c r="C54" s="48">
        <f t="shared" ref="C54:V54" si="14">SUM(C56:C64)</f>
        <v>0</v>
      </c>
      <c r="D54" s="48">
        <f t="shared" si="14"/>
        <v>0</v>
      </c>
      <c r="E54" s="48">
        <f t="shared" si="14"/>
        <v>0</v>
      </c>
      <c r="F54" s="48">
        <f t="shared" si="14"/>
        <v>2533232.4800000004</v>
      </c>
      <c r="G54" s="48">
        <f t="shared" si="14"/>
        <v>0</v>
      </c>
      <c r="H54" s="48">
        <f t="shared" si="14"/>
        <v>0</v>
      </c>
      <c r="I54" s="48">
        <f t="shared" si="14"/>
        <v>3065473.6850000001</v>
      </c>
      <c r="J54" s="48">
        <f t="shared" si="14"/>
        <v>0</v>
      </c>
      <c r="K54" s="48">
        <f t="shared" si="14"/>
        <v>3365600.8136</v>
      </c>
      <c r="L54" s="48">
        <f t="shared" si="14"/>
        <v>3529665.105</v>
      </c>
      <c r="M54" s="48">
        <f t="shared" si="14"/>
        <v>3997311.909</v>
      </c>
      <c r="N54" s="48">
        <f t="shared" si="14"/>
        <v>4490608.0620000008</v>
      </c>
      <c r="O54" s="48">
        <f t="shared" si="14"/>
        <v>4791328.7770000007</v>
      </c>
      <c r="P54" s="48">
        <f t="shared" si="14"/>
        <v>5130386.1159999995</v>
      </c>
      <c r="Q54" s="48">
        <f t="shared" si="14"/>
        <v>5395933.4569999995</v>
      </c>
      <c r="R54" s="48">
        <f t="shared" si="14"/>
        <v>5613718.773</v>
      </c>
      <c r="S54" s="48">
        <f t="shared" si="14"/>
        <v>6188346.9439999983</v>
      </c>
      <c r="T54" s="48">
        <f>SUM(T56:T64)</f>
        <v>6374489.2599999998</v>
      </c>
      <c r="U54" s="48">
        <f t="shared" si="14"/>
        <v>6906321.8549999995</v>
      </c>
      <c r="V54" s="48">
        <f t="shared" si="14"/>
        <v>7724590.3159999996</v>
      </c>
      <c r="W54" s="48">
        <f>SUM(W56:W64)</f>
        <v>8186438.2180000003</v>
      </c>
      <c r="X54" s="48">
        <f t="shared" ref="X54:AC54" si="15">SUM(X56:X64)</f>
        <v>8411047.409</v>
      </c>
      <c r="Y54" s="48">
        <f t="shared" si="15"/>
        <v>8619884.5019999985</v>
      </c>
      <c r="Z54" s="48">
        <f t="shared" si="15"/>
        <v>8883948.6579999998</v>
      </c>
      <c r="AA54" s="48">
        <f t="shared" si="15"/>
        <v>8972196.1750000007</v>
      </c>
      <c r="AB54" s="48">
        <f t="shared" si="15"/>
        <v>8964693.0260000005</v>
      </c>
      <c r="AC54" s="48">
        <f t="shared" si="15"/>
        <v>8929601.2359999996</v>
      </c>
      <c r="AD54" s="75">
        <f>('INSTRUCTION-2YR'!B54+'RESEARCH 2yr'!B54+'PUBLIC SERVICE 2yr'!B54+'ASptISptSSv 2yr'!B54+'PLANT OPER MAIN 2yr'!B54+'SCHOLAR FELLOW 2yr'!B54+'All Other 2yr'!B54)-B54</f>
        <v>0</v>
      </c>
      <c r="AE54" s="75">
        <f>('INSTRUCTION-2YR'!C54+'RESEARCH 2yr'!C54+'PUBLIC SERVICE 2yr'!C54+'ASptISptSSv 2yr'!C54+'PLANT OPER MAIN 2yr'!C54+'SCHOLAR FELLOW 2yr'!C54+'All Other 2yr'!C54)-C54</f>
        <v>0</v>
      </c>
      <c r="AF54" s="75">
        <f>('INSTRUCTION-2YR'!D54+'RESEARCH 2yr'!D54+'PUBLIC SERVICE 2yr'!D54+'ASptISptSSv 2yr'!D54+'PLANT OPER MAIN 2yr'!D54+'SCHOLAR FELLOW 2yr'!D54+'All Other 2yr'!D54)-D54</f>
        <v>0</v>
      </c>
      <c r="AG54" s="75">
        <f>('INSTRUCTION-2YR'!E54+'RESEARCH 2yr'!E54+'PUBLIC SERVICE 2yr'!E54+'ASptISptSSv 2yr'!E54+'PLANT OPER MAIN 2yr'!E54+'SCHOLAR FELLOW 2yr'!E54+'All Other 2yr'!E54)-E54</f>
        <v>0</v>
      </c>
      <c r="AH54" s="75">
        <f>('INSTRUCTION-2YR'!F54+'RESEARCH 2yr'!F54+'PUBLIC SERVICE 2yr'!F54+'ASptISptSSv 2yr'!F54+'PLANT OPER MAIN 2yr'!F54+'SCHOLAR FELLOW 2yr'!F54+'All Other 2yr'!F54)</f>
        <v>2533232.48</v>
      </c>
      <c r="AI54" s="75">
        <f>('INSTRUCTION-2YR'!G54+'RESEARCH 2yr'!G54+'PUBLIC SERVICE 2yr'!G54+'ASptISptSSv 2yr'!G54+'PLANT OPER MAIN 2yr'!G54+'SCHOLAR FELLOW 2yr'!G54+'All Other 2yr'!G54)-G54</f>
        <v>0</v>
      </c>
      <c r="AJ54" s="75">
        <f>('INSTRUCTION-2YR'!H54+'RESEARCH 2yr'!H54+'PUBLIC SERVICE 2yr'!H54+'ASptISptSSv 2yr'!H54+'PLANT OPER MAIN 2yr'!H54+'SCHOLAR FELLOW 2yr'!H54+'All Other 2yr'!H54)-H54</f>
        <v>0</v>
      </c>
      <c r="AK54" s="75">
        <f>('INSTRUCTION-2YR'!I54+'RESEARCH 2yr'!I54+'PUBLIC SERVICE 2yr'!I54+'ASptISptSSv 2yr'!I54+'PLANT OPER MAIN 2yr'!I54+'SCHOLAR FELLOW 2yr'!I54+'All Other 2yr'!I54)-I54</f>
        <v>0</v>
      </c>
      <c r="AL54" s="75">
        <f>('INSTRUCTION-2YR'!J54+'RESEARCH 2yr'!J54+'PUBLIC SERVICE 2yr'!J54+'ASptISptSSv 2yr'!J54+'PLANT OPER MAIN 2yr'!J54+'SCHOLAR FELLOW 2yr'!J54+'All Other 2yr'!J54)-J54</f>
        <v>0</v>
      </c>
      <c r="AM54" s="75">
        <f>('INSTRUCTION-2YR'!K54+'RESEARCH 2yr'!K54+'PUBLIC SERVICE 2yr'!K54+'ASptISptSSv 2yr'!K54+'PLANT OPER MAIN 2yr'!K54+'SCHOLAR FELLOW 2yr'!K54+'All Other 2yr'!K54)-K54</f>
        <v>0</v>
      </c>
      <c r="AN54" s="75">
        <f>('INSTRUCTION-2YR'!L54+'RESEARCH 2yr'!L54+'PUBLIC SERVICE 2yr'!L54+'ASptISptSSv 2yr'!L54+'PLANT OPER MAIN 2yr'!L54+'SCHOLAR FELLOW 2yr'!L54+'All Other 2yr'!L54)-L54</f>
        <v>0</v>
      </c>
      <c r="AO54" s="75">
        <f>('INSTRUCTION-2YR'!M54+'RESEARCH 2yr'!M54+'PUBLIC SERVICE 2yr'!M54+'ASptISptSSv 2yr'!M54+'PLANT OPER MAIN 2yr'!M54+'SCHOLAR FELLOW 2yr'!M54+'All Other 2yr'!M54)-M54</f>
        <v>0</v>
      </c>
      <c r="AP54" s="75">
        <f>('INSTRUCTION-2YR'!N54+'RESEARCH 2yr'!N54+'PUBLIC SERVICE 2yr'!N54+'ASptISptSSv 2yr'!N54+'PLANT OPER MAIN 2yr'!N54+'SCHOLAR FELLOW 2yr'!N54+'All Other 2yr'!N54)-N54</f>
        <v>0</v>
      </c>
      <c r="AQ54" s="75">
        <f>('INSTRUCTION-2YR'!O54+'RESEARCH 2yr'!O54+'PUBLIC SERVICE 2yr'!O54+'ASptISptSSv 2yr'!O54+'PLANT OPER MAIN 2yr'!O54+'SCHOLAR FELLOW 2yr'!O54+'All Other 2yr'!O54)-O54</f>
        <v>0</v>
      </c>
      <c r="AR54" s="75">
        <f>('INSTRUCTION-2YR'!P54+'RESEARCH 2yr'!P54+'PUBLIC SERVICE 2yr'!P54+'ASptISptSSv 2yr'!P54+'PLANT OPER MAIN 2yr'!P54+'SCHOLAR FELLOW 2yr'!P54+'All Other 2yr'!P54)-P54</f>
        <v>0</v>
      </c>
      <c r="AS54" s="75">
        <f>('INSTRUCTION-2YR'!Q54+'RESEARCH 2yr'!Q54+'PUBLIC SERVICE 2yr'!Q54+'ASptISptSSv 2yr'!Q54+'PLANT OPER MAIN 2yr'!Q54+'SCHOLAR FELLOW 2yr'!Q54+'All Other 2yr'!Q54)-Q54</f>
        <v>0</v>
      </c>
      <c r="AT54" s="75">
        <f>('INSTRUCTION-2YR'!R54+'RESEARCH 2yr'!R54+'PUBLIC SERVICE 2yr'!R54+'ASptISptSSv 2yr'!R54+'PLANT OPER MAIN 2yr'!R54+'SCHOLAR FELLOW 2yr'!R54+'All Other 2yr'!R54)-R54</f>
        <v>0</v>
      </c>
      <c r="AU54" s="75">
        <f>('INSTRUCTION-2YR'!S54+'RESEARCH 2yr'!S54+'PUBLIC SERVICE 2yr'!S54+'ASptISptSSv 2yr'!S54+'PLANT OPER MAIN 2yr'!S54+'SCHOLAR FELLOW 2yr'!S54+'All Other 2yr'!S54)-S54</f>
        <v>0</v>
      </c>
      <c r="AV54" s="75">
        <f>('INSTRUCTION-2YR'!T54+'RESEARCH 2yr'!T54+'PUBLIC SERVICE 2yr'!T54+'ASptISptSSv 2yr'!T54+'PLANT OPER MAIN 2yr'!T54+'SCHOLAR FELLOW 2yr'!T54+'All Other 2yr'!T54)-T54</f>
        <v>0</v>
      </c>
      <c r="AW54" s="75">
        <f>('INSTRUCTION-2YR'!U54+'RESEARCH 2yr'!U54+'PUBLIC SERVICE 2yr'!U54+'ASptISptSSv 2yr'!U54+'PLANT OPER MAIN 2yr'!U54+'SCHOLAR FELLOW 2yr'!U54+'All Other 2yr'!U54)-U54</f>
        <v>0</v>
      </c>
      <c r="AX54" s="75">
        <f>('INSTRUCTION-2YR'!V54+'RESEARCH 2yr'!V54+'PUBLIC SERVICE 2yr'!V54+'ASptISptSSv 2yr'!V54+'PLANT OPER MAIN 2yr'!V54+'SCHOLAR FELLOW 2yr'!V54+'All Other 2yr'!V54)-V54</f>
        <v>0</v>
      </c>
      <c r="AY54" s="75">
        <f>('INSTRUCTION-2YR'!W54+'RESEARCH 2yr'!W54+'PUBLIC SERVICE 2yr'!W54+'ASptISptSSv 2yr'!W54+'PLANT OPER MAIN 2yr'!W54+'SCHOLAR FELLOW 2yr'!W54+'All Other 2yr'!W54)-W54</f>
        <v>0</v>
      </c>
      <c r="AZ54" s="75">
        <f>('INSTRUCTION-2YR'!X54+'RESEARCH 2yr'!X54+'PUBLIC SERVICE 2yr'!X54+'ASptISptSSv 2yr'!X54+'PLANT OPER MAIN 2yr'!X54+'SCHOLAR FELLOW 2yr'!X54+'All Other 2yr'!X54)-X54</f>
        <v>0</v>
      </c>
      <c r="BA54" s="75">
        <f>('INSTRUCTION-2YR'!Y54+'RESEARCH 2yr'!Y54+'PUBLIC SERVICE 2yr'!Y54+'ASptISptSSv 2yr'!Y54+'PLANT OPER MAIN 2yr'!Y54+'SCHOLAR FELLOW 2yr'!Y54+'All Other 2yr'!Y54)-Y54</f>
        <v>0</v>
      </c>
      <c r="BB54" s="75">
        <f>('INSTRUCTION-2YR'!Z54+'RESEARCH 2yr'!Z54+'PUBLIC SERVICE 2yr'!Z54+'ASptISptSSv 2yr'!Z54+'PLANT OPER MAIN 2yr'!Z54+'SCHOLAR FELLOW 2yr'!Z54+'All Other 2yr'!Z54)-Z54</f>
        <v>0</v>
      </c>
      <c r="BC54" s="75">
        <f>('INSTRUCTION-2YR'!AA54+'RESEARCH 2yr'!AA54+'PUBLIC SERVICE 2yr'!AA54+'ASptISptSSv 2yr'!AA54+'PLANT OPER MAIN 2yr'!AA54+'SCHOLAR FELLOW 2yr'!AA54+'All Other 2yr'!AA54)-AA54</f>
        <v>0</v>
      </c>
      <c r="BD54" s="75">
        <f>('INSTRUCTION-2YR'!AB54+'RESEARCH 2yr'!AB54+'PUBLIC SERVICE 2yr'!AB54+'ASptISptSSv 2yr'!AB54+'PLANT OPER MAIN 2yr'!AB54+'SCHOLAR FELLOW 2yr'!AB54+'All Other 2yr'!AB54)-AB54</f>
        <v>0</v>
      </c>
      <c r="BE54" s="75">
        <f>('INSTRUCTION-2YR'!AC54+'RESEARCH 2yr'!AC54+'PUBLIC SERVICE 2yr'!AC54+'ASptISptSSv 2yr'!AC54+'PLANT OPER MAIN 2yr'!AC54+'SCHOLAR FELLOW 2yr'!AC54+'All Other 2yr'!AC54)-AC54</f>
        <v>0</v>
      </c>
    </row>
    <row r="55" spans="1:57">
      <c r="A55" s="7" t="s">
        <v>119</v>
      </c>
      <c r="X55" s="1">
        <v>0</v>
      </c>
      <c r="Y55" s="1">
        <v>0</v>
      </c>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row>
    <row r="56" spans="1:57">
      <c r="A56" s="1" t="s">
        <v>89</v>
      </c>
      <c r="F56" s="42">
        <v>126064.042</v>
      </c>
      <c r="I56" s="1">
        <v>151338.78</v>
      </c>
      <c r="K56" s="1">
        <v>205825.50477999993</v>
      </c>
      <c r="L56" s="1">
        <v>234951.32</v>
      </c>
      <c r="M56" s="1">
        <v>251403.32</v>
      </c>
      <c r="N56" s="1">
        <v>282303.24</v>
      </c>
      <c r="O56" s="1">
        <v>300079.22499999998</v>
      </c>
      <c r="P56" s="1">
        <v>309184.696</v>
      </c>
      <c r="Q56" s="1">
        <v>338742.554</v>
      </c>
      <c r="R56" s="1">
        <v>356125</v>
      </c>
      <c r="S56" s="1">
        <v>377777.68</v>
      </c>
      <c r="T56" s="1">
        <v>426040.56800000003</v>
      </c>
      <c r="U56" s="1">
        <v>466818.51500000001</v>
      </c>
      <c r="V56" s="1">
        <v>490467.70199999999</v>
      </c>
      <c r="W56" s="1">
        <v>529135.53200000001</v>
      </c>
      <c r="X56" s="1">
        <v>528930.027</v>
      </c>
      <c r="Y56" s="1">
        <v>535393.223</v>
      </c>
      <c r="Z56" s="1">
        <v>569085.21100000001</v>
      </c>
      <c r="AA56" s="1">
        <v>582670.95400000003</v>
      </c>
      <c r="AB56" s="1">
        <v>594237.56400000001</v>
      </c>
      <c r="AC56" s="1">
        <v>598085.70400000003</v>
      </c>
      <c r="AD56" s="75">
        <f>('INSTRUCTION-2YR'!B56+'RESEARCH 2yr'!B56+'PUBLIC SERVICE 2yr'!B56+'ASptISptSSv 2yr'!B56+'PLANT OPER MAIN 2yr'!B56+'SCHOLAR FELLOW 2yr'!B56+'All Other 2yr'!B56)-B56</f>
        <v>0</v>
      </c>
      <c r="AE56" s="75">
        <f>('INSTRUCTION-2YR'!C56+'RESEARCH 2yr'!C56+'PUBLIC SERVICE 2yr'!C56+'ASptISptSSv 2yr'!C56+'PLANT OPER MAIN 2yr'!C56+'SCHOLAR FELLOW 2yr'!C56+'All Other 2yr'!C56)-C56</f>
        <v>0</v>
      </c>
      <c r="AF56" s="75">
        <f>('INSTRUCTION-2YR'!D56+'RESEARCH 2yr'!D56+'PUBLIC SERVICE 2yr'!D56+'ASptISptSSv 2yr'!D56+'PLANT OPER MAIN 2yr'!D56+'SCHOLAR FELLOW 2yr'!D56+'All Other 2yr'!D56)-D56</f>
        <v>0</v>
      </c>
      <c r="AG56" s="75">
        <f>('INSTRUCTION-2YR'!E56+'RESEARCH 2yr'!E56+'PUBLIC SERVICE 2yr'!E56+'ASptISptSSv 2yr'!E56+'PLANT OPER MAIN 2yr'!E56+'SCHOLAR FELLOW 2yr'!E56+'All Other 2yr'!E56)-E56</f>
        <v>0</v>
      </c>
      <c r="AH56" s="75">
        <f>('INSTRUCTION-2YR'!F56+'RESEARCH 2yr'!F56+'PUBLIC SERVICE 2yr'!F56+'ASptISptSSv 2yr'!F56+'PLANT OPER MAIN 2yr'!F56+'SCHOLAR FELLOW 2yr'!F56+'All Other 2yr'!F56)-F56</f>
        <v>0</v>
      </c>
      <c r="AI56" s="75">
        <f>('INSTRUCTION-2YR'!G56+'RESEARCH 2yr'!G56+'PUBLIC SERVICE 2yr'!G56+'ASptISptSSv 2yr'!G56+'PLANT OPER MAIN 2yr'!G56+'SCHOLAR FELLOW 2yr'!G56+'All Other 2yr'!G56)-G56</f>
        <v>0</v>
      </c>
      <c r="AJ56" s="75">
        <f>('INSTRUCTION-2YR'!H56+'RESEARCH 2yr'!H56+'PUBLIC SERVICE 2yr'!H56+'ASptISptSSv 2yr'!H56+'PLANT OPER MAIN 2yr'!H56+'SCHOLAR FELLOW 2yr'!H56+'All Other 2yr'!H56)-H56</f>
        <v>0</v>
      </c>
      <c r="AK56" s="75">
        <f>('INSTRUCTION-2YR'!I56+'RESEARCH 2yr'!I56+'PUBLIC SERVICE 2yr'!I56+'ASptISptSSv 2yr'!I56+'PLANT OPER MAIN 2yr'!I56+'SCHOLAR FELLOW 2yr'!I56+'All Other 2yr'!I56)-I56</f>
        <v>0</v>
      </c>
      <c r="AL56" s="75">
        <f>('INSTRUCTION-2YR'!J56+'RESEARCH 2yr'!J56+'PUBLIC SERVICE 2yr'!J56+'ASptISptSSv 2yr'!J56+'PLANT OPER MAIN 2yr'!J56+'SCHOLAR FELLOW 2yr'!J56+'All Other 2yr'!J56)-J56</f>
        <v>0</v>
      </c>
      <c r="AM56" s="75">
        <f>('INSTRUCTION-2YR'!K56+'RESEARCH 2yr'!K56+'PUBLIC SERVICE 2yr'!K56+'ASptISptSSv 2yr'!K56+'PLANT OPER MAIN 2yr'!K56+'SCHOLAR FELLOW 2yr'!K56+'All Other 2yr'!K56)-K56</f>
        <v>0</v>
      </c>
      <c r="AN56" s="75">
        <f>('INSTRUCTION-2YR'!L56+'RESEARCH 2yr'!L56+'PUBLIC SERVICE 2yr'!L56+'ASptISptSSv 2yr'!L56+'PLANT OPER MAIN 2yr'!L56+'SCHOLAR FELLOW 2yr'!L56+'All Other 2yr'!L56)-L56</f>
        <v>0</v>
      </c>
      <c r="AO56" s="75">
        <f>('INSTRUCTION-2YR'!M56+'RESEARCH 2yr'!M56+'PUBLIC SERVICE 2yr'!M56+'ASptISptSSv 2yr'!M56+'PLANT OPER MAIN 2yr'!M56+'SCHOLAR FELLOW 2yr'!M56+'All Other 2yr'!M56)-M56</f>
        <v>0</v>
      </c>
      <c r="AP56" s="75">
        <f>('INSTRUCTION-2YR'!N56+'RESEARCH 2yr'!N56+'PUBLIC SERVICE 2yr'!N56+'ASptISptSSv 2yr'!N56+'PLANT OPER MAIN 2yr'!N56+'SCHOLAR FELLOW 2yr'!N56+'All Other 2yr'!N56)-N56</f>
        <v>0</v>
      </c>
      <c r="AQ56" s="75">
        <f>('INSTRUCTION-2YR'!O56+'RESEARCH 2yr'!O56+'PUBLIC SERVICE 2yr'!O56+'ASptISptSSv 2yr'!O56+'PLANT OPER MAIN 2yr'!O56+'SCHOLAR FELLOW 2yr'!O56+'All Other 2yr'!O56)-O56</f>
        <v>0</v>
      </c>
      <c r="AR56" s="75">
        <f>('INSTRUCTION-2YR'!P56+'RESEARCH 2yr'!P56+'PUBLIC SERVICE 2yr'!P56+'ASptISptSSv 2yr'!P56+'PLANT OPER MAIN 2yr'!P56+'SCHOLAR FELLOW 2yr'!P56+'All Other 2yr'!P56)-P56</f>
        <v>0</v>
      </c>
      <c r="AS56" s="75">
        <f>('INSTRUCTION-2YR'!Q56+'RESEARCH 2yr'!Q56+'PUBLIC SERVICE 2yr'!Q56+'ASptISptSSv 2yr'!Q56+'PLANT OPER MAIN 2yr'!Q56+'SCHOLAR FELLOW 2yr'!Q56+'All Other 2yr'!Q56)-Q56</f>
        <v>0</v>
      </c>
      <c r="AT56" s="75">
        <f>('INSTRUCTION-2YR'!R56+'RESEARCH 2yr'!R56+'PUBLIC SERVICE 2yr'!R56+'ASptISptSSv 2yr'!R56+'PLANT OPER MAIN 2yr'!R56+'SCHOLAR FELLOW 2yr'!R56+'All Other 2yr'!R56)-R56</f>
        <v>0</v>
      </c>
      <c r="AU56" s="75">
        <f>('INSTRUCTION-2YR'!S56+'RESEARCH 2yr'!S56+'PUBLIC SERVICE 2yr'!S56+'ASptISptSSv 2yr'!S56+'PLANT OPER MAIN 2yr'!S56+'SCHOLAR FELLOW 2yr'!S56+'All Other 2yr'!S56)-S56</f>
        <v>0</v>
      </c>
      <c r="AV56" s="75">
        <f>('INSTRUCTION-2YR'!T56+'RESEARCH 2yr'!T56+'PUBLIC SERVICE 2yr'!T56+'ASptISptSSv 2yr'!T56+'PLANT OPER MAIN 2yr'!T56+'SCHOLAR FELLOW 2yr'!T56+'All Other 2yr'!T56)-T56</f>
        <v>0</v>
      </c>
      <c r="AW56" s="75">
        <f>('INSTRUCTION-2YR'!U56+'RESEARCH 2yr'!U56+'PUBLIC SERVICE 2yr'!U56+'ASptISptSSv 2yr'!U56+'PLANT OPER MAIN 2yr'!U56+'SCHOLAR FELLOW 2yr'!U56+'All Other 2yr'!U56)-U56</f>
        <v>0</v>
      </c>
      <c r="AX56" s="75">
        <f>('INSTRUCTION-2YR'!V56+'RESEARCH 2yr'!V56+'PUBLIC SERVICE 2yr'!V56+'ASptISptSSv 2yr'!V56+'PLANT OPER MAIN 2yr'!V56+'SCHOLAR FELLOW 2yr'!V56+'All Other 2yr'!V56)-V56</f>
        <v>0</v>
      </c>
      <c r="AY56" s="75">
        <f>('INSTRUCTION-2YR'!W56+'RESEARCH 2yr'!W56+'PUBLIC SERVICE 2yr'!W56+'ASptISptSSv 2yr'!W56+'PLANT OPER MAIN 2yr'!W56+'SCHOLAR FELLOW 2yr'!W56+'All Other 2yr'!W56)-W56</f>
        <v>0</v>
      </c>
      <c r="AZ56" s="75">
        <f>('INSTRUCTION-2YR'!X56+'RESEARCH 2yr'!X56+'PUBLIC SERVICE 2yr'!X56+'ASptISptSSv 2yr'!X56+'PLANT OPER MAIN 2yr'!X56+'SCHOLAR FELLOW 2yr'!X56+'All Other 2yr'!X56)-X56</f>
        <v>0</v>
      </c>
      <c r="BA56" s="75">
        <f>('INSTRUCTION-2YR'!Y56+'RESEARCH 2yr'!Y56+'PUBLIC SERVICE 2yr'!Y56+'ASptISptSSv 2yr'!Y56+'PLANT OPER MAIN 2yr'!Y56+'SCHOLAR FELLOW 2yr'!Y56+'All Other 2yr'!Y56)-Y56</f>
        <v>0</v>
      </c>
      <c r="BB56" s="75">
        <f>('INSTRUCTION-2YR'!Z56+'RESEARCH 2yr'!Z56+'PUBLIC SERVICE 2yr'!Z56+'ASptISptSSv 2yr'!Z56+'PLANT OPER MAIN 2yr'!Z56+'SCHOLAR FELLOW 2yr'!Z56+'All Other 2yr'!Z56)-Z56</f>
        <v>0</v>
      </c>
      <c r="BC56" s="75">
        <f>('INSTRUCTION-2YR'!AA56+'RESEARCH 2yr'!AA56+'PUBLIC SERVICE 2yr'!AA56+'ASptISptSSv 2yr'!AA56+'PLANT OPER MAIN 2yr'!AA56+'SCHOLAR FELLOW 2yr'!AA56+'All Other 2yr'!AA56)-AA56</f>
        <v>0</v>
      </c>
      <c r="BD56" s="75">
        <f>('INSTRUCTION-2YR'!AB56+'RESEARCH 2yr'!AB56+'PUBLIC SERVICE 2yr'!AB56+'ASptISptSSv 2yr'!AB56+'PLANT OPER MAIN 2yr'!AB56+'SCHOLAR FELLOW 2yr'!AB56+'All Other 2yr'!AB56)-AB56</f>
        <v>0</v>
      </c>
      <c r="BE56" s="75">
        <f>('INSTRUCTION-2YR'!AC56+'RESEARCH 2yr'!AC56+'PUBLIC SERVICE 2yr'!AC56+'ASptISptSSv 2yr'!AC56+'PLANT OPER MAIN 2yr'!AC56+'SCHOLAR FELLOW 2yr'!AC56+'All Other 2yr'!AC56)-AC56</f>
        <v>0</v>
      </c>
    </row>
    <row r="57" spans="1:57">
      <c r="A57" s="1" t="s">
        <v>96</v>
      </c>
      <c r="F57" s="42">
        <v>38157.701999999997</v>
      </c>
      <c r="I57" s="1">
        <v>43768.046000000002</v>
      </c>
      <c r="K57" s="1">
        <v>48832.017999999996</v>
      </c>
      <c r="L57" s="1">
        <v>61595.415000000001</v>
      </c>
      <c r="M57" s="1">
        <v>65539.206000000006</v>
      </c>
      <c r="N57" s="1">
        <v>73933.782000000007</v>
      </c>
      <c r="O57" s="1">
        <v>80369.766000000003</v>
      </c>
      <c r="P57" s="1">
        <v>88065.425000000003</v>
      </c>
      <c r="Q57" s="1">
        <v>94114.312000000005</v>
      </c>
      <c r="R57" s="1">
        <v>96927.578999999998</v>
      </c>
      <c r="S57" s="1">
        <v>101630.58500000001</v>
      </c>
      <c r="T57" s="1">
        <v>108772.24099999999</v>
      </c>
      <c r="U57" s="1">
        <v>116974.094</v>
      </c>
      <c r="V57" s="1">
        <v>129219</v>
      </c>
      <c r="W57" s="1">
        <v>143990.83300000001</v>
      </c>
      <c r="X57" s="1">
        <v>147118.83100000001</v>
      </c>
      <c r="Y57" s="1">
        <v>152298.12100000001</v>
      </c>
      <c r="Z57" s="1">
        <v>156488.58499999999</v>
      </c>
      <c r="AA57" s="1">
        <v>160268.55799999999</v>
      </c>
      <c r="AB57" s="1">
        <v>151828.772</v>
      </c>
      <c r="AC57" s="1">
        <v>148466.31400000001</v>
      </c>
      <c r="AD57" s="75">
        <f>('INSTRUCTION-2YR'!B57+'RESEARCH 2yr'!B57+'PUBLIC SERVICE 2yr'!B57+'ASptISptSSv 2yr'!B57+'PLANT OPER MAIN 2yr'!B57+'SCHOLAR FELLOW 2yr'!B57+'All Other 2yr'!B57)-B57</f>
        <v>0</v>
      </c>
      <c r="AE57" s="75">
        <f>('INSTRUCTION-2YR'!C57+'RESEARCH 2yr'!C57+'PUBLIC SERVICE 2yr'!C57+'ASptISptSSv 2yr'!C57+'PLANT OPER MAIN 2yr'!C57+'SCHOLAR FELLOW 2yr'!C57+'All Other 2yr'!C57)-C57</f>
        <v>0</v>
      </c>
      <c r="AF57" s="75">
        <f>('INSTRUCTION-2YR'!D57+'RESEARCH 2yr'!D57+'PUBLIC SERVICE 2yr'!D57+'ASptISptSSv 2yr'!D57+'PLANT OPER MAIN 2yr'!D57+'SCHOLAR FELLOW 2yr'!D57+'All Other 2yr'!D57)-D57</f>
        <v>0</v>
      </c>
      <c r="AG57" s="75">
        <f>('INSTRUCTION-2YR'!E57+'RESEARCH 2yr'!E57+'PUBLIC SERVICE 2yr'!E57+'ASptISptSSv 2yr'!E57+'PLANT OPER MAIN 2yr'!E57+'SCHOLAR FELLOW 2yr'!E57+'All Other 2yr'!E57)-E57</f>
        <v>0</v>
      </c>
      <c r="AH57" s="75">
        <f>('INSTRUCTION-2YR'!F57+'RESEARCH 2yr'!F57+'PUBLIC SERVICE 2yr'!F57+'ASptISptSSv 2yr'!F57+'PLANT OPER MAIN 2yr'!F57+'SCHOLAR FELLOW 2yr'!F57+'All Other 2yr'!F57)-F57</f>
        <v>0</v>
      </c>
      <c r="AI57" s="75">
        <f>('INSTRUCTION-2YR'!G57+'RESEARCH 2yr'!G57+'PUBLIC SERVICE 2yr'!G57+'ASptISptSSv 2yr'!G57+'PLANT OPER MAIN 2yr'!G57+'SCHOLAR FELLOW 2yr'!G57+'All Other 2yr'!G57)-G57</f>
        <v>0</v>
      </c>
      <c r="AJ57" s="75">
        <f>('INSTRUCTION-2YR'!H57+'RESEARCH 2yr'!H57+'PUBLIC SERVICE 2yr'!H57+'ASptISptSSv 2yr'!H57+'PLANT OPER MAIN 2yr'!H57+'SCHOLAR FELLOW 2yr'!H57+'All Other 2yr'!H57)-H57</f>
        <v>0</v>
      </c>
      <c r="AK57" s="75">
        <f>('INSTRUCTION-2YR'!I57+'RESEARCH 2yr'!I57+'PUBLIC SERVICE 2yr'!I57+'ASptISptSSv 2yr'!I57+'PLANT OPER MAIN 2yr'!I57+'SCHOLAR FELLOW 2yr'!I57+'All Other 2yr'!I57)-I57</f>
        <v>0</v>
      </c>
      <c r="AL57" s="75">
        <f>('INSTRUCTION-2YR'!J57+'RESEARCH 2yr'!J57+'PUBLIC SERVICE 2yr'!J57+'ASptISptSSv 2yr'!J57+'PLANT OPER MAIN 2yr'!J57+'SCHOLAR FELLOW 2yr'!J57+'All Other 2yr'!J57)-J57</f>
        <v>0</v>
      </c>
      <c r="AM57" s="75">
        <f>('INSTRUCTION-2YR'!K57+'RESEARCH 2yr'!K57+'PUBLIC SERVICE 2yr'!K57+'ASptISptSSv 2yr'!K57+'PLANT OPER MAIN 2yr'!K57+'SCHOLAR FELLOW 2yr'!K57+'All Other 2yr'!K57)-K57</f>
        <v>0</v>
      </c>
      <c r="AN57" s="75">
        <f>('INSTRUCTION-2YR'!L57+'RESEARCH 2yr'!L57+'PUBLIC SERVICE 2yr'!L57+'ASptISptSSv 2yr'!L57+'PLANT OPER MAIN 2yr'!L57+'SCHOLAR FELLOW 2yr'!L57+'All Other 2yr'!L57)-L57</f>
        <v>0</v>
      </c>
      <c r="AO57" s="75">
        <f>('INSTRUCTION-2YR'!M57+'RESEARCH 2yr'!M57+'PUBLIC SERVICE 2yr'!M57+'ASptISptSSv 2yr'!M57+'PLANT OPER MAIN 2yr'!M57+'SCHOLAR FELLOW 2yr'!M57+'All Other 2yr'!M57)-M57</f>
        <v>0</v>
      </c>
      <c r="AP57" s="75">
        <f>('INSTRUCTION-2YR'!N57+'RESEARCH 2yr'!N57+'PUBLIC SERVICE 2yr'!N57+'ASptISptSSv 2yr'!N57+'PLANT OPER MAIN 2yr'!N57+'SCHOLAR FELLOW 2yr'!N57+'All Other 2yr'!N57)-N57</f>
        <v>0</v>
      </c>
      <c r="AQ57" s="75">
        <f>('INSTRUCTION-2YR'!O57+'RESEARCH 2yr'!O57+'PUBLIC SERVICE 2yr'!O57+'ASptISptSSv 2yr'!O57+'PLANT OPER MAIN 2yr'!O57+'SCHOLAR FELLOW 2yr'!O57+'All Other 2yr'!O57)-O57</f>
        <v>0</v>
      </c>
      <c r="AR57" s="75">
        <f>('INSTRUCTION-2YR'!P57+'RESEARCH 2yr'!P57+'PUBLIC SERVICE 2yr'!P57+'ASptISptSSv 2yr'!P57+'PLANT OPER MAIN 2yr'!P57+'SCHOLAR FELLOW 2yr'!P57+'All Other 2yr'!P57)-P57</f>
        <v>0</v>
      </c>
      <c r="AS57" s="75">
        <f>('INSTRUCTION-2YR'!Q57+'RESEARCH 2yr'!Q57+'PUBLIC SERVICE 2yr'!Q57+'ASptISptSSv 2yr'!Q57+'PLANT OPER MAIN 2yr'!Q57+'SCHOLAR FELLOW 2yr'!Q57+'All Other 2yr'!Q57)-Q57</f>
        <v>0</v>
      </c>
      <c r="AT57" s="75">
        <f>('INSTRUCTION-2YR'!R57+'RESEARCH 2yr'!R57+'PUBLIC SERVICE 2yr'!R57+'ASptISptSSv 2yr'!R57+'PLANT OPER MAIN 2yr'!R57+'SCHOLAR FELLOW 2yr'!R57+'All Other 2yr'!R57)-R57</f>
        <v>0</v>
      </c>
      <c r="AU57" s="75">
        <f>('INSTRUCTION-2YR'!S57+'RESEARCH 2yr'!S57+'PUBLIC SERVICE 2yr'!S57+'ASptISptSSv 2yr'!S57+'PLANT OPER MAIN 2yr'!S57+'SCHOLAR FELLOW 2yr'!S57+'All Other 2yr'!S57)-S57</f>
        <v>0</v>
      </c>
      <c r="AV57" s="75">
        <f>('INSTRUCTION-2YR'!T57+'RESEARCH 2yr'!T57+'PUBLIC SERVICE 2yr'!T57+'ASptISptSSv 2yr'!T57+'PLANT OPER MAIN 2yr'!T57+'SCHOLAR FELLOW 2yr'!T57+'All Other 2yr'!T57)-T57</f>
        <v>0</v>
      </c>
      <c r="AW57" s="75">
        <f>('INSTRUCTION-2YR'!U57+'RESEARCH 2yr'!U57+'PUBLIC SERVICE 2yr'!U57+'ASptISptSSv 2yr'!U57+'PLANT OPER MAIN 2yr'!U57+'SCHOLAR FELLOW 2yr'!U57+'All Other 2yr'!U57)-U57</f>
        <v>0</v>
      </c>
      <c r="AX57" s="75">
        <f>('INSTRUCTION-2YR'!V57+'RESEARCH 2yr'!V57+'PUBLIC SERVICE 2yr'!V57+'ASptISptSSv 2yr'!V57+'PLANT OPER MAIN 2yr'!V57+'SCHOLAR FELLOW 2yr'!V57+'All Other 2yr'!V57)-V57</f>
        <v>0</v>
      </c>
      <c r="AY57" s="75">
        <f>('INSTRUCTION-2YR'!W57+'RESEARCH 2yr'!W57+'PUBLIC SERVICE 2yr'!W57+'ASptISptSSv 2yr'!W57+'PLANT OPER MAIN 2yr'!W57+'SCHOLAR FELLOW 2yr'!W57+'All Other 2yr'!W57)-W57</f>
        <v>0</v>
      </c>
      <c r="AZ57" s="75">
        <f>('INSTRUCTION-2YR'!X57+'RESEARCH 2yr'!X57+'PUBLIC SERVICE 2yr'!X57+'ASptISptSSv 2yr'!X57+'PLANT OPER MAIN 2yr'!X57+'SCHOLAR FELLOW 2yr'!X57+'All Other 2yr'!X57)-X57</f>
        <v>0</v>
      </c>
      <c r="BA57" s="75">
        <f>('INSTRUCTION-2YR'!Y57+'RESEARCH 2yr'!Y57+'PUBLIC SERVICE 2yr'!Y57+'ASptISptSSv 2yr'!Y57+'PLANT OPER MAIN 2yr'!Y57+'SCHOLAR FELLOW 2yr'!Y57+'All Other 2yr'!Y57)-Y57</f>
        <v>0</v>
      </c>
      <c r="BB57" s="75">
        <f>('INSTRUCTION-2YR'!Z57+'RESEARCH 2yr'!Z57+'PUBLIC SERVICE 2yr'!Z57+'ASptISptSSv 2yr'!Z57+'PLANT OPER MAIN 2yr'!Z57+'SCHOLAR FELLOW 2yr'!Z57+'All Other 2yr'!Z57)-Z57</f>
        <v>0</v>
      </c>
      <c r="BC57" s="75">
        <f>('INSTRUCTION-2YR'!AA57+'RESEARCH 2yr'!AA57+'PUBLIC SERVICE 2yr'!AA57+'ASptISptSSv 2yr'!AA57+'PLANT OPER MAIN 2yr'!AA57+'SCHOLAR FELLOW 2yr'!AA57+'All Other 2yr'!AA57)-AA57</f>
        <v>0</v>
      </c>
      <c r="BD57" s="75">
        <f>('INSTRUCTION-2YR'!AB57+'RESEARCH 2yr'!AB57+'PUBLIC SERVICE 2yr'!AB57+'ASptISptSSv 2yr'!AB57+'PLANT OPER MAIN 2yr'!AB57+'SCHOLAR FELLOW 2yr'!AB57+'All Other 2yr'!AB57)-AB57</f>
        <v>0</v>
      </c>
      <c r="BE57" s="75">
        <f>('INSTRUCTION-2YR'!AC57+'RESEARCH 2yr'!AC57+'PUBLIC SERVICE 2yr'!AC57+'ASptISptSSv 2yr'!AC57+'PLANT OPER MAIN 2yr'!AC57+'SCHOLAR FELLOW 2yr'!AC57+'All Other 2yr'!AC57)-AC57</f>
        <v>0</v>
      </c>
    </row>
    <row r="58" spans="1:57" s="11" customFormat="1">
      <c r="A58" s="1" t="s">
        <v>97</v>
      </c>
      <c r="B58" s="1"/>
      <c r="C58" s="1"/>
      <c r="D58" s="1"/>
      <c r="E58" s="1"/>
      <c r="F58" s="42">
        <v>256842.609</v>
      </c>
      <c r="G58" s="1"/>
      <c r="H58" s="1"/>
      <c r="I58" s="1">
        <v>343286.67700000003</v>
      </c>
      <c r="J58" s="1"/>
      <c r="K58" s="1">
        <v>391928.935</v>
      </c>
      <c r="L58" s="1">
        <v>490900.91399999999</v>
      </c>
      <c r="M58" s="1">
        <v>553414.38899999997</v>
      </c>
      <c r="N58" s="1">
        <v>564789.43500000006</v>
      </c>
      <c r="O58" s="1">
        <v>555310.02300000004</v>
      </c>
      <c r="P58" s="1">
        <v>574247.46400000004</v>
      </c>
      <c r="Q58" s="1">
        <v>605185.84499999997</v>
      </c>
      <c r="R58" s="1">
        <v>649045.522</v>
      </c>
      <c r="S58" s="1">
        <v>678807.174</v>
      </c>
      <c r="T58" s="1">
        <v>740039.44099999999</v>
      </c>
      <c r="U58" s="1">
        <v>743464.71600000001</v>
      </c>
      <c r="V58" s="1">
        <v>820501.48800000001</v>
      </c>
      <c r="W58" s="1">
        <v>888241.82400000002</v>
      </c>
      <c r="X58" s="1">
        <v>930691.36800000002</v>
      </c>
      <c r="Y58" s="1">
        <v>949058.94</v>
      </c>
      <c r="Z58" s="1">
        <v>999778.71499999997</v>
      </c>
      <c r="AA58" s="1">
        <v>1012428.581</v>
      </c>
      <c r="AB58" s="1">
        <v>1023760.17</v>
      </c>
      <c r="AC58" s="1">
        <v>1030046.224</v>
      </c>
      <c r="AD58" s="75">
        <f>('INSTRUCTION-2YR'!B58+'RESEARCH 2yr'!B58+'PUBLIC SERVICE 2yr'!B58+'ASptISptSSv 2yr'!B58+'PLANT OPER MAIN 2yr'!B58+'SCHOLAR FELLOW 2yr'!B58+'All Other 2yr'!B58)-B58</f>
        <v>0</v>
      </c>
      <c r="AE58" s="75">
        <f>('INSTRUCTION-2YR'!C58+'RESEARCH 2yr'!C58+'PUBLIC SERVICE 2yr'!C58+'ASptISptSSv 2yr'!C58+'PLANT OPER MAIN 2yr'!C58+'SCHOLAR FELLOW 2yr'!C58+'All Other 2yr'!C58)-C58</f>
        <v>0</v>
      </c>
      <c r="AF58" s="75">
        <f>('INSTRUCTION-2YR'!D58+'RESEARCH 2yr'!D58+'PUBLIC SERVICE 2yr'!D58+'ASptISptSSv 2yr'!D58+'PLANT OPER MAIN 2yr'!D58+'SCHOLAR FELLOW 2yr'!D58+'All Other 2yr'!D58)-D58</f>
        <v>0</v>
      </c>
      <c r="AG58" s="75">
        <f>('INSTRUCTION-2YR'!E58+'RESEARCH 2yr'!E58+'PUBLIC SERVICE 2yr'!E58+'ASptISptSSv 2yr'!E58+'PLANT OPER MAIN 2yr'!E58+'SCHOLAR FELLOW 2yr'!E58+'All Other 2yr'!E58)-E58</f>
        <v>0</v>
      </c>
      <c r="AH58" s="75">
        <f>('INSTRUCTION-2YR'!F58+'RESEARCH 2yr'!F58+'PUBLIC SERVICE 2yr'!F58+'ASptISptSSv 2yr'!F58+'PLANT OPER MAIN 2yr'!F58+'SCHOLAR FELLOW 2yr'!F58+'All Other 2yr'!F58)-F58</f>
        <v>0</v>
      </c>
      <c r="AI58" s="75">
        <f>('INSTRUCTION-2YR'!G58+'RESEARCH 2yr'!G58+'PUBLIC SERVICE 2yr'!G58+'ASptISptSSv 2yr'!G58+'PLANT OPER MAIN 2yr'!G58+'SCHOLAR FELLOW 2yr'!G58+'All Other 2yr'!G58)-G58</f>
        <v>0</v>
      </c>
      <c r="AJ58" s="75">
        <f>('INSTRUCTION-2YR'!H58+'RESEARCH 2yr'!H58+'PUBLIC SERVICE 2yr'!H58+'ASptISptSSv 2yr'!H58+'PLANT OPER MAIN 2yr'!H58+'SCHOLAR FELLOW 2yr'!H58+'All Other 2yr'!H58)-H58</f>
        <v>0</v>
      </c>
      <c r="AK58" s="75">
        <f>('INSTRUCTION-2YR'!I58+'RESEARCH 2yr'!I58+'PUBLIC SERVICE 2yr'!I58+'ASptISptSSv 2yr'!I58+'PLANT OPER MAIN 2yr'!I58+'SCHOLAR FELLOW 2yr'!I58+'All Other 2yr'!I58)-I58</f>
        <v>0</v>
      </c>
      <c r="AL58" s="75">
        <f>('INSTRUCTION-2YR'!J58+'RESEARCH 2yr'!J58+'PUBLIC SERVICE 2yr'!J58+'ASptISptSSv 2yr'!J58+'PLANT OPER MAIN 2yr'!J58+'SCHOLAR FELLOW 2yr'!J58+'All Other 2yr'!J58)-J58</f>
        <v>0</v>
      </c>
      <c r="AM58" s="75">
        <f>('INSTRUCTION-2YR'!K58+'RESEARCH 2yr'!K58+'PUBLIC SERVICE 2yr'!K58+'ASptISptSSv 2yr'!K58+'PLANT OPER MAIN 2yr'!K58+'SCHOLAR FELLOW 2yr'!K58+'All Other 2yr'!K58)-K58</f>
        <v>0</v>
      </c>
      <c r="AN58" s="75">
        <f>('INSTRUCTION-2YR'!L58+'RESEARCH 2yr'!L58+'PUBLIC SERVICE 2yr'!L58+'ASptISptSSv 2yr'!L58+'PLANT OPER MAIN 2yr'!L58+'SCHOLAR FELLOW 2yr'!L58+'All Other 2yr'!L58)-L58</f>
        <v>0</v>
      </c>
      <c r="AO58" s="75">
        <f>('INSTRUCTION-2YR'!M58+'RESEARCH 2yr'!M58+'PUBLIC SERVICE 2yr'!M58+'ASptISptSSv 2yr'!M58+'PLANT OPER MAIN 2yr'!M58+'SCHOLAR FELLOW 2yr'!M58+'All Other 2yr'!M58)-M58</f>
        <v>0</v>
      </c>
      <c r="AP58" s="75">
        <f>('INSTRUCTION-2YR'!N58+'RESEARCH 2yr'!N58+'PUBLIC SERVICE 2yr'!N58+'ASptISptSSv 2yr'!N58+'PLANT OPER MAIN 2yr'!N58+'SCHOLAR FELLOW 2yr'!N58+'All Other 2yr'!N58)-N58</f>
        <v>0</v>
      </c>
      <c r="AQ58" s="75">
        <f>('INSTRUCTION-2YR'!O58+'RESEARCH 2yr'!O58+'PUBLIC SERVICE 2yr'!O58+'ASptISptSSv 2yr'!O58+'PLANT OPER MAIN 2yr'!O58+'SCHOLAR FELLOW 2yr'!O58+'All Other 2yr'!O58)-O58</f>
        <v>0</v>
      </c>
      <c r="AR58" s="75">
        <f>('INSTRUCTION-2YR'!P58+'RESEARCH 2yr'!P58+'PUBLIC SERVICE 2yr'!P58+'ASptISptSSv 2yr'!P58+'PLANT OPER MAIN 2yr'!P58+'SCHOLAR FELLOW 2yr'!P58+'All Other 2yr'!P58)-P58</f>
        <v>0</v>
      </c>
      <c r="AS58" s="75">
        <f>('INSTRUCTION-2YR'!Q58+'RESEARCH 2yr'!Q58+'PUBLIC SERVICE 2yr'!Q58+'ASptISptSSv 2yr'!Q58+'PLANT OPER MAIN 2yr'!Q58+'SCHOLAR FELLOW 2yr'!Q58+'All Other 2yr'!Q58)-Q58</f>
        <v>0</v>
      </c>
      <c r="AT58" s="75">
        <f>('INSTRUCTION-2YR'!R58+'RESEARCH 2yr'!R58+'PUBLIC SERVICE 2yr'!R58+'ASptISptSSv 2yr'!R58+'PLANT OPER MAIN 2yr'!R58+'SCHOLAR FELLOW 2yr'!R58+'All Other 2yr'!R58)-R58</f>
        <v>0</v>
      </c>
      <c r="AU58" s="75">
        <f>('INSTRUCTION-2YR'!S58+'RESEARCH 2yr'!S58+'PUBLIC SERVICE 2yr'!S58+'ASptISptSSv 2yr'!S58+'PLANT OPER MAIN 2yr'!S58+'SCHOLAR FELLOW 2yr'!S58+'All Other 2yr'!S58)-S58</f>
        <v>0</v>
      </c>
      <c r="AV58" s="75">
        <f>('INSTRUCTION-2YR'!T58+'RESEARCH 2yr'!T58+'PUBLIC SERVICE 2yr'!T58+'ASptISptSSv 2yr'!T58+'PLANT OPER MAIN 2yr'!T58+'SCHOLAR FELLOW 2yr'!T58+'All Other 2yr'!T58)-T58</f>
        <v>0</v>
      </c>
      <c r="AW58" s="75">
        <f>('INSTRUCTION-2YR'!U58+'RESEARCH 2yr'!U58+'PUBLIC SERVICE 2yr'!U58+'ASptISptSSv 2yr'!U58+'PLANT OPER MAIN 2yr'!U58+'SCHOLAR FELLOW 2yr'!U58+'All Other 2yr'!U58)-U58</f>
        <v>0</v>
      </c>
      <c r="AX58" s="75">
        <f>('INSTRUCTION-2YR'!V58+'RESEARCH 2yr'!V58+'PUBLIC SERVICE 2yr'!V58+'ASptISptSSv 2yr'!V58+'PLANT OPER MAIN 2yr'!V58+'SCHOLAR FELLOW 2yr'!V58+'All Other 2yr'!V58)-V58</f>
        <v>0</v>
      </c>
      <c r="AY58" s="75">
        <f>('INSTRUCTION-2YR'!W58+'RESEARCH 2yr'!W58+'PUBLIC SERVICE 2yr'!W58+'ASptISptSSv 2yr'!W58+'PLANT OPER MAIN 2yr'!W58+'SCHOLAR FELLOW 2yr'!W58+'All Other 2yr'!W58)-W58</f>
        <v>0</v>
      </c>
      <c r="AZ58" s="75">
        <f>('INSTRUCTION-2YR'!X58+'RESEARCH 2yr'!X58+'PUBLIC SERVICE 2yr'!X58+'ASptISptSSv 2yr'!X58+'PLANT OPER MAIN 2yr'!X58+'SCHOLAR FELLOW 2yr'!X58+'All Other 2yr'!X58)-X58</f>
        <v>0</v>
      </c>
      <c r="BA58" s="75">
        <f>('INSTRUCTION-2YR'!Y58+'RESEARCH 2yr'!Y58+'PUBLIC SERVICE 2yr'!Y58+'ASptISptSSv 2yr'!Y58+'PLANT OPER MAIN 2yr'!Y58+'SCHOLAR FELLOW 2yr'!Y58+'All Other 2yr'!Y58)-Y58</f>
        <v>0</v>
      </c>
      <c r="BB58" s="75">
        <f>('INSTRUCTION-2YR'!Z58+'RESEARCH 2yr'!Z58+'PUBLIC SERVICE 2yr'!Z58+'ASptISptSSv 2yr'!Z58+'PLANT OPER MAIN 2yr'!Z58+'SCHOLAR FELLOW 2yr'!Z58+'All Other 2yr'!Z58)-Z58</f>
        <v>0</v>
      </c>
      <c r="BC58" s="75">
        <f>('INSTRUCTION-2YR'!AA58+'RESEARCH 2yr'!AA58+'PUBLIC SERVICE 2yr'!AA58+'ASptISptSSv 2yr'!AA58+'PLANT OPER MAIN 2yr'!AA58+'SCHOLAR FELLOW 2yr'!AA58+'All Other 2yr'!AA58)-AA58</f>
        <v>0</v>
      </c>
      <c r="BD58" s="75">
        <f>('INSTRUCTION-2YR'!AB58+'RESEARCH 2yr'!AB58+'PUBLIC SERVICE 2yr'!AB58+'ASptISptSSv 2yr'!AB58+'PLANT OPER MAIN 2yr'!AB58+'SCHOLAR FELLOW 2yr'!AB58+'All Other 2yr'!AB58)-AB58</f>
        <v>0</v>
      </c>
      <c r="BE58" s="75">
        <f>('INSTRUCTION-2YR'!AC58+'RESEARCH 2yr'!AC58+'PUBLIC SERVICE 2yr'!AC58+'ASptISptSSv 2yr'!AC58+'PLANT OPER MAIN 2yr'!AC58+'SCHOLAR FELLOW 2yr'!AC58+'All Other 2yr'!AC58)-AC58</f>
        <v>0</v>
      </c>
    </row>
    <row r="59" spans="1:57">
      <c r="A59" s="1" t="s">
        <v>103</v>
      </c>
      <c r="F59" s="42">
        <v>32839.118000000002</v>
      </c>
      <c r="I59" s="1">
        <v>41426.326999999997</v>
      </c>
      <c r="K59" s="1">
        <v>53576.696210000002</v>
      </c>
      <c r="L59" s="1">
        <v>47964.103000000003</v>
      </c>
      <c r="M59" s="1">
        <v>50200.197999999997</v>
      </c>
      <c r="N59" s="1">
        <v>54712.837</v>
      </c>
      <c r="O59" s="1">
        <v>60816.455000000002</v>
      </c>
      <c r="P59" s="1">
        <v>72119.180999999997</v>
      </c>
      <c r="Q59" s="1">
        <v>69680.152000000002</v>
      </c>
      <c r="R59" s="1">
        <v>62786.305</v>
      </c>
      <c r="S59" s="1">
        <v>81381.392999999996</v>
      </c>
      <c r="T59" s="1">
        <v>85361.659</v>
      </c>
      <c r="U59" s="1">
        <v>96982.284</v>
      </c>
      <c r="V59" s="1">
        <v>117613.192</v>
      </c>
      <c r="W59" s="1">
        <v>139143.57199999999</v>
      </c>
      <c r="X59" s="1">
        <v>125057.773</v>
      </c>
      <c r="Y59" s="1">
        <v>118179.626</v>
      </c>
      <c r="Z59" s="1">
        <v>120894.655</v>
      </c>
      <c r="AA59" s="1">
        <v>137384.70499999999</v>
      </c>
      <c r="AB59" s="1">
        <v>146657.796</v>
      </c>
      <c r="AC59" s="1">
        <v>141336.64799999999</v>
      </c>
      <c r="AD59" s="75">
        <f>('INSTRUCTION-2YR'!B59+'RESEARCH 2yr'!B59+'PUBLIC SERVICE 2yr'!B59+'ASptISptSSv 2yr'!B59+'PLANT OPER MAIN 2yr'!B59+'SCHOLAR FELLOW 2yr'!B59+'All Other 2yr'!B59)-B59</f>
        <v>0</v>
      </c>
      <c r="AE59" s="75">
        <f>('INSTRUCTION-2YR'!C59+'RESEARCH 2yr'!C59+'PUBLIC SERVICE 2yr'!C59+'ASptISptSSv 2yr'!C59+'PLANT OPER MAIN 2yr'!C59+'SCHOLAR FELLOW 2yr'!C59+'All Other 2yr'!C59)-C59</f>
        <v>0</v>
      </c>
      <c r="AF59" s="75">
        <f>('INSTRUCTION-2YR'!D59+'RESEARCH 2yr'!D59+'PUBLIC SERVICE 2yr'!D59+'ASptISptSSv 2yr'!D59+'PLANT OPER MAIN 2yr'!D59+'SCHOLAR FELLOW 2yr'!D59+'All Other 2yr'!D59)-D59</f>
        <v>0</v>
      </c>
      <c r="AG59" s="75">
        <f>('INSTRUCTION-2YR'!E59+'RESEARCH 2yr'!E59+'PUBLIC SERVICE 2yr'!E59+'ASptISptSSv 2yr'!E59+'PLANT OPER MAIN 2yr'!E59+'SCHOLAR FELLOW 2yr'!E59+'All Other 2yr'!E59)-E59</f>
        <v>0</v>
      </c>
      <c r="AH59" s="75">
        <f>('INSTRUCTION-2YR'!F59+'RESEARCH 2yr'!F59+'PUBLIC SERVICE 2yr'!F59+'ASptISptSSv 2yr'!F59+'PLANT OPER MAIN 2yr'!F59+'SCHOLAR FELLOW 2yr'!F59+'All Other 2yr'!F59)-F59</f>
        <v>0</v>
      </c>
      <c r="AI59" s="75">
        <f>('INSTRUCTION-2YR'!G59+'RESEARCH 2yr'!G59+'PUBLIC SERVICE 2yr'!G59+'ASptISptSSv 2yr'!G59+'PLANT OPER MAIN 2yr'!G59+'SCHOLAR FELLOW 2yr'!G59+'All Other 2yr'!G59)-G59</f>
        <v>0</v>
      </c>
      <c r="AJ59" s="75">
        <f>('INSTRUCTION-2YR'!H59+'RESEARCH 2yr'!H59+'PUBLIC SERVICE 2yr'!H59+'ASptISptSSv 2yr'!H59+'PLANT OPER MAIN 2yr'!H59+'SCHOLAR FELLOW 2yr'!H59+'All Other 2yr'!H59)-H59</f>
        <v>0</v>
      </c>
      <c r="AK59" s="75">
        <f>('INSTRUCTION-2YR'!I59+'RESEARCH 2yr'!I59+'PUBLIC SERVICE 2yr'!I59+'ASptISptSSv 2yr'!I59+'PLANT OPER MAIN 2yr'!I59+'SCHOLAR FELLOW 2yr'!I59+'All Other 2yr'!I59)-I59</f>
        <v>0</v>
      </c>
      <c r="AL59" s="75">
        <f>('INSTRUCTION-2YR'!J59+'RESEARCH 2yr'!J59+'PUBLIC SERVICE 2yr'!J59+'ASptISptSSv 2yr'!J59+'PLANT OPER MAIN 2yr'!J59+'SCHOLAR FELLOW 2yr'!J59+'All Other 2yr'!J59)-J59</f>
        <v>0</v>
      </c>
      <c r="AM59" s="75">
        <f>('INSTRUCTION-2YR'!K59+'RESEARCH 2yr'!K59+'PUBLIC SERVICE 2yr'!K59+'ASptISptSSv 2yr'!K59+'PLANT OPER MAIN 2yr'!K59+'SCHOLAR FELLOW 2yr'!K59+'All Other 2yr'!K59)-K59</f>
        <v>0</v>
      </c>
      <c r="AN59" s="75">
        <f>('INSTRUCTION-2YR'!L59+'RESEARCH 2yr'!L59+'PUBLIC SERVICE 2yr'!L59+'ASptISptSSv 2yr'!L59+'PLANT OPER MAIN 2yr'!L59+'SCHOLAR FELLOW 2yr'!L59+'All Other 2yr'!L59)-L59</f>
        <v>0</v>
      </c>
      <c r="AO59" s="75">
        <f>('INSTRUCTION-2YR'!M59+'RESEARCH 2yr'!M59+'PUBLIC SERVICE 2yr'!M59+'ASptISptSSv 2yr'!M59+'PLANT OPER MAIN 2yr'!M59+'SCHOLAR FELLOW 2yr'!M59+'All Other 2yr'!M59)-M59</f>
        <v>0</v>
      </c>
      <c r="AP59" s="75">
        <f>('INSTRUCTION-2YR'!N59+'RESEARCH 2yr'!N59+'PUBLIC SERVICE 2yr'!N59+'ASptISptSSv 2yr'!N59+'PLANT OPER MAIN 2yr'!N59+'SCHOLAR FELLOW 2yr'!N59+'All Other 2yr'!N59)-N59</f>
        <v>0</v>
      </c>
      <c r="AQ59" s="75">
        <f>('INSTRUCTION-2YR'!O59+'RESEARCH 2yr'!O59+'PUBLIC SERVICE 2yr'!O59+'ASptISptSSv 2yr'!O59+'PLANT OPER MAIN 2yr'!O59+'SCHOLAR FELLOW 2yr'!O59+'All Other 2yr'!O59)-O59</f>
        <v>0</v>
      </c>
      <c r="AR59" s="75">
        <f>('INSTRUCTION-2YR'!P59+'RESEARCH 2yr'!P59+'PUBLIC SERVICE 2yr'!P59+'ASptISptSSv 2yr'!P59+'PLANT OPER MAIN 2yr'!P59+'SCHOLAR FELLOW 2yr'!P59+'All Other 2yr'!P59)-P59</f>
        <v>0</v>
      </c>
      <c r="AS59" s="75">
        <f>('INSTRUCTION-2YR'!Q59+'RESEARCH 2yr'!Q59+'PUBLIC SERVICE 2yr'!Q59+'ASptISptSSv 2yr'!Q59+'PLANT OPER MAIN 2yr'!Q59+'SCHOLAR FELLOW 2yr'!Q59+'All Other 2yr'!Q59)-Q59</f>
        <v>0</v>
      </c>
      <c r="AT59" s="75">
        <f>('INSTRUCTION-2YR'!R59+'RESEARCH 2yr'!R59+'PUBLIC SERVICE 2yr'!R59+'ASptISptSSv 2yr'!R59+'PLANT OPER MAIN 2yr'!R59+'SCHOLAR FELLOW 2yr'!R59+'All Other 2yr'!R59)-R59</f>
        <v>0</v>
      </c>
      <c r="AU59" s="75">
        <f>('INSTRUCTION-2YR'!S59+'RESEARCH 2yr'!S59+'PUBLIC SERVICE 2yr'!S59+'ASptISptSSv 2yr'!S59+'PLANT OPER MAIN 2yr'!S59+'SCHOLAR FELLOW 2yr'!S59+'All Other 2yr'!S59)-S59</f>
        <v>0</v>
      </c>
      <c r="AV59" s="75">
        <f>('INSTRUCTION-2YR'!T59+'RESEARCH 2yr'!T59+'PUBLIC SERVICE 2yr'!T59+'ASptISptSSv 2yr'!T59+'PLANT OPER MAIN 2yr'!T59+'SCHOLAR FELLOW 2yr'!T59+'All Other 2yr'!T59)-T59</f>
        <v>0</v>
      </c>
      <c r="AW59" s="75">
        <f>('INSTRUCTION-2YR'!U59+'RESEARCH 2yr'!U59+'PUBLIC SERVICE 2yr'!U59+'ASptISptSSv 2yr'!U59+'PLANT OPER MAIN 2yr'!U59+'SCHOLAR FELLOW 2yr'!U59+'All Other 2yr'!U59)-U59</f>
        <v>0</v>
      </c>
      <c r="AX59" s="75">
        <f>('INSTRUCTION-2YR'!V59+'RESEARCH 2yr'!V59+'PUBLIC SERVICE 2yr'!V59+'ASptISptSSv 2yr'!V59+'PLANT OPER MAIN 2yr'!V59+'SCHOLAR FELLOW 2yr'!V59+'All Other 2yr'!V59)-V59</f>
        <v>0</v>
      </c>
      <c r="AY59" s="75">
        <f>('INSTRUCTION-2YR'!W59+'RESEARCH 2yr'!W59+'PUBLIC SERVICE 2yr'!W59+'ASptISptSSv 2yr'!W59+'PLANT OPER MAIN 2yr'!W59+'SCHOLAR FELLOW 2yr'!W59+'All Other 2yr'!W59)-W59</f>
        <v>0</v>
      </c>
      <c r="AZ59" s="75">
        <f>('INSTRUCTION-2YR'!X59+'RESEARCH 2yr'!X59+'PUBLIC SERVICE 2yr'!X59+'ASptISptSSv 2yr'!X59+'PLANT OPER MAIN 2yr'!X59+'SCHOLAR FELLOW 2yr'!X59+'All Other 2yr'!X59)-X59</f>
        <v>0</v>
      </c>
      <c r="BA59" s="75">
        <f>('INSTRUCTION-2YR'!Y59+'RESEARCH 2yr'!Y59+'PUBLIC SERVICE 2yr'!Y59+'ASptISptSSv 2yr'!Y59+'PLANT OPER MAIN 2yr'!Y59+'SCHOLAR FELLOW 2yr'!Y59+'All Other 2yr'!Y59)-Y59</f>
        <v>0</v>
      </c>
      <c r="BB59" s="75">
        <f>('INSTRUCTION-2YR'!Z59+'RESEARCH 2yr'!Z59+'PUBLIC SERVICE 2yr'!Z59+'ASptISptSSv 2yr'!Z59+'PLANT OPER MAIN 2yr'!Z59+'SCHOLAR FELLOW 2yr'!Z59+'All Other 2yr'!Z59)-Z59</f>
        <v>0</v>
      </c>
      <c r="BC59" s="75">
        <f>('INSTRUCTION-2YR'!AA59+'RESEARCH 2yr'!AA59+'PUBLIC SERVICE 2yr'!AA59+'ASptISptSSv 2yr'!AA59+'PLANT OPER MAIN 2yr'!AA59+'SCHOLAR FELLOW 2yr'!AA59+'All Other 2yr'!AA59)-AA59</f>
        <v>0</v>
      </c>
      <c r="BD59" s="75">
        <f>('INSTRUCTION-2YR'!AB59+'RESEARCH 2yr'!AB59+'PUBLIC SERVICE 2yr'!AB59+'ASptISptSSv 2yr'!AB59+'PLANT OPER MAIN 2yr'!AB59+'SCHOLAR FELLOW 2yr'!AB59+'All Other 2yr'!AB59)-AB59</f>
        <v>0</v>
      </c>
      <c r="BE59" s="75">
        <f>('INSTRUCTION-2YR'!AC59+'RESEARCH 2yr'!AC59+'PUBLIC SERVICE 2yr'!AC59+'ASptISptSSv 2yr'!AC59+'PLANT OPER MAIN 2yr'!AC59+'SCHOLAR FELLOW 2yr'!AC59+'All Other 2yr'!AC59)-AC59</f>
        <v>0</v>
      </c>
    </row>
    <row r="60" spans="1:57">
      <c r="A60" s="1" t="s">
        <v>104</v>
      </c>
      <c r="F60" s="42">
        <v>481253.58799999999</v>
      </c>
      <c r="I60" s="1">
        <v>566233.07900000003</v>
      </c>
      <c r="K60" s="1">
        <v>604289.58400000003</v>
      </c>
      <c r="L60" s="1">
        <v>654023.53200000001</v>
      </c>
      <c r="M60" s="1">
        <v>704596.86499999999</v>
      </c>
      <c r="N60" s="1">
        <v>809926.62</v>
      </c>
      <c r="O60" s="1">
        <v>871973.70600000001</v>
      </c>
      <c r="P60" s="1">
        <v>950687.06499999994</v>
      </c>
      <c r="Q60" s="1">
        <v>985119.255</v>
      </c>
      <c r="R60" s="1">
        <v>1026873.561</v>
      </c>
      <c r="S60" s="1">
        <v>1060504.0859999999</v>
      </c>
      <c r="T60" s="1">
        <v>1126550.419</v>
      </c>
      <c r="U60" s="1">
        <v>1221719.8799999999</v>
      </c>
      <c r="V60" s="1">
        <v>1442932.247</v>
      </c>
      <c r="W60" s="1">
        <v>1498714.199</v>
      </c>
      <c r="X60" s="1">
        <v>1517302.2150000001</v>
      </c>
      <c r="Y60" s="1">
        <v>1516502.334</v>
      </c>
      <c r="Z60" s="1">
        <v>1513487.433</v>
      </c>
      <c r="AA60" s="1">
        <v>1502730.399</v>
      </c>
      <c r="AB60" s="1">
        <v>1488093.4010000001</v>
      </c>
      <c r="AC60" s="1">
        <v>1478742.5619999999</v>
      </c>
      <c r="AD60" s="75">
        <f>('INSTRUCTION-2YR'!B60+'RESEARCH 2yr'!B60+'PUBLIC SERVICE 2yr'!B60+'ASptISptSSv 2yr'!B60+'PLANT OPER MAIN 2yr'!B60+'SCHOLAR FELLOW 2yr'!B60+'All Other 2yr'!B60)-B60</f>
        <v>0</v>
      </c>
      <c r="AE60" s="75">
        <f>('INSTRUCTION-2YR'!C60+'RESEARCH 2yr'!C60+'PUBLIC SERVICE 2yr'!C60+'ASptISptSSv 2yr'!C60+'PLANT OPER MAIN 2yr'!C60+'SCHOLAR FELLOW 2yr'!C60+'All Other 2yr'!C60)-C60</f>
        <v>0</v>
      </c>
      <c r="AF60" s="75">
        <f>('INSTRUCTION-2YR'!D60+'RESEARCH 2yr'!D60+'PUBLIC SERVICE 2yr'!D60+'ASptISptSSv 2yr'!D60+'PLANT OPER MAIN 2yr'!D60+'SCHOLAR FELLOW 2yr'!D60+'All Other 2yr'!D60)-D60</f>
        <v>0</v>
      </c>
      <c r="AG60" s="75">
        <f>('INSTRUCTION-2YR'!E60+'RESEARCH 2yr'!E60+'PUBLIC SERVICE 2yr'!E60+'ASptISptSSv 2yr'!E60+'PLANT OPER MAIN 2yr'!E60+'SCHOLAR FELLOW 2yr'!E60+'All Other 2yr'!E60)-E60</f>
        <v>0</v>
      </c>
      <c r="AH60" s="75">
        <f>('INSTRUCTION-2YR'!F60+'RESEARCH 2yr'!F60+'PUBLIC SERVICE 2yr'!F60+'ASptISptSSv 2yr'!F60+'PLANT OPER MAIN 2yr'!F60+'SCHOLAR FELLOW 2yr'!F60+'All Other 2yr'!F60)-F60</f>
        <v>0</v>
      </c>
      <c r="AI60" s="75">
        <f>('INSTRUCTION-2YR'!G60+'RESEARCH 2yr'!G60+'PUBLIC SERVICE 2yr'!G60+'ASptISptSSv 2yr'!G60+'PLANT OPER MAIN 2yr'!G60+'SCHOLAR FELLOW 2yr'!G60+'All Other 2yr'!G60)-G60</f>
        <v>0</v>
      </c>
      <c r="AJ60" s="75">
        <f>('INSTRUCTION-2YR'!H60+'RESEARCH 2yr'!H60+'PUBLIC SERVICE 2yr'!H60+'ASptISptSSv 2yr'!H60+'PLANT OPER MAIN 2yr'!H60+'SCHOLAR FELLOW 2yr'!H60+'All Other 2yr'!H60)-H60</f>
        <v>0</v>
      </c>
      <c r="AK60" s="75">
        <f>('INSTRUCTION-2YR'!I60+'RESEARCH 2yr'!I60+'PUBLIC SERVICE 2yr'!I60+'ASptISptSSv 2yr'!I60+'PLANT OPER MAIN 2yr'!I60+'SCHOLAR FELLOW 2yr'!I60+'All Other 2yr'!I60)-I60</f>
        <v>0</v>
      </c>
      <c r="AL60" s="75">
        <f>('INSTRUCTION-2YR'!J60+'RESEARCH 2yr'!J60+'PUBLIC SERVICE 2yr'!J60+'ASptISptSSv 2yr'!J60+'PLANT OPER MAIN 2yr'!J60+'SCHOLAR FELLOW 2yr'!J60+'All Other 2yr'!J60)-J60</f>
        <v>0</v>
      </c>
      <c r="AM60" s="75">
        <f>('INSTRUCTION-2YR'!K60+'RESEARCH 2yr'!K60+'PUBLIC SERVICE 2yr'!K60+'ASptISptSSv 2yr'!K60+'PLANT OPER MAIN 2yr'!K60+'SCHOLAR FELLOW 2yr'!K60+'All Other 2yr'!K60)-K60</f>
        <v>0</v>
      </c>
      <c r="AN60" s="75">
        <f>('INSTRUCTION-2YR'!L60+'RESEARCH 2yr'!L60+'PUBLIC SERVICE 2yr'!L60+'ASptISptSSv 2yr'!L60+'PLANT OPER MAIN 2yr'!L60+'SCHOLAR FELLOW 2yr'!L60+'All Other 2yr'!L60)-L60</f>
        <v>0</v>
      </c>
      <c r="AO60" s="75">
        <f>('INSTRUCTION-2YR'!M60+'RESEARCH 2yr'!M60+'PUBLIC SERVICE 2yr'!M60+'ASptISptSSv 2yr'!M60+'PLANT OPER MAIN 2yr'!M60+'SCHOLAR FELLOW 2yr'!M60+'All Other 2yr'!M60)-M60</f>
        <v>0</v>
      </c>
      <c r="AP60" s="75">
        <f>('INSTRUCTION-2YR'!N60+'RESEARCH 2yr'!N60+'PUBLIC SERVICE 2yr'!N60+'ASptISptSSv 2yr'!N60+'PLANT OPER MAIN 2yr'!N60+'SCHOLAR FELLOW 2yr'!N60+'All Other 2yr'!N60)-N60</f>
        <v>0</v>
      </c>
      <c r="AQ60" s="75">
        <f>('INSTRUCTION-2YR'!O60+'RESEARCH 2yr'!O60+'PUBLIC SERVICE 2yr'!O60+'ASptISptSSv 2yr'!O60+'PLANT OPER MAIN 2yr'!O60+'SCHOLAR FELLOW 2yr'!O60+'All Other 2yr'!O60)-O60</f>
        <v>0</v>
      </c>
      <c r="AR60" s="75">
        <f>('INSTRUCTION-2YR'!P60+'RESEARCH 2yr'!P60+'PUBLIC SERVICE 2yr'!P60+'ASptISptSSv 2yr'!P60+'PLANT OPER MAIN 2yr'!P60+'SCHOLAR FELLOW 2yr'!P60+'All Other 2yr'!P60)-P60</f>
        <v>0</v>
      </c>
      <c r="AS60" s="75">
        <f>('INSTRUCTION-2YR'!Q60+'RESEARCH 2yr'!Q60+'PUBLIC SERVICE 2yr'!Q60+'ASptISptSSv 2yr'!Q60+'PLANT OPER MAIN 2yr'!Q60+'SCHOLAR FELLOW 2yr'!Q60+'All Other 2yr'!Q60)-Q60</f>
        <v>0</v>
      </c>
      <c r="AT60" s="75">
        <f>('INSTRUCTION-2YR'!R60+'RESEARCH 2yr'!R60+'PUBLIC SERVICE 2yr'!R60+'ASptISptSSv 2yr'!R60+'PLANT OPER MAIN 2yr'!R60+'SCHOLAR FELLOW 2yr'!R60+'All Other 2yr'!R60)-R60</f>
        <v>0</v>
      </c>
      <c r="AU60" s="75">
        <f>('INSTRUCTION-2YR'!S60+'RESEARCH 2yr'!S60+'PUBLIC SERVICE 2yr'!S60+'ASptISptSSv 2yr'!S60+'PLANT OPER MAIN 2yr'!S60+'SCHOLAR FELLOW 2yr'!S60+'All Other 2yr'!S60)-S60</f>
        <v>0</v>
      </c>
      <c r="AV60" s="75">
        <f>('INSTRUCTION-2YR'!T60+'RESEARCH 2yr'!T60+'PUBLIC SERVICE 2yr'!T60+'ASptISptSSv 2yr'!T60+'PLANT OPER MAIN 2yr'!T60+'SCHOLAR FELLOW 2yr'!T60+'All Other 2yr'!T60)-T60</f>
        <v>0</v>
      </c>
      <c r="AW60" s="75">
        <f>('INSTRUCTION-2YR'!U60+'RESEARCH 2yr'!U60+'PUBLIC SERVICE 2yr'!U60+'ASptISptSSv 2yr'!U60+'PLANT OPER MAIN 2yr'!U60+'SCHOLAR FELLOW 2yr'!U60+'All Other 2yr'!U60)-U60</f>
        <v>0</v>
      </c>
      <c r="AX60" s="75">
        <f>('INSTRUCTION-2YR'!V60+'RESEARCH 2yr'!V60+'PUBLIC SERVICE 2yr'!V60+'ASptISptSSv 2yr'!V60+'PLANT OPER MAIN 2yr'!V60+'SCHOLAR FELLOW 2yr'!V60+'All Other 2yr'!V60)-V60</f>
        <v>0</v>
      </c>
      <c r="AY60" s="75">
        <f>('INSTRUCTION-2YR'!W60+'RESEARCH 2yr'!W60+'PUBLIC SERVICE 2yr'!W60+'ASptISptSSv 2yr'!W60+'PLANT OPER MAIN 2yr'!W60+'SCHOLAR FELLOW 2yr'!W60+'All Other 2yr'!W60)-W60</f>
        <v>0</v>
      </c>
      <c r="AZ60" s="75">
        <f>('INSTRUCTION-2YR'!X60+'RESEARCH 2yr'!X60+'PUBLIC SERVICE 2yr'!X60+'ASptISptSSv 2yr'!X60+'PLANT OPER MAIN 2yr'!X60+'SCHOLAR FELLOW 2yr'!X60+'All Other 2yr'!X60)-X60</f>
        <v>0</v>
      </c>
      <c r="BA60" s="75">
        <f>('INSTRUCTION-2YR'!Y60+'RESEARCH 2yr'!Y60+'PUBLIC SERVICE 2yr'!Y60+'ASptISptSSv 2yr'!Y60+'PLANT OPER MAIN 2yr'!Y60+'SCHOLAR FELLOW 2yr'!Y60+'All Other 2yr'!Y60)-Y60</f>
        <v>0</v>
      </c>
      <c r="BB60" s="75">
        <f>('INSTRUCTION-2YR'!Z60+'RESEARCH 2yr'!Z60+'PUBLIC SERVICE 2yr'!Z60+'ASptISptSSv 2yr'!Z60+'PLANT OPER MAIN 2yr'!Z60+'SCHOLAR FELLOW 2yr'!Z60+'All Other 2yr'!Z60)-Z60</f>
        <v>0</v>
      </c>
      <c r="BC60" s="75">
        <f>('INSTRUCTION-2YR'!AA60+'RESEARCH 2yr'!AA60+'PUBLIC SERVICE 2yr'!AA60+'ASptISptSSv 2yr'!AA60+'PLANT OPER MAIN 2yr'!AA60+'SCHOLAR FELLOW 2yr'!AA60+'All Other 2yr'!AA60)-AA60</f>
        <v>0</v>
      </c>
      <c r="BD60" s="75">
        <f>('INSTRUCTION-2YR'!AB60+'RESEARCH 2yr'!AB60+'PUBLIC SERVICE 2yr'!AB60+'ASptISptSSv 2yr'!AB60+'PLANT OPER MAIN 2yr'!AB60+'SCHOLAR FELLOW 2yr'!AB60+'All Other 2yr'!AB60)-AB60</f>
        <v>0</v>
      </c>
      <c r="BE60" s="75">
        <f>('INSTRUCTION-2YR'!AC60+'RESEARCH 2yr'!AC60+'PUBLIC SERVICE 2yr'!AC60+'ASptISptSSv 2yr'!AC60+'PLANT OPER MAIN 2yr'!AC60+'SCHOLAR FELLOW 2yr'!AC60+'All Other 2yr'!AC60)-AC60</f>
        <v>0</v>
      </c>
    </row>
    <row r="61" spans="1:57">
      <c r="A61" s="1" t="s">
        <v>106</v>
      </c>
      <c r="F61" s="42">
        <v>1128284.598</v>
      </c>
      <c r="I61" s="1">
        <v>1392945.8230000001</v>
      </c>
      <c r="K61" s="1">
        <v>1505508.537</v>
      </c>
      <c r="L61" s="1">
        <v>1429595.6310000001</v>
      </c>
      <c r="M61" s="1">
        <v>1718283.1869999999</v>
      </c>
      <c r="N61" s="1">
        <v>1935308.058</v>
      </c>
      <c r="O61" s="1">
        <v>2077683.537</v>
      </c>
      <c r="P61" s="1">
        <v>2222238.86</v>
      </c>
      <c r="Q61" s="1">
        <v>2342920.4350000001</v>
      </c>
      <c r="R61" s="1">
        <v>2418481.6460000002</v>
      </c>
      <c r="S61" s="1">
        <v>2849189.781</v>
      </c>
      <c r="T61" s="1">
        <v>2764970.787</v>
      </c>
      <c r="U61" s="1">
        <v>3023039.5729999999</v>
      </c>
      <c r="V61" s="1">
        <v>3374192.824</v>
      </c>
      <c r="W61" s="1">
        <v>3557534.2340000002</v>
      </c>
      <c r="X61" s="1">
        <v>3678119.55</v>
      </c>
      <c r="Y61" s="1">
        <v>3815971.639</v>
      </c>
      <c r="Z61" s="1">
        <v>3973049.43</v>
      </c>
      <c r="AA61" s="1">
        <v>4040249.9720000001</v>
      </c>
      <c r="AB61" s="1">
        <v>4082321.1549999998</v>
      </c>
      <c r="AC61" s="1">
        <v>4038225.898</v>
      </c>
      <c r="AD61" s="75">
        <f>('INSTRUCTION-2YR'!B61+'RESEARCH 2yr'!B61+'PUBLIC SERVICE 2yr'!B61+'ASptISptSSv 2yr'!B61+'PLANT OPER MAIN 2yr'!B61+'SCHOLAR FELLOW 2yr'!B61+'All Other 2yr'!B61)-B61</f>
        <v>0</v>
      </c>
      <c r="AE61" s="75">
        <f>('INSTRUCTION-2YR'!C61+'RESEARCH 2yr'!C61+'PUBLIC SERVICE 2yr'!C61+'ASptISptSSv 2yr'!C61+'PLANT OPER MAIN 2yr'!C61+'SCHOLAR FELLOW 2yr'!C61+'All Other 2yr'!C61)-C61</f>
        <v>0</v>
      </c>
      <c r="AF61" s="75">
        <f>('INSTRUCTION-2YR'!D61+'RESEARCH 2yr'!D61+'PUBLIC SERVICE 2yr'!D61+'ASptISptSSv 2yr'!D61+'PLANT OPER MAIN 2yr'!D61+'SCHOLAR FELLOW 2yr'!D61+'All Other 2yr'!D61)-D61</f>
        <v>0</v>
      </c>
      <c r="AG61" s="75">
        <f>('INSTRUCTION-2YR'!E61+'RESEARCH 2yr'!E61+'PUBLIC SERVICE 2yr'!E61+'ASptISptSSv 2yr'!E61+'PLANT OPER MAIN 2yr'!E61+'SCHOLAR FELLOW 2yr'!E61+'All Other 2yr'!E61)-E61</f>
        <v>0</v>
      </c>
      <c r="AH61" s="75">
        <f>('INSTRUCTION-2YR'!F61+'RESEARCH 2yr'!F61+'PUBLIC SERVICE 2yr'!F61+'ASptISptSSv 2yr'!F61+'PLANT OPER MAIN 2yr'!F61+'SCHOLAR FELLOW 2yr'!F61+'All Other 2yr'!F61)-F61</f>
        <v>0</v>
      </c>
      <c r="AI61" s="75">
        <f>('INSTRUCTION-2YR'!G61+'RESEARCH 2yr'!G61+'PUBLIC SERVICE 2yr'!G61+'ASptISptSSv 2yr'!G61+'PLANT OPER MAIN 2yr'!G61+'SCHOLAR FELLOW 2yr'!G61+'All Other 2yr'!G61)-G61</f>
        <v>0</v>
      </c>
      <c r="AJ61" s="75">
        <f>('INSTRUCTION-2YR'!H61+'RESEARCH 2yr'!H61+'PUBLIC SERVICE 2yr'!H61+'ASptISptSSv 2yr'!H61+'PLANT OPER MAIN 2yr'!H61+'SCHOLAR FELLOW 2yr'!H61+'All Other 2yr'!H61)-H61</f>
        <v>0</v>
      </c>
      <c r="AK61" s="75">
        <f>('INSTRUCTION-2YR'!I61+'RESEARCH 2yr'!I61+'PUBLIC SERVICE 2yr'!I61+'ASptISptSSv 2yr'!I61+'PLANT OPER MAIN 2yr'!I61+'SCHOLAR FELLOW 2yr'!I61+'All Other 2yr'!I61)-I61</f>
        <v>0</v>
      </c>
      <c r="AL61" s="75">
        <f>('INSTRUCTION-2YR'!J61+'RESEARCH 2yr'!J61+'PUBLIC SERVICE 2yr'!J61+'ASptISptSSv 2yr'!J61+'PLANT OPER MAIN 2yr'!J61+'SCHOLAR FELLOW 2yr'!J61+'All Other 2yr'!J61)-J61</f>
        <v>0</v>
      </c>
      <c r="AM61" s="75">
        <f>('INSTRUCTION-2YR'!K61+'RESEARCH 2yr'!K61+'PUBLIC SERVICE 2yr'!K61+'ASptISptSSv 2yr'!K61+'PLANT OPER MAIN 2yr'!K61+'SCHOLAR FELLOW 2yr'!K61+'All Other 2yr'!K61)-K61</f>
        <v>0</v>
      </c>
      <c r="AN61" s="75">
        <f>('INSTRUCTION-2YR'!L61+'RESEARCH 2yr'!L61+'PUBLIC SERVICE 2yr'!L61+'ASptISptSSv 2yr'!L61+'PLANT OPER MAIN 2yr'!L61+'SCHOLAR FELLOW 2yr'!L61+'All Other 2yr'!L61)-L61</f>
        <v>0</v>
      </c>
      <c r="AO61" s="75">
        <f>('INSTRUCTION-2YR'!M61+'RESEARCH 2yr'!M61+'PUBLIC SERVICE 2yr'!M61+'ASptISptSSv 2yr'!M61+'PLANT OPER MAIN 2yr'!M61+'SCHOLAR FELLOW 2yr'!M61+'All Other 2yr'!M61)-M61</f>
        <v>0</v>
      </c>
      <c r="AP61" s="75">
        <f>('INSTRUCTION-2YR'!N61+'RESEARCH 2yr'!N61+'PUBLIC SERVICE 2yr'!N61+'ASptISptSSv 2yr'!N61+'PLANT OPER MAIN 2yr'!N61+'SCHOLAR FELLOW 2yr'!N61+'All Other 2yr'!N61)-N61</f>
        <v>0</v>
      </c>
      <c r="AQ61" s="75">
        <f>('INSTRUCTION-2YR'!O61+'RESEARCH 2yr'!O61+'PUBLIC SERVICE 2yr'!O61+'ASptISptSSv 2yr'!O61+'PLANT OPER MAIN 2yr'!O61+'SCHOLAR FELLOW 2yr'!O61+'All Other 2yr'!O61)-O61</f>
        <v>0</v>
      </c>
      <c r="AR61" s="75">
        <f>('INSTRUCTION-2YR'!P61+'RESEARCH 2yr'!P61+'PUBLIC SERVICE 2yr'!P61+'ASptISptSSv 2yr'!P61+'PLANT OPER MAIN 2yr'!P61+'SCHOLAR FELLOW 2yr'!P61+'All Other 2yr'!P61)-P61</f>
        <v>0</v>
      </c>
      <c r="AS61" s="75">
        <f>('INSTRUCTION-2YR'!Q61+'RESEARCH 2yr'!Q61+'PUBLIC SERVICE 2yr'!Q61+'ASptISptSSv 2yr'!Q61+'PLANT OPER MAIN 2yr'!Q61+'SCHOLAR FELLOW 2yr'!Q61+'All Other 2yr'!Q61)-Q61</f>
        <v>0</v>
      </c>
      <c r="AT61" s="75">
        <f>('INSTRUCTION-2YR'!R61+'RESEARCH 2yr'!R61+'PUBLIC SERVICE 2yr'!R61+'ASptISptSSv 2yr'!R61+'PLANT OPER MAIN 2yr'!R61+'SCHOLAR FELLOW 2yr'!R61+'All Other 2yr'!R61)-R61</f>
        <v>0</v>
      </c>
      <c r="AU61" s="75">
        <f>('INSTRUCTION-2YR'!S61+'RESEARCH 2yr'!S61+'PUBLIC SERVICE 2yr'!S61+'ASptISptSSv 2yr'!S61+'PLANT OPER MAIN 2yr'!S61+'SCHOLAR FELLOW 2yr'!S61+'All Other 2yr'!S61)-S61</f>
        <v>0</v>
      </c>
      <c r="AV61" s="75">
        <f>('INSTRUCTION-2YR'!T61+'RESEARCH 2yr'!T61+'PUBLIC SERVICE 2yr'!T61+'ASptISptSSv 2yr'!T61+'PLANT OPER MAIN 2yr'!T61+'SCHOLAR FELLOW 2yr'!T61+'All Other 2yr'!T61)-T61</f>
        <v>0</v>
      </c>
      <c r="AW61" s="75">
        <f>('INSTRUCTION-2YR'!U61+'RESEARCH 2yr'!U61+'PUBLIC SERVICE 2yr'!U61+'ASptISptSSv 2yr'!U61+'PLANT OPER MAIN 2yr'!U61+'SCHOLAR FELLOW 2yr'!U61+'All Other 2yr'!U61)-U61</f>
        <v>0</v>
      </c>
      <c r="AX61" s="75">
        <f>('INSTRUCTION-2YR'!V61+'RESEARCH 2yr'!V61+'PUBLIC SERVICE 2yr'!V61+'ASptISptSSv 2yr'!V61+'PLANT OPER MAIN 2yr'!V61+'SCHOLAR FELLOW 2yr'!V61+'All Other 2yr'!V61)-V61</f>
        <v>0</v>
      </c>
      <c r="AY61" s="75">
        <f>('INSTRUCTION-2YR'!W61+'RESEARCH 2yr'!W61+'PUBLIC SERVICE 2yr'!W61+'ASptISptSSv 2yr'!W61+'PLANT OPER MAIN 2yr'!W61+'SCHOLAR FELLOW 2yr'!W61+'All Other 2yr'!W61)-W61</f>
        <v>0</v>
      </c>
      <c r="AZ61" s="75">
        <f>('INSTRUCTION-2YR'!X61+'RESEARCH 2yr'!X61+'PUBLIC SERVICE 2yr'!X61+'ASptISptSSv 2yr'!X61+'PLANT OPER MAIN 2yr'!X61+'SCHOLAR FELLOW 2yr'!X61+'All Other 2yr'!X61)-X61</f>
        <v>0</v>
      </c>
      <c r="BA61" s="75">
        <f>('INSTRUCTION-2YR'!Y61+'RESEARCH 2yr'!Y61+'PUBLIC SERVICE 2yr'!Y61+'ASptISptSSv 2yr'!Y61+'PLANT OPER MAIN 2yr'!Y61+'SCHOLAR FELLOW 2yr'!Y61+'All Other 2yr'!Y61)-Y61</f>
        <v>0</v>
      </c>
      <c r="BB61" s="75">
        <f>('INSTRUCTION-2YR'!Z61+'RESEARCH 2yr'!Z61+'PUBLIC SERVICE 2yr'!Z61+'ASptISptSSv 2yr'!Z61+'PLANT OPER MAIN 2yr'!Z61+'SCHOLAR FELLOW 2yr'!Z61+'All Other 2yr'!Z61)-Z61</f>
        <v>0</v>
      </c>
      <c r="BC61" s="75">
        <f>('INSTRUCTION-2YR'!AA61+'RESEARCH 2yr'!AA61+'PUBLIC SERVICE 2yr'!AA61+'ASptISptSSv 2yr'!AA61+'PLANT OPER MAIN 2yr'!AA61+'SCHOLAR FELLOW 2yr'!AA61+'All Other 2yr'!AA61)-AA61</f>
        <v>0</v>
      </c>
      <c r="BD61" s="75">
        <f>('INSTRUCTION-2YR'!AB61+'RESEARCH 2yr'!AB61+'PUBLIC SERVICE 2yr'!AB61+'ASptISptSSv 2yr'!AB61+'PLANT OPER MAIN 2yr'!AB61+'SCHOLAR FELLOW 2yr'!AB61+'All Other 2yr'!AB61)-AB61</f>
        <v>0</v>
      </c>
      <c r="BE61" s="75">
        <f>('INSTRUCTION-2YR'!AC61+'RESEARCH 2yr'!AC61+'PUBLIC SERVICE 2yr'!AC61+'ASptISptSSv 2yr'!AC61+'PLANT OPER MAIN 2yr'!AC61+'SCHOLAR FELLOW 2yr'!AC61+'All Other 2yr'!AC61)-AC61</f>
        <v>0</v>
      </c>
    </row>
    <row r="62" spans="1:57">
      <c r="A62" s="1" t="s">
        <v>110</v>
      </c>
      <c r="F62" s="42">
        <v>398956.05099999998</v>
      </c>
      <c r="I62" s="1">
        <v>457212.84100000001</v>
      </c>
      <c r="K62" s="1">
        <v>483963.94761000009</v>
      </c>
      <c r="L62" s="1">
        <v>530373.071</v>
      </c>
      <c r="M62" s="1">
        <v>567294.96600000001</v>
      </c>
      <c r="N62" s="1">
        <v>672485.10900000005</v>
      </c>
      <c r="O62" s="1">
        <v>740671.255</v>
      </c>
      <c r="P62" s="1">
        <v>801658.44700000004</v>
      </c>
      <c r="Q62" s="1">
        <v>842626.35800000001</v>
      </c>
      <c r="R62" s="1">
        <v>881923.37600000005</v>
      </c>
      <c r="S62" s="1">
        <v>913486.88500000001</v>
      </c>
      <c r="T62" s="1">
        <v>987877.07700000005</v>
      </c>
      <c r="U62" s="1">
        <v>1062965.909</v>
      </c>
      <c r="V62" s="1">
        <v>1196559.9410000001</v>
      </c>
      <c r="W62" s="1">
        <v>1263282.875</v>
      </c>
      <c r="X62" s="1">
        <v>1309489.8700000001</v>
      </c>
      <c r="Y62" s="1">
        <v>1307192.2590000001</v>
      </c>
      <c r="Z62" s="1">
        <v>1321512.236</v>
      </c>
      <c r="AA62" s="1">
        <v>1311641.561</v>
      </c>
      <c r="AB62" s="1">
        <v>1298846.304</v>
      </c>
      <c r="AC62" s="1">
        <v>1315127.8160000001</v>
      </c>
      <c r="AD62" s="75">
        <f>('INSTRUCTION-2YR'!B62+'RESEARCH 2yr'!B62+'PUBLIC SERVICE 2yr'!B62+'ASptISptSSv 2yr'!B62+'PLANT OPER MAIN 2yr'!B62+'SCHOLAR FELLOW 2yr'!B62+'All Other 2yr'!B62)-B62</f>
        <v>0</v>
      </c>
      <c r="AE62" s="75">
        <f>('INSTRUCTION-2YR'!C62+'RESEARCH 2yr'!C62+'PUBLIC SERVICE 2yr'!C62+'ASptISptSSv 2yr'!C62+'PLANT OPER MAIN 2yr'!C62+'SCHOLAR FELLOW 2yr'!C62+'All Other 2yr'!C62)-C62</f>
        <v>0</v>
      </c>
      <c r="AF62" s="75">
        <f>('INSTRUCTION-2YR'!D62+'RESEARCH 2yr'!D62+'PUBLIC SERVICE 2yr'!D62+'ASptISptSSv 2yr'!D62+'PLANT OPER MAIN 2yr'!D62+'SCHOLAR FELLOW 2yr'!D62+'All Other 2yr'!D62)-D62</f>
        <v>0</v>
      </c>
      <c r="AG62" s="75">
        <f>('INSTRUCTION-2YR'!E62+'RESEARCH 2yr'!E62+'PUBLIC SERVICE 2yr'!E62+'ASptISptSSv 2yr'!E62+'PLANT OPER MAIN 2yr'!E62+'SCHOLAR FELLOW 2yr'!E62+'All Other 2yr'!E62)-E62</f>
        <v>0</v>
      </c>
      <c r="AH62" s="75">
        <f>('INSTRUCTION-2YR'!F62+'RESEARCH 2yr'!F62+'PUBLIC SERVICE 2yr'!F62+'ASptISptSSv 2yr'!F62+'PLANT OPER MAIN 2yr'!F62+'SCHOLAR FELLOW 2yr'!F62+'All Other 2yr'!F62)-F62</f>
        <v>0</v>
      </c>
      <c r="AI62" s="75">
        <f>('INSTRUCTION-2YR'!G62+'RESEARCH 2yr'!G62+'PUBLIC SERVICE 2yr'!G62+'ASptISptSSv 2yr'!G62+'PLANT OPER MAIN 2yr'!G62+'SCHOLAR FELLOW 2yr'!G62+'All Other 2yr'!G62)-G62</f>
        <v>0</v>
      </c>
      <c r="AJ62" s="75">
        <f>('INSTRUCTION-2YR'!H62+'RESEARCH 2yr'!H62+'PUBLIC SERVICE 2yr'!H62+'ASptISptSSv 2yr'!H62+'PLANT OPER MAIN 2yr'!H62+'SCHOLAR FELLOW 2yr'!H62+'All Other 2yr'!H62)-H62</f>
        <v>0</v>
      </c>
      <c r="AK62" s="75">
        <f>('INSTRUCTION-2YR'!I62+'RESEARCH 2yr'!I62+'PUBLIC SERVICE 2yr'!I62+'ASptISptSSv 2yr'!I62+'PLANT OPER MAIN 2yr'!I62+'SCHOLAR FELLOW 2yr'!I62+'All Other 2yr'!I62)-I62</f>
        <v>0</v>
      </c>
      <c r="AL62" s="75">
        <f>('INSTRUCTION-2YR'!J62+'RESEARCH 2yr'!J62+'PUBLIC SERVICE 2yr'!J62+'ASptISptSSv 2yr'!J62+'PLANT OPER MAIN 2yr'!J62+'SCHOLAR FELLOW 2yr'!J62+'All Other 2yr'!J62)-J62</f>
        <v>0</v>
      </c>
      <c r="AM62" s="75">
        <f>('INSTRUCTION-2YR'!K62+'RESEARCH 2yr'!K62+'PUBLIC SERVICE 2yr'!K62+'ASptISptSSv 2yr'!K62+'PLANT OPER MAIN 2yr'!K62+'SCHOLAR FELLOW 2yr'!K62+'All Other 2yr'!K62)-K62</f>
        <v>0</v>
      </c>
      <c r="AN62" s="75">
        <f>('INSTRUCTION-2YR'!L62+'RESEARCH 2yr'!L62+'PUBLIC SERVICE 2yr'!L62+'ASptISptSSv 2yr'!L62+'PLANT OPER MAIN 2yr'!L62+'SCHOLAR FELLOW 2yr'!L62+'All Other 2yr'!L62)-L62</f>
        <v>0</v>
      </c>
      <c r="AO62" s="75">
        <f>('INSTRUCTION-2YR'!M62+'RESEARCH 2yr'!M62+'PUBLIC SERVICE 2yr'!M62+'ASptISptSSv 2yr'!M62+'PLANT OPER MAIN 2yr'!M62+'SCHOLAR FELLOW 2yr'!M62+'All Other 2yr'!M62)-M62</f>
        <v>0</v>
      </c>
      <c r="AP62" s="75">
        <f>('INSTRUCTION-2YR'!N62+'RESEARCH 2yr'!N62+'PUBLIC SERVICE 2yr'!N62+'ASptISptSSv 2yr'!N62+'PLANT OPER MAIN 2yr'!N62+'SCHOLAR FELLOW 2yr'!N62+'All Other 2yr'!N62)-N62</f>
        <v>0</v>
      </c>
      <c r="AQ62" s="75">
        <f>('INSTRUCTION-2YR'!O62+'RESEARCH 2yr'!O62+'PUBLIC SERVICE 2yr'!O62+'ASptISptSSv 2yr'!O62+'PLANT OPER MAIN 2yr'!O62+'SCHOLAR FELLOW 2yr'!O62+'All Other 2yr'!O62)-O62</f>
        <v>0</v>
      </c>
      <c r="AR62" s="75">
        <f>('INSTRUCTION-2YR'!P62+'RESEARCH 2yr'!P62+'PUBLIC SERVICE 2yr'!P62+'ASptISptSSv 2yr'!P62+'PLANT OPER MAIN 2yr'!P62+'SCHOLAR FELLOW 2yr'!P62+'All Other 2yr'!P62)-P62</f>
        <v>0</v>
      </c>
      <c r="AS62" s="75">
        <f>('INSTRUCTION-2YR'!Q62+'RESEARCH 2yr'!Q62+'PUBLIC SERVICE 2yr'!Q62+'ASptISptSSv 2yr'!Q62+'PLANT OPER MAIN 2yr'!Q62+'SCHOLAR FELLOW 2yr'!Q62+'All Other 2yr'!Q62)-Q62</f>
        <v>0</v>
      </c>
      <c r="AT62" s="75">
        <f>('INSTRUCTION-2YR'!R62+'RESEARCH 2yr'!R62+'PUBLIC SERVICE 2yr'!R62+'ASptISptSSv 2yr'!R62+'PLANT OPER MAIN 2yr'!R62+'SCHOLAR FELLOW 2yr'!R62+'All Other 2yr'!R62)-R62</f>
        <v>0</v>
      </c>
      <c r="AU62" s="75">
        <f>('INSTRUCTION-2YR'!S62+'RESEARCH 2yr'!S62+'PUBLIC SERVICE 2yr'!S62+'ASptISptSSv 2yr'!S62+'PLANT OPER MAIN 2yr'!S62+'SCHOLAR FELLOW 2yr'!S62+'All Other 2yr'!S62)-S62</f>
        <v>0</v>
      </c>
      <c r="AV62" s="75">
        <f>('INSTRUCTION-2YR'!T62+'RESEARCH 2yr'!T62+'PUBLIC SERVICE 2yr'!T62+'ASptISptSSv 2yr'!T62+'PLANT OPER MAIN 2yr'!T62+'SCHOLAR FELLOW 2yr'!T62+'All Other 2yr'!T62)-T62</f>
        <v>0</v>
      </c>
      <c r="AW62" s="75">
        <f>('INSTRUCTION-2YR'!U62+'RESEARCH 2yr'!U62+'PUBLIC SERVICE 2yr'!U62+'ASptISptSSv 2yr'!U62+'PLANT OPER MAIN 2yr'!U62+'SCHOLAR FELLOW 2yr'!U62+'All Other 2yr'!U62)-U62</f>
        <v>0</v>
      </c>
      <c r="AX62" s="75">
        <f>('INSTRUCTION-2YR'!V62+'RESEARCH 2yr'!V62+'PUBLIC SERVICE 2yr'!V62+'ASptISptSSv 2yr'!V62+'PLANT OPER MAIN 2yr'!V62+'SCHOLAR FELLOW 2yr'!V62+'All Other 2yr'!V62)-V62</f>
        <v>0</v>
      </c>
      <c r="AY62" s="75">
        <f>('INSTRUCTION-2YR'!W62+'RESEARCH 2yr'!W62+'PUBLIC SERVICE 2yr'!W62+'ASptISptSSv 2yr'!W62+'PLANT OPER MAIN 2yr'!W62+'SCHOLAR FELLOW 2yr'!W62+'All Other 2yr'!W62)-W62</f>
        <v>0</v>
      </c>
      <c r="AZ62" s="75">
        <f>('INSTRUCTION-2YR'!X62+'RESEARCH 2yr'!X62+'PUBLIC SERVICE 2yr'!X62+'ASptISptSSv 2yr'!X62+'PLANT OPER MAIN 2yr'!X62+'SCHOLAR FELLOW 2yr'!X62+'All Other 2yr'!X62)-X62</f>
        <v>0</v>
      </c>
      <c r="BA62" s="75">
        <f>('INSTRUCTION-2YR'!Y62+'RESEARCH 2yr'!Y62+'PUBLIC SERVICE 2yr'!Y62+'ASptISptSSv 2yr'!Y62+'PLANT OPER MAIN 2yr'!Y62+'SCHOLAR FELLOW 2yr'!Y62+'All Other 2yr'!Y62)-Y62</f>
        <v>0</v>
      </c>
      <c r="BB62" s="75">
        <f>('INSTRUCTION-2YR'!Z62+'RESEARCH 2yr'!Z62+'PUBLIC SERVICE 2yr'!Z62+'ASptISptSSv 2yr'!Z62+'PLANT OPER MAIN 2yr'!Z62+'SCHOLAR FELLOW 2yr'!Z62+'All Other 2yr'!Z62)-Z62</f>
        <v>0</v>
      </c>
      <c r="BC62" s="75">
        <f>('INSTRUCTION-2YR'!AA62+'RESEARCH 2yr'!AA62+'PUBLIC SERVICE 2yr'!AA62+'ASptISptSSv 2yr'!AA62+'PLANT OPER MAIN 2yr'!AA62+'SCHOLAR FELLOW 2yr'!AA62+'All Other 2yr'!AA62)-AA62</f>
        <v>0</v>
      </c>
      <c r="BD62" s="75">
        <f>('INSTRUCTION-2YR'!AB62+'RESEARCH 2yr'!AB62+'PUBLIC SERVICE 2yr'!AB62+'ASptISptSSv 2yr'!AB62+'PLANT OPER MAIN 2yr'!AB62+'SCHOLAR FELLOW 2yr'!AB62+'All Other 2yr'!AB62)-AB62</f>
        <v>0</v>
      </c>
      <c r="BE62" s="75">
        <f>('INSTRUCTION-2YR'!AC62+'RESEARCH 2yr'!AC62+'PUBLIC SERVICE 2yr'!AC62+'ASptISptSSv 2yr'!AC62+'PLANT OPER MAIN 2yr'!AC62+'SCHOLAR FELLOW 2yr'!AC62+'All Other 2yr'!AC62)-AC62</f>
        <v>0</v>
      </c>
    </row>
    <row r="63" spans="1:57">
      <c r="A63" s="1" t="s">
        <v>111</v>
      </c>
      <c r="F63" s="42">
        <v>52537.47</v>
      </c>
      <c r="I63" s="1">
        <v>57731.472000000002</v>
      </c>
      <c r="K63" s="1">
        <v>58558.724000000002</v>
      </c>
      <c r="L63" s="1">
        <v>65159.12</v>
      </c>
      <c r="M63" s="1">
        <v>69797.865999999995</v>
      </c>
      <c r="N63" s="1">
        <v>77482.024000000005</v>
      </c>
      <c r="O63" s="1">
        <v>81372.631999999998</v>
      </c>
      <c r="P63" s="1">
        <v>87186.244999999995</v>
      </c>
      <c r="Q63" s="1">
        <v>92151.221000000005</v>
      </c>
      <c r="R63" s="1">
        <v>94513.044999999998</v>
      </c>
      <c r="S63" s="1">
        <v>98372.561000000002</v>
      </c>
      <c r="T63" s="1">
        <v>104712.232</v>
      </c>
      <c r="U63" s="1">
        <v>111134.34</v>
      </c>
      <c r="V63" s="1">
        <v>114938.622</v>
      </c>
      <c r="W63" s="1">
        <v>122896.664</v>
      </c>
      <c r="X63" s="1">
        <v>130550.09600000001</v>
      </c>
      <c r="Y63" s="1">
        <v>132385.61300000001</v>
      </c>
      <c r="Z63" s="1">
        <v>136595.182</v>
      </c>
      <c r="AA63" s="1">
        <v>136100.23699999999</v>
      </c>
      <c r="AB63" s="1">
        <v>139578.72899999999</v>
      </c>
      <c r="AC63" s="1">
        <v>140411.94699999999</v>
      </c>
      <c r="AD63" s="75">
        <f>('INSTRUCTION-2YR'!B63+'RESEARCH 2yr'!B63+'PUBLIC SERVICE 2yr'!B63+'ASptISptSSv 2yr'!B63+'PLANT OPER MAIN 2yr'!B63+'SCHOLAR FELLOW 2yr'!B63+'All Other 2yr'!B63)-B63</f>
        <v>0</v>
      </c>
      <c r="AE63" s="75">
        <f>('INSTRUCTION-2YR'!C63+'RESEARCH 2yr'!C63+'PUBLIC SERVICE 2yr'!C63+'ASptISptSSv 2yr'!C63+'PLANT OPER MAIN 2yr'!C63+'SCHOLAR FELLOW 2yr'!C63+'All Other 2yr'!C63)-C63</f>
        <v>0</v>
      </c>
      <c r="AF63" s="75">
        <f>('INSTRUCTION-2YR'!D63+'RESEARCH 2yr'!D63+'PUBLIC SERVICE 2yr'!D63+'ASptISptSSv 2yr'!D63+'PLANT OPER MAIN 2yr'!D63+'SCHOLAR FELLOW 2yr'!D63+'All Other 2yr'!D63)-D63</f>
        <v>0</v>
      </c>
      <c r="AG63" s="75">
        <f>('INSTRUCTION-2YR'!E63+'RESEARCH 2yr'!E63+'PUBLIC SERVICE 2yr'!E63+'ASptISptSSv 2yr'!E63+'PLANT OPER MAIN 2yr'!E63+'SCHOLAR FELLOW 2yr'!E63+'All Other 2yr'!E63)-E63</f>
        <v>0</v>
      </c>
      <c r="AH63" s="75">
        <f>('INSTRUCTION-2YR'!F63+'RESEARCH 2yr'!F63+'PUBLIC SERVICE 2yr'!F63+'ASptISptSSv 2yr'!F63+'PLANT OPER MAIN 2yr'!F63+'SCHOLAR FELLOW 2yr'!F63+'All Other 2yr'!F63)-F63</f>
        <v>0</v>
      </c>
      <c r="AI63" s="75">
        <f>('INSTRUCTION-2YR'!G63+'RESEARCH 2yr'!G63+'PUBLIC SERVICE 2yr'!G63+'ASptISptSSv 2yr'!G63+'PLANT OPER MAIN 2yr'!G63+'SCHOLAR FELLOW 2yr'!G63+'All Other 2yr'!G63)-G63</f>
        <v>0</v>
      </c>
      <c r="AJ63" s="75">
        <f>('INSTRUCTION-2YR'!H63+'RESEARCH 2yr'!H63+'PUBLIC SERVICE 2yr'!H63+'ASptISptSSv 2yr'!H63+'PLANT OPER MAIN 2yr'!H63+'SCHOLAR FELLOW 2yr'!H63+'All Other 2yr'!H63)-H63</f>
        <v>0</v>
      </c>
      <c r="AK63" s="75">
        <f>('INSTRUCTION-2YR'!I63+'RESEARCH 2yr'!I63+'PUBLIC SERVICE 2yr'!I63+'ASptISptSSv 2yr'!I63+'PLANT OPER MAIN 2yr'!I63+'SCHOLAR FELLOW 2yr'!I63+'All Other 2yr'!I63)-I63</f>
        <v>0</v>
      </c>
      <c r="AL63" s="75">
        <f>('INSTRUCTION-2YR'!J63+'RESEARCH 2yr'!J63+'PUBLIC SERVICE 2yr'!J63+'ASptISptSSv 2yr'!J63+'PLANT OPER MAIN 2yr'!J63+'SCHOLAR FELLOW 2yr'!J63+'All Other 2yr'!J63)-J63</f>
        <v>0</v>
      </c>
      <c r="AM63" s="75">
        <f>('INSTRUCTION-2YR'!K63+'RESEARCH 2yr'!K63+'PUBLIC SERVICE 2yr'!K63+'ASptISptSSv 2yr'!K63+'PLANT OPER MAIN 2yr'!K63+'SCHOLAR FELLOW 2yr'!K63+'All Other 2yr'!K63)-K63</f>
        <v>0</v>
      </c>
      <c r="AN63" s="75">
        <f>('INSTRUCTION-2YR'!L63+'RESEARCH 2yr'!L63+'PUBLIC SERVICE 2yr'!L63+'ASptISptSSv 2yr'!L63+'PLANT OPER MAIN 2yr'!L63+'SCHOLAR FELLOW 2yr'!L63+'All Other 2yr'!L63)-L63</f>
        <v>0</v>
      </c>
      <c r="AO63" s="75">
        <f>('INSTRUCTION-2YR'!M63+'RESEARCH 2yr'!M63+'PUBLIC SERVICE 2yr'!M63+'ASptISptSSv 2yr'!M63+'PLANT OPER MAIN 2yr'!M63+'SCHOLAR FELLOW 2yr'!M63+'All Other 2yr'!M63)-M63</f>
        <v>0</v>
      </c>
      <c r="AP63" s="75">
        <f>('INSTRUCTION-2YR'!N63+'RESEARCH 2yr'!N63+'PUBLIC SERVICE 2yr'!N63+'ASptISptSSv 2yr'!N63+'PLANT OPER MAIN 2yr'!N63+'SCHOLAR FELLOW 2yr'!N63+'All Other 2yr'!N63)-N63</f>
        <v>0</v>
      </c>
      <c r="AQ63" s="75">
        <f>('INSTRUCTION-2YR'!O63+'RESEARCH 2yr'!O63+'PUBLIC SERVICE 2yr'!O63+'ASptISptSSv 2yr'!O63+'PLANT OPER MAIN 2yr'!O63+'SCHOLAR FELLOW 2yr'!O63+'All Other 2yr'!O63)-O63</f>
        <v>0</v>
      </c>
      <c r="AR63" s="75">
        <f>('INSTRUCTION-2YR'!P63+'RESEARCH 2yr'!P63+'PUBLIC SERVICE 2yr'!P63+'ASptISptSSv 2yr'!P63+'PLANT OPER MAIN 2yr'!P63+'SCHOLAR FELLOW 2yr'!P63+'All Other 2yr'!P63)-P63</f>
        <v>0</v>
      </c>
      <c r="AS63" s="75">
        <f>('INSTRUCTION-2YR'!Q63+'RESEARCH 2yr'!Q63+'PUBLIC SERVICE 2yr'!Q63+'ASptISptSSv 2yr'!Q63+'PLANT OPER MAIN 2yr'!Q63+'SCHOLAR FELLOW 2yr'!Q63+'All Other 2yr'!Q63)-Q63</f>
        <v>0</v>
      </c>
      <c r="AT63" s="75">
        <f>('INSTRUCTION-2YR'!R63+'RESEARCH 2yr'!R63+'PUBLIC SERVICE 2yr'!R63+'ASptISptSSv 2yr'!R63+'PLANT OPER MAIN 2yr'!R63+'SCHOLAR FELLOW 2yr'!R63+'All Other 2yr'!R63)-R63</f>
        <v>0</v>
      </c>
      <c r="AU63" s="75">
        <f>('INSTRUCTION-2YR'!S63+'RESEARCH 2yr'!S63+'PUBLIC SERVICE 2yr'!S63+'ASptISptSSv 2yr'!S63+'PLANT OPER MAIN 2yr'!S63+'SCHOLAR FELLOW 2yr'!S63+'All Other 2yr'!S63)-S63</f>
        <v>0</v>
      </c>
      <c r="AV63" s="75">
        <f>('INSTRUCTION-2YR'!T63+'RESEARCH 2yr'!T63+'PUBLIC SERVICE 2yr'!T63+'ASptISptSSv 2yr'!T63+'PLANT OPER MAIN 2yr'!T63+'SCHOLAR FELLOW 2yr'!T63+'All Other 2yr'!T63)-T63</f>
        <v>0</v>
      </c>
      <c r="AW63" s="75">
        <f>('INSTRUCTION-2YR'!U63+'RESEARCH 2yr'!U63+'PUBLIC SERVICE 2yr'!U63+'ASptISptSSv 2yr'!U63+'PLANT OPER MAIN 2yr'!U63+'SCHOLAR FELLOW 2yr'!U63+'All Other 2yr'!U63)-U63</f>
        <v>0</v>
      </c>
      <c r="AX63" s="75">
        <f>('INSTRUCTION-2YR'!V63+'RESEARCH 2yr'!V63+'PUBLIC SERVICE 2yr'!V63+'ASptISptSSv 2yr'!V63+'PLANT OPER MAIN 2yr'!V63+'SCHOLAR FELLOW 2yr'!V63+'All Other 2yr'!V63)-V63</f>
        <v>0</v>
      </c>
      <c r="AY63" s="75">
        <f>('INSTRUCTION-2YR'!W63+'RESEARCH 2yr'!W63+'PUBLIC SERVICE 2yr'!W63+'ASptISptSSv 2yr'!W63+'PLANT OPER MAIN 2yr'!W63+'SCHOLAR FELLOW 2yr'!W63+'All Other 2yr'!W63)-W63</f>
        <v>0</v>
      </c>
      <c r="AZ63" s="75">
        <f>('INSTRUCTION-2YR'!X63+'RESEARCH 2yr'!X63+'PUBLIC SERVICE 2yr'!X63+'ASptISptSSv 2yr'!X63+'PLANT OPER MAIN 2yr'!X63+'SCHOLAR FELLOW 2yr'!X63+'All Other 2yr'!X63)-X63</f>
        <v>0</v>
      </c>
      <c r="BA63" s="75">
        <f>('INSTRUCTION-2YR'!Y63+'RESEARCH 2yr'!Y63+'PUBLIC SERVICE 2yr'!Y63+'ASptISptSSv 2yr'!Y63+'PLANT OPER MAIN 2yr'!Y63+'SCHOLAR FELLOW 2yr'!Y63+'All Other 2yr'!Y63)-Y63</f>
        <v>0</v>
      </c>
      <c r="BB63" s="75">
        <f>('INSTRUCTION-2YR'!Z63+'RESEARCH 2yr'!Z63+'PUBLIC SERVICE 2yr'!Z63+'ASptISptSSv 2yr'!Z63+'PLANT OPER MAIN 2yr'!Z63+'SCHOLAR FELLOW 2yr'!Z63+'All Other 2yr'!Z63)-Z63</f>
        <v>0</v>
      </c>
      <c r="BC63" s="75">
        <f>('INSTRUCTION-2YR'!AA63+'RESEARCH 2yr'!AA63+'PUBLIC SERVICE 2yr'!AA63+'ASptISptSSv 2yr'!AA63+'PLANT OPER MAIN 2yr'!AA63+'SCHOLAR FELLOW 2yr'!AA63+'All Other 2yr'!AA63)-AA63</f>
        <v>0</v>
      </c>
      <c r="BD63" s="75">
        <f>('INSTRUCTION-2YR'!AB63+'RESEARCH 2yr'!AB63+'PUBLIC SERVICE 2yr'!AB63+'ASptISptSSv 2yr'!AB63+'PLANT OPER MAIN 2yr'!AB63+'SCHOLAR FELLOW 2yr'!AB63+'All Other 2yr'!AB63)-AB63</f>
        <v>0</v>
      </c>
      <c r="BE63" s="75">
        <f>('INSTRUCTION-2YR'!AC63+'RESEARCH 2yr'!AC63+'PUBLIC SERVICE 2yr'!AC63+'ASptISptSSv 2yr'!AC63+'PLANT OPER MAIN 2yr'!AC63+'SCHOLAR FELLOW 2yr'!AC63+'All Other 2yr'!AC63)-AC63</f>
        <v>0</v>
      </c>
    </row>
    <row r="64" spans="1:57">
      <c r="A64" s="24" t="s">
        <v>114</v>
      </c>
      <c r="B64" s="24"/>
      <c r="C64" s="24"/>
      <c r="D64" s="24"/>
      <c r="E64" s="24"/>
      <c r="F64" s="45">
        <v>18297.302</v>
      </c>
      <c r="G64" s="24"/>
      <c r="H64" s="24"/>
      <c r="I64" s="24">
        <v>11530.64</v>
      </c>
      <c r="J64" s="24"/>
      <c r="K64" s="24">
        <v>13116.867</v>
      </c>
      <c r="L64" s="24">
        <v>15101.999</v>
      </c>
      <c r="M64" s="24">
        <v>16781.912</v>
      </c>
      <c r="N64" s="24">
        <v>19666.956999999999</v>
      </c>
      <c r="O64" s="24">
        <v>23052.178</v>
      </c>
      <c r="P64" s="24">
        <v>24998.733</v>
      </c>
      <c r="Q64" s="24">
        <v>25393.325000000001</v>
      </c>
      <c r="R64" s="24">
        <v>27042.739000000001</v>
      </c>
      <c r="S64" s="24">
        <v>27196.798999999999</v>
      </c>
      <c r="T64" s="24">
        <v>30164.835999999999</v>
      </c>
      <c r="U64" s="24">
        <v>63222.544000000002</v>
      </c>
      <c r="V64" s="24">
        <v>38165.300000000003</v>
      </c>
      <c r="W64" s="24">
        <v>43498.485000000001</v>
      </c>
      <c r="X64" s="24">
        <v>43787.678999999996</v>
      </c>
      <c r="Y64" s="24">
        <v>92902.747000000003</v>
      </c>
      <c r="Z64" s="24">
        <v>93057.210999999996</v>
      </c>
      <c r="AA64" s="24">
        <v>88721.207999999999</v>
      </c>
      <c r="AB64" s="24">
        <v>39369.135000000002</v>
      </c>
      <c r="AC64" s="24">
        <v>39158.123</v>
      </c>
      <c r="AD64" s="75">
        <f>('INSTRUCTION-2YR'!B64+'RESEARCH 2yr'!B64+'PUBLIC SERVICE 2yr'!B64+'ASptISptSSv 2yr'!B64+'PLANT OPER MAIN 2yr'!B64+'SCHOLAR FELLOW 2yr'!B64+'All Other 2yr'!B64)-B64</f>
        <v>0</v>
      </c>
      <c r="AE64" s="75">
        <f>('INSTRUCTION-2YR'!C64+'RESEARCH 2yr'!C64+'PUBLIC SERVICE 2yr'!C64+'ASptISptSSv 2yr'!C64+'PLANT OPER MAIN 2yr'!C64+'SCHOLAR FELLOW 2yr'!C64+'All Other 2yr'!C64)-C64</f>
        <v>0</v>
      </c>
      <c r="AF64" s="75">
        <f>('INSTRUCTION-2YR'!D64+'RESEARCH 2yr'!D64+'PUBLIC SERVICE 2yr'!D64+'ASptISptSSv 2yr'!D64+'PLANT OPER MAIN 2yr'!D64+'SCHOLAR FELLOW 2yr'!D64+'All Other 2yr'!D64)-D64</f>
        <v>0</v>
      </c>
      <c r="AG64" s="75">
        <f>('INSTRUCTION-2YR'!E64+'RESEARCH 2yr'!E64+'PUBLIC SERVICE 2yr'!E64+'ASptISptSSv 2yr'!E64+'PLANT OPER MAIN 2yr'!E64+'SCHOLAR FELLOW 2yr'!E64+'All Other 2yr'!E64)-E64</f>
        <v>0</v>
      </c>
      <c r="AH64" s="75">
        <f>('INSTRUCTION-2YR'!F64+'RESEARCH 2yr'!F64+'PUBLIC SERVICE 2yr'!F64+'ASptISptSSv 2yr'!F64+'PLANT OPER MAIN 2yr'!F64+'SCHOLAR FELLOW 2yr'!F64+'All Other 2yr'!F64)-F64</f>
        <v>0</v>
      </c>
      <c r="AI64" s="75">
        <f>('INSTRUCTION-2YR'!G64+'RESEARCH 2yr'!G64+'PUBLIC SERVICE 2yr'!G64+'ASptISptSSv 2yr'!G64+'PLANT OPER MAIN 2yr'!G64+'SCHOLAR FELLOW 2yr'!G64+'All Other 2yr'!G64)-G64</f>
        <v>0</v>
      </c>
      <c r="AJ64" s="75">
        <f>('INSTRUCTION-2YR'!H64+'RESEARCH 2yr'!H64+'PUBLIC SERVICE 2yr'!H64+'ASptISptSSv 2yr'!H64+'PLANT OPER MAIN 2yr'!H64+'SCHOLAR FELLOW 2yr'!H64+'All Other 2yr'!H64)-H64</f>
        <v>0</v>
      </c>
      <c r="AK64" s="75">
        <f>('INSTRUCTION-2YR'!I64+'RESEARCH 2yr'!I64+'PUBLIC SERVICE 2yr'!I64+'ASptISptSSv 2yr'!I64+'PLANT OPER MAIN 2yr'!I64+'SCHOLAR FELLOW 2yr'!I64+'All Other 2yr'!I64)-I64</f>
        <v>0</v>
      </c>
      <c r="AL64" s="75">
        <f>('INSTRUCTION-2YR'!J64+'RESEARCH 2yr'!J64+'PUBLIC SERVICE 2yr'!J64+'ASptISptSSv 2yr'!J64+'PLANT OPER MAIN 2yr'!J64+'SCHOLAR FELLOW 2yr'!J64+'All Other 2yr'!J64)-J64</f>
        <v>0</v>
      </c>
      <c r="AM64" s="75">
        <f>('INSTRUCTION-2YR'!K64+'RESEARCH 2yr'!K64+'PUBLIC SERVICE 2yr'!K64+'ASptISptSSv 2yr'!K64+'PLANT OPER MAIN 2yr'!K64+'SCHOLAR FELLOW 2yr'!K64+'All Other 2yr'!K64)-K64</f>
        <v>0</v>
      </c>
      <c r="AN64" s="75">
        <f>('INSTRUCTION-2YR'!L64+'RESEARCH 2yr'!L64+'PUBLIC SERVICE 2yr'!L64+'ASptISptSSv 2yr'!L64+'PLANT OPER MAIN 2yr'!L64+'SCHOLAR FELLOW 2yr'!L64+'All Other 2yr'!L64)-L64</f>
        <v>0</v>
      </c>
      <c r="AO64" s="75">
        <f>('INSTRUCTION-2YR'!M64+'RESEARCH 2yr'!M64+'PUBLIC SERVICE 2yr'!M64+'ASptISptSSv 2yr'!M64+'PLANT OPER MAIN 2yr'!M64+'SCHOLAR FELLOW 2yr'!M64+'All Other 2yr'!M64)-M64</f>
        <v>0</v>
      </c>
      <c r="AP64" s="75">
        <f>('INSTRUCTION-2YR'!N64+'RESEARCH 2yr'!N64+'PUBLIC SERVICE 2yr'!N64+'ASptISptSSv 2yr'!N64+'PLANT OPER MAIN 2yr'!N64+'SCHOLAR FELLOW 2yr'!N64+'All Other 2yr'!N64)-N64</f>
        <v>0</v>
      </c>
      <c r="AQ64" s="75">
        <f>('INSTRUCTION-2YR'!O64+'RESEARCH 2yr'!O64+'PUBLIC SERVICE 2yr'!O64+'ASptISptSSv 2yr'!O64+'PLANT OPER MAIN 2yr'!O64+'SCHOLAR FELLOW 2yr'!O64+'All Other 2yr'!O64)-O64</f>
        <v>0</v>
      </c>
      <c r="AR64" s="75">
        <f>('INSTRUCTION-2YR'!P64+'RESEARCH 2yr'!P64+'PUBLIC SERVICE 2yr'!P64+'ASptISptSSv 2yr'!P64+'PLANT OPER MAIN 2yr'!P64+'SCHOLAR FELLOW 2yr'!P64+'All Other 2yr'!P64)-P64</f>
        <v>0</v>
      </c>
      <c r="AS64" s="75">
        <f>('INSTRUCTION-2YR'!Q64+'RESEARCH 2yr'!Q64+'PUBLIC SERVICE 2yr'!Q64+'ASptISptSSv 2yr'!Q64+'PLANT OPER MAIN 2yr'!Q64+'SCHOLAR FELLOW 2yr'!Q64+'All Other 2yr'!Q64)-Q64</f>
        <v>0</v>
      </c>
      <c r="AT64" s="75">
        <f>('INSTRUCTION-2YR'!R64+'RESEARCH 2yr'!R64+'PUBLIC SERVICE 2yr'!R64+'ASptISptSSv 2yr'!R64+'PLANT OPER MAIN 2yr'!R64+'SCHOLAR FELLOW 2yr'!R64+'All Other 2yr'!R64)-R64</f>
        <v>0</v>
      </c>
      <c r="AU64" s="75">
        <f>('INSTRUCTION-2YR'!S64+'RESEARCH 2yr'!S64+'PUBLIC SERVICE 2yr'!S64+'ASptISptSSv 2yr'!S64+'PLANT OPER MAIN 2yr'!S64+'SCHOLAR FELLOW 2yr'!S64+'All Other 2yr'!S64)-S64</f>
        <v>0</v>
      </c>
      <c r="AV64" s="75">
        <f>('INSTRUCTION-2YR'!T64+'RESEARCH 2yr'!T64+'PUBLIC SERVICE 2yr'!T64+'ASptISptSSv 2yr'!T64+'PLANT OPER MAIN 2yr'!T64+'SCHOLAR FELLOW 2yr'!T64+'All Other 2yr'!T64)-T64</f>
        <v>0</v>
      </c>
      <c r="AW64" s="75">
        <f>('INSTRUCTION-2YR'!U64+'RESEARCH 2yr'!U64+'PUBLIC SERVICE 2yr'!U64+'ASptISptSSv 2yr'!U64+'PLANT OPER MAIN 2yr'!U64+'SCHOLAR FELLOW 2yr'!U64+'All Other 2yr'!U64)-U64</f>
        <v>0</v>
      </c>
      <c r="AX64" s="75">
        <f>('INSTRUCTION-2YR'!V64+'RESEARCH 2yr'!V64+'PUBLIC SERVICE 2yr'!V64+'ASptISptSSv 2yr'!V64+'PLANT OPER MAIN 2yr'!V64+'SCHOLAR FELLOW 2yr'!V64+'All Other 2yr'!V64)-V64</f>
        <v>0</v>
      </c>
      <c r="AY64" s="75">
        <f>('INSTRUCTION-2YR'!W64+'RESEARCH 2yr'!W64+'PUBLIC SERVICE 2yr'!W64+'ASptISptSSv 2yr'!W64+'PLANT OPER MAIN 2yr'!W64+'SCHOLAR FELLOW 2yr'!W64+'All Other 2yr'!W64)-W64</f>
        <v>0</v>
      </c>
      <c r="AZ64" s="75">
        <f>('INSTRUCTION-2YR'!X64+'RESEARCH 2yr'!X64+'PUBLIC SERVICE 2yr'!X64+'ASptISptSSv 2yr'!X64+'PLANT OPER MAIN 2yr'!X64+'SCHOLAR FELLOW 2yr'!X64+'All Other 2yr'!X64)-X64</f>
        <v>0</v>
      </c>
      <c r="BA64" s="75">
        <f>('INSTRUCTION-2YR'!Y64+'RESEARCH 2yr'!Y64+'PUBLIC SERVICE 2yr'!Y64+'ASptISptSSv 2yr'!Y64+'PLANT OPER MAIN 2yr'!Y64+'SCHOLAR FELLOW 2yr'!Y64+'All Other 2yr'!Y64)-Y64</f>
        <v>0</v>
      </c>
      <c r="BB64" s="75">
        <f>('INSTRUCTION-2YR'!Z64+'RESEARCH 2yr'!Z64+'PUBLIC SERVICE 2yr'!Z64+'ASptISptSSv 2yr'!Z64+'PLANT OPER MAIN 2yr'!Z64+'SCHOLAR FELLOW 2yr'!Z64+'All Other 2yr'!Z64)-Z64</f>
        <v>0</v>
      </c>
      <c r="BC64" s="75">
        <f>('INSTRUCTION-2YR'!AA64+'RESEARCH 2yr'!AA64+'PUBLIC SERVICE 2yr'!AA64+'ASptISptSSv 2yr'!AA64+'PLANT OPER MAIN 2yr'!AA64+'SCHOLAR FELLOW 2yr'!AA64+'All Other 2yr'!AA64)-AA64</f>
        <v>0</v>
      </c>
      <c r="BD64" s="75">
        <f>('INSTRUCTION-2YR'!AB64+'RESEARCH 2yr'!AB64+'PUBLIC SERVICE 2yr'!AB64+'ASptISptSSv 2yr'!AB64+'PLANT OPER MAIN 2yr'!AB64+'SCHOLAR FELLOW 2yr'!AB64+'All Other 2yr'!AB64)-AB64</f>
        <v>0</v>
      </c>
      <c r="BE64" s="75">
        <f>('INSTRUCTION-2YR'!AC64+'RESEARCH 2yr'!AC64+'PUBLIC SERVICE 2yr'!AC64+'ASptISptSSv 2yr'!AC64+'PLANT OPER MAIN 2yr'!AC64+'SCHOLAR FELLOW 2yr'!AC64+'All Other 2yr'!AC64)-AC64</f>
        <v>0</v>
      </c>
    </row>
    <row r="65" spans="1:57">
      <c r="A65" s="46" t="s">
        <v>90</v>
      </c>
      <c r="B65" s="46"/>
      <c r="C65" s="46"/>
      <c r="D65" s="46"/>
      <c r="E65" s="46"/>
      <c r="F65" s="47">
        <v>0</v>
      </c>
      <c r="G65" s="46"/>
      <c r="H65" s="46"/>
      <c r="I65" s="46">
        <v>0</v>
      </c>
      <c r="J65" s="46"/>
      <c r="K65" s="46">
        <v>0</v>
      </c>
      <c r="L65" s="46">
        <v>0</v>
      </c>
      <c r="M65" s="46">
        <v>0</v>
      </c>
      <c r="N65" s="46">
        <v>0</v>
      </c>
      <c r="O65" s="46">
        <v>0</v>
      </c>
      <c r="P65" s="46">
        <v>0</v>
      </c>
      <c r="Q65" s="46">
        <v>0</v>
      </c>
      <c r="R65" s="46">
        <v>0</v>
      </c>
      <c r="S65" s="46">
        <v>0</v>
      </c>
      <c r="T65" s="46">
        <v>0</v>
      </c>
      <c r="U65" s="46">
        <v>0</v>
      </c>
      <c r="V65" s="46">
        <v>0</v>
      </c>
      <c r="W65" s="46">
        <v>0</v>
      </c>
      <c r="X65" s="24"/>
      <c r="Y65" s="24"/>
      <c r="Z65" s="24"/>
      <c r="AA65" s="24"/>
      <c r="AB65" s="24"/>
      <c r="AC65" s="24"/>
      <c r="AD65" s="75">
        <f>('INSTRUCTION-2YR'!B65+'RESEARCH 2yr'!B65+'PUBLIC SERVICE 2yr'!B65+'ASptISptSSv 2yr'!B65+'PLANT OPER MAIN 2yr'!B65+'SCHOLAR FELLOW 2yr'!B65+'All Other 2yr'!B65)-B65</f>
        <v>0</v>
      </c>
      <c r="AE65" s="75">
        <f>('INSTRUCTION-2YR'!C65+'RESEARCH 2yr'!C65+'PUBLIC SERVICE 2yr'!C65+'ASptISptSSv 2yr'!C65+'PLANT OPER MAIN 2yr'!C65+'SCHOLAR FELLOW 2yr'!C65+'All Other 2yr'!C65)-C65</f>
        <v>0</v>
      </c>
      <c r="AF65" s="75">
        <f>('INSTRUCTION-2YR'!D65+'RESEARCH 2yr'!D65+'PUBLIC SERVICE 2yr'!D65+'ASptISptSSv 2yr'!D65+'PLANT OPER MAIN 2yr'!D65+'SCHOLAR FELLOW 2yr'!D65+'All Other 2yr'!D65)-D65</f>
        <v>0</v>
      </c>
      <c r="AG65" s="75">
        <f>('INSTRUCTION-2YR'!E65+'RESEARCH 2yr'!E65+'PUBLIC SERVICE 2yr'!E65+'ASptISptSSv 2yr'!E65+'PLANT OPER MAIN 2yr'!E65+'SCHOLAR FELLOW 2yr'!E65+'All Other 2yr'!E65)-E65</f>
        <v>0</v>
      </c>
      <c r="AH65" s="75">
        <f>('INSTRUCTION-2YR'!F65+'RESEARCH 2yr'!F65+'PUBLIC SERVICE 2yr'!F65+'ASptISptSSv 2yr'!F65+'PLANT OPER MAIN 2yr'!F65+'SCHOLAR FELLOW 2yr'!F65+'All Other 2yr'!F65)-F65</f>
        <v>0</v>
      </c>
      <c r="AI65" s="75">
        <f>('INSTRUCTION-2YR'!G65+'RESEARCH 2yr'!G65+'PUBLIC SERVICE 2yr'!G65+'ASptISptSSv 2yr'!G65+'PLANT OPER MAIN 2yr'!G65+'SCHOLAR FELLOW 2yr'!G65+'All Other 2yr'!G65)-G65</f>
        <v>0</v>
      </c>
      <c r="AJ65" s="75">
        <f>('INSTRUCTION-2YR'!H65+'RESEARCH 2yr'!H65+'PUBLIC SERVICE 2yr'!H65+'ASptISptSSv 2yr'!H65+'PLANT OPER MAIN 2yr'!H65+'SCHOLAR FELLOW 2yr'!H65+'All Other 2yr'!H65)-H65</f>
        <v>0</v>
      </c>
      <c r="AK65" s="75">
        <f>('INSTRUCTION-2YR'!I65+'RESEARCH 2yr'!I65+'PUBLIC SERVICE 2yr'!I65+'ASptISptSSv 2yr'!I65+'PLANT OPER MAIN 2yr'!I65+'SCHOLAR FELLOW 2yr'!I65+'All Other 2yr'!I65)-I65</f>
        <v>0</v>
      </c>
      <c r="AL65" s="75">
        <f>('INSTRUCTION-2YR'!J65+'RESEARCH 2yr'!J65+'PUBLIC SERVICE 2yr'!J65+'ASptISptSSv 2yr'!J65+'PLANT OPER MAIN 2yr'!J65+'SCHOLAR FELLOW 2yr'!J65+'All Other 2yr'!J65)-J65</f>
        <v>0</v>
      </c>
      <c r="AM65" s="75">
        <f>('INSTRUCTION-2YR'!K65+'RESEARCH 2yr'!K65+'PUBLIC SERVICE 2yr'!K65+'ASptISptSSv 2yr'!K65+'PLANT OPER MAIN 2yr'!K65+'SCHOLAR FELLOW 2yr'!K65+'All Other 2yr'!K65)-K65</f>
        <v>0</v>
      </c>
      <c r="AN65" s="75">
        <f>('INSTRUCTION-2YR'!L65+'RESEARCH 2yr'!L65+'PUBLIC SERVICE 2yr'!L65+'ASptISptSSv 2yr'!L65+'PLANT OPER MAIN 2yr'!L65+'SCHOLAR FELLOW 2yr'!L65+'All Other 2yr'!L65)-L65</f>
        <v>0</v>
      </c>
      <c r="AO65" s="75">
        <f>('INSTRUCTION-2YR'!M65+'RESEARCH 2yr'!M65+'PUBLIC SERVICE 2yr'!M65+'ASptISptSSv 2yr'!M65+'PLANT OPER MAIN 2yr'!M65+'SCHOLAR FELLOW 2yr'!M65+'All Other 2yr'!M65)-M65</f>
        <v>0</v>
      </c>
      <c r="AP65" s="75">
        <f>('INSTRUCTION-2YR'!N65+'RESEARCH 2yr'!N65+'PUBLIC SERVICE 2yr'!N65+'ASptISptSSv 2yr'!N65+'PLANT OPER MAIN 2yr'!N65+'SCHOLAR FELLOW 2yr'!N65+'All Other 2yr'!N65)-N65</f>
        <v>0</v>
      </c>
      <c r="AQ65" s="75">
        <f>('INSTRUCTION-2YR'!O65+'RESEARCH 2yr'!O65+'PUBLIC SERVICE 2yr'!O65+'ASptISptSSv 2yr'!O65+'PLANT OPER MAIN 2yr'!O65+'SCHOLAR FELLOW 2yr'!O65+'All Other 2yr'!O65)-O65</f>
        <v>0</v>
      </c>
      <c r="AR65" s="75">
        <f>('INSTRUCTION-2YR'!P65+'RESEARCH 2yr'!P65+'PUBLIC SERVICE 2yr'!P65+'ASptISptSSv 2yr'!P65+'PLANT OPER MAIN 2yr'!P65+'SCHOLAR FELLOW 2yr'!P65+'All Other 2yr'!P65)-P65</f>
        <v>0</v>
      </c>
      <c r="AS65" s="75">
        <f>('INSTRUCTION-2YR'!Q65+'RESEARCH 2yr'!Q65+'PUBLIC SERVICE 2yr'!Q65+'ASptISptSSv 2yr'!Q65+'PLANT OPER MAIN 2yr'!Q65+'SCHOLAR FELLOW 2yr'!Q65+'All Other 2yr'!Q65)-Q65</f>
        <v>0</v>
      </c>
      <c r="AT65" s="75">
        <f>('INSTRUCTION-2YR'!R65+'RESEARCH 2yr'!R65+'PUBLIC SERVICE 2yr'!R65+'ASptISptSSv 2yr'!R65+'PLANT OPER MAIN 2yr'!R65+'SCHOLAR FELLOW 2yr'!R65+'All Other 2yr'!R65)-R65</f>
        <v>0</v>
      </c>
      <c r="AU65" s="75">
        <f>('INSTRUCTION-2YR'!S65+'RESEARCH 2yr'!S65+'PUBLIC SERVICE 2yr'!S65+'ASptISptSSv 2yr'!S65+'PLANT OPER MAIN 2yr'!S65+'SCHOLAR FELLOW 2yr'!S65+'All Other 2yr'!S65)-S65</f>
        <v>0</v>
      </c>
      <c r="AV65" s="75">
        <f>('INSTRUCTION-2YR'!T65+'RESEARCH 2yr'!T65+'PUBLIC SERVICE 2yr'!T65+'ASptISptSSv 2yr'!T65+'PLANT OPER MAIN 2yr'!T65+'SCHOLAR FELLOW 2yr'!T65+'All Other 2yr'!T65)-T65</f>
        <v>0</v>
      </c>
      <c r="AW65" s="75">
        <f>('INSTRUCTION-2YR'!U65+'RESEARCH 2yr'!U65+'PUBLIC SERVICE 2yr'!U65+'ASptISptSSv 2yr'!U65+'PLANT OPER MAIN 2yr'!U65+'SCHOLAR FELLOW 2yr'!U65+'All Other 2yr'!U65)-U65</f>
        <v>0</v>
      </c>
      <c r="AX65" s="75">
        <f>('INSTRUCTION-2YR'!V65+'RESEARCH 2yr'!V65+'PUBLIC SERVICE 2yr'!V65+'ASptISptSSv 2yr'!V65+'PLANT OPER MAIN 2yr'!V65+'SCHOLAR FELLOW 2yr'!V65+'All Other 2yr'!V65)-V65</f>
        <v>0</v>
      </c>
      <c r="AY65" s="75">
        <f>('INSTRUCTION-2YR'!W65+'RESEARCH 2yr'!W65+'PUBLIC SERVICE 2yr'!W65+'ASptISptSSv 2yr'!W65+'PLANT OPER MAIN 2yr'!W65+'SCHOLAR FELLOW 2yr'!W65+'All Other 2yr'!W65)-W65</f>
        <v>0</v>
      </c>
      <c r="AZ65" s="75">
        <f>('INSTRUCTION-2YR'!X65+'RESEARCH 2yr'!X65+'PUBLIC SERVICE 2yr'!X65+'ASptISptSSv 2yr'!X65+'PLANT OPER MAIN 2yr'!X65+'SCHOLAR FELLOW 2yr'!X65+'All Other 2yr'!X65)-X65</f>
        <v>0</v>
      </c>
      <c r="BA65" s="75">
        <f>('INSTRUCTION-2YR'!Y65+'RESEARCH 2yr'!Y65+'PUBLIC SERVICE 2yr'!Y65+'ASptISptSSv 2yr'!Y65+'PLANT OPER MAIN 2yr'!Y65+'SCHOLAR FELLOW 2yr'!Y65+'All Other 2yr'!Y65)-Y65</f>
        <v>0</v>
      </c>
      <c r="BB65" s="75">
        <f>('INSTRUCTION-2YR'!Z65+'RESEARCH 2yr'!Z65+'PUBLIC SERVICE 2yr'!Z65+'ASptISptSSv 2yr'!Z65+'PLANT OPER MAIN 2yr'!Z65+'SCHOLAR FELLOW 2yr'!Z65+'All Other 2yr'!Z65)-Z65</f>
        <v>0</v>
      </c>
      <c r="BC65" s="75">
        <f>('INSTRUCTION-2YR'!AA65+'RESEARCH 2yr'!AA65+'PUBLIC SERVICE 2yr'!AA65+'ASptISptSSv 2yr'!AA65+'PLANT OPER MAIN 2yr'!AA65+'SCHOLAR FELLOW 2yr'!AA65+'All Other 2yr'!AA65)-AA65</f>
        <v>0</v>
      </c>
      <c r="BD65" s="75">
        <f>('INSTRUCTION-2YR'!AB65+'RESEARCH 2yr'!AB65+'PUBLIC SERVICE 2yr'!AB65+'ASptISptSSv 2yr'!AB65+'PLANT OPER MAIN 2yr'!AB65+'SCHOLAR FELLOW 2yr'!AB65+'All Other 2yr'!AB65)-AB65</f>
        <v>0</v>
      </c>
      <c r="BE65" s="75">
        <f>('INSTRUCTION-2YR'!AC65+'RESEARCH 2yr'!AC65+'PUBLIC SERVICE 2yr'!AC65+'ASptISptSSv 2yr'!AC65+'PLANT OPER MAIN 2yr'!AC65+'SCHOLAR FELLOW 2yr'!AC65+'All Other 2yr'!AC65)-AC65</f>
        <v>0</v>
      </c>
    </row>
    <row r="67" spans="1:57">
      <c r="E67" s="1" t="s">
        <v>41</v>
      </c>
      <c r="I67" s="20" t="s">
        <v>78</v>
      </c>
      <c r="J67" s="20" t="s">
        <v>76</v>
      </c>
      <c r="K67" s="20"/>
      <c r="L67" s="20" t="s">
        <v>69</v>
      </c>
      <c r="M67" s="20"/>
      <c r="N67" s="20"/>
      <c r="O67" s="20" t="s">
        <v>78</v>
      </c>
      <c r="P67" s="20" t="s">
        <v>78</v>
      </c>
      <c r="Q67" s="20" t="s">
        <v>78</v>
      </c>
      <c r="R67" s="20" t="s">
        <v>78</v>
      </c>
      <c r="S67" s="20"/>
      <c r="T67" s="20"/>
      <c r="U67" s="20"/>
      <c r="V67" s="20"/>
      <c r="W67" s="20"/>
      <c r="X67" s="20"/>
      <c r="Y67" s="20"/>
      <c r="Z67" s="20"/>
      <c r="AA67" s="20"/>
      <c r="AB67" s="20"/>
      <c r="AC67" s="20"/>
    </row>
    <row r="68" spans="1:57">
      <c r="I68" s="1" t="s">
        <v>79</v>
      </c>
      <c r="J68" s="1" t="s">
        <v>72</v>
      </c>
      <c r="L68" s="1" t="s">
        <v>70</v>
      </c>
      <c r="O68" s="1" t="s">
        <v>79</v>
      </c>
      <c r="P68" s="1" t="s">
        <v>79</v>
      </c>
      <c r="Q68" s="1" t="s">
        <v>79</v>
      </c>
      <c r="R68" s="1" t="s">
        <v>79</v>
      </c>
    </row>
    <row r="69" spans="1:57">
      <c r="I69" s="1" t="s">
        <v>80</v>
      </c>
      <c r="J69" s="1" t="s">
        <v>73</v>
      </c>
      <c r="O69" s="1" t="s">
        <v>80</v>
      </c>
      <c r="P69" s="1" t="s">
        <v>80</v>
      </c>
      <c r="Q69" s="1" t="s">
        <v>80</v>
      </c>
      <c r="R69" s="1" t="s">
        <v>80</v>
      </c>
    </row>
    <row r="70" spans="1:57">
      <c r="J70" s="1" t="s">
        <v>74</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AC70"/>
  <sheetViews>
    <sheetView zoomScale="96" zoomScaleNormal="96" workbookViewId="0">
      <pane xSplit="1" ySplit="5" topLeftCell="T6" activePane="bottomRight" state="frozen"/>
      <selection activeCell="B52" sqref="B52"/>
      <selection pane="topRight" activeCell="B52" sqref="B52"/>
      <selection pane="bottomLeft" activeCell="B52" sqref="B52"/>
      <selection pane="bottomRight" activeCell="AB55" sqref="AB55:AC55"/>
    </sheetView>
  </sheetViews>
  <sheetFormatPr defaultColWidth="9.7109375" defaultRowHeight="12.75"/>
  <cols>
    <col min="1" max="1" width="23.42578125" style="44" customWidth="1"/>
    <col min="2" max="23" width="12.42578125" style="1" customWidth="1"/>
    <col min="24" max="24" width="11.5703125" style="1" bestFit="1" customWidth="1"/>
    <col min="25" max="25" width="14.42578125" style="1" bestFit="1" customWidth="1"/>
    <col min="26" max="27" width="14.42578125" style="1" customWidth="1"/>
    <col min="28" max="29" width="11.140625" style="1" bestFit="1" customWidth="1"/>
    <col min="30" max="16384" width="9.7109375" style="1"/>
  </cols>
  <sheetData>
    <row r="1" spans="1:29">
      <c r="A1" s="7" t="s">
        <v>81</v>
      </c>
      <c r="D1" s="9"/>
      <c r="E1" s="9"/>
      <c r="AA1" s="1">
        <v>1000</v>
      </c>
    </row>
    <row r="2" spans="1:29">
      <c r="A2" s="1"/>
    </row>
    <row r="3" spans="1:29">
      <c r="A3" s="1" t="s">
        <v>45</v>
      </c>
      <c r="D3" s="9"/>
      <c r="E3" s="9"/>
      <c r="F3" s="9"/>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82</v>
      </c>
      <c r="C5" s="8" t="s">
        <v>82</v>
      </c>
      <c r="D5" s="8" t="s">
        <v>82</v>
      </c>
      <c r="E5" s="8" t="s">
        <v>82</v>
      </c>
      <c r="F5" s="8" t="s">
        <v>82</v>
      </c>
      <c r="G5" s="8" t="s">
        <v>82</v>
      </c>
      <c r="H5" s="8" t="s">
        <v>82</v>
      </c>
      <c r="I5" s="8" t="s">
        <v>82</v>
      </c>
      <c r="J5" s="8" t="s">
        <v>82</v>
      </c>
      <c r="K5" s="8" t="s">
        <v>82</v>
      </c>
      <c r="L5" s="8" t="s">
        <v>82</v>
      </c>
      <c r="M5" s="8" t="s">
        <v>82</v>
      </c>
      <c r="N5" s="8" t="s">
        <v>82</v>
      </c>
      <c r="O5" s="8" t="s">
        <v>82</v>
      </c>
      <c r="P5" s="8" t="s">
        <v>82</v>
      </c>
      <c r="Q5" s="8" t="s">
        <v>82</v>
      </c>
      <c r="R5" s="8" t="s">
        <v>82</v>
      </c>
      <c r="S5" s="8" t="s">
        <v>82</v>
      </c>
      <c r="T5" s="8" t="s">
        <v>82</v>
      </c>
      <c r="U5" s="8" t="s">
        <v>82</v>
      </c>
      <c r="V5" s="8" t="s">
        <v>82</v>
      </c>
      <c r="W5" s="8" t="s">
        <v>82</v>
      </c>
      <c r="X5" s="1" t="s">
        <v>141</v>
      </c>
      <c r="Y5" s="8" t="s">
        <v>82</v>
      </c>
      <c r="Z5" s="8" t="s">
        <v>82</v>
      </c>
      <c r="AA5" s="8" t="s">
        <v>82</v>
      </c>
      <c r="AB5" s="8" t="s">
        <v>82</v>
      </c>
      <c r="AC5" s="8" t="s">
        <v>82</v>
      </c>
    </row>
    <row r="6" spans="1:29">
      <c r="A6" s="24" t="s">
        <v>118</v>
      </c>
      <c r="B6" s="24">
        <f>5592407+8518129</f>
        <v>14110536</v>
      </c>
      <c r="C6" s="24">
        <f>6092470+9376319</f>
        <v>15468789</v>
      </c>
      <c r="D6" s="24">
        <f>6583758+10176035</f>
        <v>16759793</v>
      </c>
      <c r="E6" s="24">
        <v>23504947.074000001</v>
      </c>
      <c r="F6" s="49">
        <f>+F7+F25+F40+F54+F65</f>
        <v>23973574.332999997</v>
      </c>
      <c r="G6" s="24">
        <v>25283425.030999999</v>
      </c>
      <c r="H6" s="24">
        <v>26269274.958999999</v>
      </c>
      <c r="I6" s="49">
        <f>+I7+I25+I40+I54+I65</f>
        <v>27374055.660000004</v>
      </c>
      <c r="J6" s="24">
        <v>28531591.208999999</v>
      </c>
      <c r="K6" s="49">
        <f t="shared" ref="K6:U6" si="0">+K7+K25+K40+K54+K65</f>
        <v>29983873.957090002</v>
      </c>
      <c r="L6" s="49">
        <f t="shared" si="0"/>
        <v>34396391.364</v>
      </c>
      <c r="M6" s="49">
        <f t="shared" si="0"/>
        <v>36521752.212000005</v>
      </c>
      <c r="N6" s="49">
        <f t="shared" si="0"/>
        <v>37665779.549999997</v>
      </c>
      <c r="O6" s="49">
        <f t="shared" si="0"/>
        <v>38818059.660000004</v>
      </c>
      <c r="P6" s="49">
        <f t="shared" si="0"/>
        <v>39992241.469999999</v>
      </c>
      <c r="Q6" s="49">
        <f t="shared" si="0"/>
        <v>43172202.924000002</v>
      </c>
      <c r="R6" s="49">
        <f t="shared" si="0"/>
        <v>45226828.245999999</v>
      </c>
      <c r="S6" s="49">
        <f t="shared" si="0"/>
        <v>48395749.437000006</v>
      </c>
      <c r="T6" s="49">
        <f t="shared" si="0"/>
        <v>53220816.711000003</v>
      </c>
      <c r="U6" s="49">
        <f t="shared" si="0"/>
        <v>51623999.414000005</v>
      </c>
      <c r="V6" s="49">
        <f t="shared" ref="V6:W6" si="1">+V7+V25+V40+V54+V65</f>
        <v>62119095.990000002</v>
      </c>
      <c r="W6" s="49">
        <f t="shared" si="1"/>
        <v>64807541.956999995</v>
      </c>
      <c r="X6" s="49">
        <f t="shared" ref="X6:Y6" si="2">+X7+X25+X40+X54+X65</f>
        <v>66721318.760999992</v>
      </c>
      <c r="Y6" s="49">
        <f t="shared" si="2"/>
        <v>66233427.222999997</v>
      </c>
      <c r="Z6" s="49">
        <f t="shared" ref="Z6:AA6" si="3">+Z7+Z25+Z40+Z54+Z65</f>
        <v>69883075.885000005</v>
      </c>
      <c r="AA6" s="49">
        <f t="shared" si="3"/>
        <v>72845695.813999996</v>
      </c>
      <c r="AB6" s="49">
        <f t="shared" ref="AB6:AC6" si="4">+AB7+AB25+AB40+AB54+AB65</f>
        <v>78399330.659999982</v>
      </c>
      <c r="AC6" s="49">
        <f t="shared" si="4"/>
        <v>81137145.159999996</v>
      </c>
    </row>
    <row r="7" spans="1:29">
      <c r="A7" s="1" t="s">
        <v>56</v>
      </c>
      <c r="B7" s="48">
        <f>SUM(B8:B24)</f>
        <v>4695176</v>
      </c>
      <c r="C7" s="48">
        <f t="shared" ref="C7:U7" si="5">SUM(C8:C24)</f>
        <v>5128435</v>
      </c>
      <c r="D7" s="48">
        <f t="shared" si="5"/>
        <v>5599541</v>
      </c>
      <c r="E7" s="48">
        <f t="shared" si="5"/>
        <v>7898921.7359999996</v>
      </c>
      <c r="F7" s="48">
        <f t="shared" si="5"/>
        <v>8187436.358</v>
      </c>
      <c r="G7" s="48">
        <f t="shared" si="5"/>
        <v>8611500.2270000018</v>
      </c>
      <c r="H7" s="48">
        <f t="shared" si="5"/>
        <v>9115637.4600000009</v>
      </c>
      <c r="I7" s="48">
        <f t="shared" si="5"/>
        <v>9847287.8120000008</v>
      </c>
      <c r="J7" s="48">
        <f t="shared" si="5"/>
        <v>10252258.5</v>
      </c>
      <c r="K7" s="48">
        <f t="shared" si="5"/>
        <v>10795681.562000001</v>
      </c>
      <c r="L7" s="48">
        <f t="shared" si="5"/>
        <v>12651169.493999999</v>
      </c>
      <c r="M7" s="48">
        <f t="shared" si="5"/>
        <v>13583506.869000001</v>
      </c>
      <c r="N7" s="48">
        <f t="shared" si="5"/>
        <v>14144502.220000001</v>
      </c>
      <c r="O7" s="48">
        <f t="shared" si="5"/>
        <v>15019959.209999999</v>
      </c>
      <c r="P7" s="48">
        <f t="shared" si="5"/>
        <v>15441010.987</v>
      </c>
      <c r="Q7" s="48">
        <f t="shared" si="5"/>
        <v>16569644.872000001</v>
      </c>
      <c r="R7" s="48">
        <f t="shared" si="5"/>
        <v>17327303.039000001</v>
      </c>
      <c r="S7" s="48">
        <f t="shared" si="5"/>
        <v>18426431.784000006</v>
      </c>
      <c r="T7" s="48">
        <f t="shared" si="5"/>
        <v>20097381.867000002</v>
      </c>
      <c r="U7" s="48">
        <f t="shared" si="5"/>
        <v>17802704.088000003</v>
      </c>
      <c r="V7" s="48">
        <f t="shared" ref="V7:W7" si="6">SUM(V8:V24)</f>
        <v>23590918.865000002</v>
      </c>
      <c r="W7" s="48">
        <f t="shared" si="6"/>
        <v>24542660.433999997</v>
      </c>
      <c r="X7" s="48">
        <f t="shared" ref="X7:Y7" si="7">SUM(X8:X24)</f>
        <v>25069225.629999999</v>
      </c>
      <c r="Y7" s="48">
        <f t="shared" si="7"/>
        <v>23414959.628000002</v>
      </c>
      <c r="Z7" s="48">
        <f t="shared" ref="Z7:AA7" si="8">SUM(Z8:Z24)</f>
        <v>24800882.789000001</v>
      </c>
      <c r="AA7" s="48">
        <f t="shared" si="8"/>
        <v>25572404.433999997</v>
      </c>
      <c r="AB7" s="48">
        <f t="shared" ref="AB7:AC7" si="9">SUM(AB8:AB24)</f>
        <v>28781867.136999998</v>
      </c>
      <c r="AC7" s="48">
        <f t="shared" si="9"/>
        <v>29828880.678000003</v>
      </c>
    </row>
    <row r="8" spans="1:29">
      <c r="A8" s="7" t="s">
        <v>119</v>
      </c>
    </row>
    <row r="9" spans="1:29">
      <c r="A9" s="1" t="s">
        <v>3</v>
      </c>
      <c r="B9" s="1">
        <f>94019+181676</f>
        <v>275695</v>
      </c>
      <c r="C9" s="1">
        <f>101026+200625</f>
        <v>301651</v>
      </c>
      <c r="D9" s="1">
        <f>112026+214231</f>
        <v>326257</v>
      </c>
      <c r="E9" s="1">
        <v>434625.43400000001</v>
      </c>
      <c r="F9" s="42">
        <v>440548.342</v>
      </c>
      <c r="G9" s="1">
        <v>481656.12599999999</v>
      </c>
      <c r="H9" s="1">
        <v>531548.06000000006</v>
      </c>
      <c r="I9" s="1">
        <v>562658.82700000005</v>
      </c>
      <c r="J9" s="1">
        <v>539398.96400000004</v>
      </c>
      <c r="K9" s="1">
        <v>555973.09100000001</v>
      </c>
      <c r="L9" s="1">
        <v>639776.272</v>
      </c>
      <c r="M9" s="1">
        <v>680321.02</v>
      </c>
      <c r="N9" s="1">
        <v>726244.45</v>
      </c>
      <c r="O9" s="1">
        <v>778571.87600000005</v>
      </c>
      <c r="P9" s="1">
        <v>802169.59400000004</v>
      </c>
      <c r="Q9" s="1">
        <v>861712.58200000005</v>
      </c>
      <c r="R9" s="1">
        <v>916041.37699999998</v>
      </c>
      <c r="S9" s="1">
        <v>993273.82299999997</v>
      </c>
      <c r="T9" s="1">
        <v>1108995.311</v>
      </c>
      <c r="U9" s="1">
        <v>1204935.72</v>
      </c>
      <c r="V9" s="1">
        <v>1278542.7350000001</v>
      </c>
      <c r="W9" s="1">
        <v>1359971.3430000001</v>
      </c>
      <c r="X9" s="1">
        <v>1381589.128</v>
      </c>
      <c r="Y9" s="1">
        <v>1410271.142</v>
      </c>
      <c r="Z9" s="1">
        <v>1469219.835</v>
      </c>
      <c r="AA9" s="1">
        <v>1482376.068</v>
      </c>
      <c r="AB9" s="1">
        <v>1464018.9820000001</v>
      </c>
      <c r="AC9" s="1">
        <v>1604931.4509999999</v>
      </c>
    </row>
    <row r="10" spans="1:29">
      <c r="A10" s="1" t="s">
        <v>4</v>
      </c>
      <c r="B10" s="1">
        <f>28387+99048</f>
        <v>127435</v>
      </c>
      <c r="C10" s="1">
        <f>34458+117866</f>
        <v>152324</v>
      </c>
      <c r="D10" s="1">
        <f>39476+129991</f>
        <v>169467</v>
      </c>
      <c r="E10" s="1">
        <v>276554.80599999998</v>
      </c>
      <c r="F10" s="42">
        <v>214344.30100000001</v>
      </c>
      <c r="G10" s="1">
        <v>241077.64799999999</v>
      </c>
      <c r="H10" s="1">
        <v>242579.83799999999</v>
      </c>
      <c r="I10" s="1">
        <v>256483.54500000001</v>
      </c>
      <c r="J10" s="1">
        <v>283135.603</v>
      </c>
      <c r="K10" s="1">
        <v>306489.527</v>
      </c>
      <c r="L10" s="1">
        <v>361416.09600000002</v>
      </c>
      <c r="M10" s="1">
        <v>375470.85</v>
      </c>
      <c r="N10" s="1">
        <v>401797.11099999998</v>
      </c>
      <c r="O10" s="1">
        <v>415530.84600000002</v>
      </c>
      <c r="P10" s="1">
        <v>439732.29399999999</v>
      </c>
      <c r="Q10" s="1">
        <v>464642.06699999998</v>
      </c>
      <c r="R10" s="1">
        <v>484181.24</v>
      </c>
      <c r="S10" s="1">
        <v>486193.25699999998</v>
      </c>
      <c r="T10" s="1">
        <v>489891.435</v>
      </c>
      <c r="U10" s="1">
        <v>407534.71799999999</v>
      </c>
      <c r="V10" s="1">
        <v>639122.58200000005</v>
      </c>
      <c r="W10" s="1">
        <v>677624.69</v>
      </c>
      <c r="X10" s="1">
        <v>673596.52899999998</v>
      </c>
      <c r="Y10" s="1">
        <v>696334.88399999996</v>
      </c>
      <c r="Z10" s="1">
        <v>733689.69299999997</v>
      </c>
      <c r="AA10" s="1">
        <v>754151.84900000005</v>
      </c>
      <c r="AB10" s="1">
        <v>734894.19</v>
      </c>
      <c r="AC10" s="1">
        <v>751511.07499999995</v>
      </c>
    </row>
    <row r="11" spans="1:29">
      <c r="A11" s="1" t="s">
        <v>52</v>
      </c>
      <c r="D11" s="1">
        <f>79469+7206</f>
        <v>86675</v>
      </c>
      <c r="E11" s="1">
        <v>126704.974</v>
      </c>
      <c r="F11" s="42">
        <v>134021.47</v>
      </c>
      <c r="I11" s="1">
        <v>164907.08900000001</v>
      </c>
      <c r="J11" s="1">
        <v>173778.32800000001</v>
      </c>
      <c r="K11" s="1">
        <v>179916.226</v>
      </c>
      <c r="L11" s="1">
        <v>201291.041</v>
      </c>
      <c r="M11" s="1">
        <v>239970.103</v>
      </c>
      <c r="N11" s="1">
        <v>245982.397</v>
      </c>
      <c r="O11" s="1">
        <v>258701.38699999999</v>
      </c>
      <c r="P11" s="1">
        <v>269186.50199999998</v>
      </c>
      <c r="Q11" s="1">
        <f>25561.864+260781.124</f>
        <v>286342.98800000001</v>
      </c>
      <c r="R11" s="1">
        <v>293293.77100000001</v>
      </c>
      <c r="S11" s="1">
        <v>310379.25599999999</v>
      </c>
      <c r="T11" s="1">
        <v>332462.96000000002</v>
      </c>
      <c r="U11" s="1">
        <v>344618.32799999998</v>
      </c>
      <c r="V11" s="1">
        <v>354089.83799999999</v>
      </c>
      <c r="W11" s="1">
        <v>380239.261</v>
      </c>
      <c r="X11" s="1">
        <v>387927.973</v>
      </c>
      <c r="Y11" s="1">
        <v>44357.862999999998</v>
      </c>
      <c r="Z11" s="1">
        <v>418932.78100000002</v>
      </c>
      <c r="AA11" s="1">
        <v>437801.54</v>
      </c>
      <c r="AB11" s="1">
        <v>455434.43400000001</v>
      </c>
      <c r="AC11" s="1">
        <v>54035.847000000002</v>
      </c>
    </row>
    <row r="12" spans="1:29">
      <c r="A12" s="1" t="s">
        <v>5</v>
      </c>
      <c r="B12" s="1">
        <f>211655+177408</f>
        <v>389063</v>
      </c>
      <c r="C12" s="1">
        <f>235479+194750</f>
        <v>430229</v>
      </c>
      <c r="D12" s="1">
        <f>248051+213873</f>
        <v>461924</v>
      </c>
      <c r="E12" s="1">
        <v>684128.41</v>
      </c>
      <c r="F12" s="42">
        <v>685266.81599999999</v>
      </c>
      <c r="G12" s="1">
        <v>756288.40300000005</v>
      </c>
      <c r="H12" s="1">
        <v>798269.08</v>
      </c>
      <c r="I12" s="1">
        <v>835995.22600000002</v>
      </c>
      <c r="J12" s="1">
        <v>883056.09100000001</v>
      </c>
      <c r="K12" s="1">
        <v>924878.64</v>
      </c>
      <c r="L12" s="1">
        <v>1178818.6189999999</v>
      </c>
      <c r="M12" s="1">
        <v>1288004.0919999999</v>
      </c>
      <c r="N12" s="1">
        <v>1328741.4180000001</v>
      </c>
      <c r="O12" s="1">
        <v>1556668.3149999999</v>
      </c>
      <c r="P12" s="1">
        <v>1650187.872</v>
      </c>
      <c r="Q12" s="1">
        <v>1725209.922</v>
      </c>
      <c r="R12" s="1">
        <v>1852573.7080000001</v>
      </c>
      <c r="S12" s="1">
        <v>1839546.4069999999</v>
      </c>
      <c r="T12" s="1">
        <v>1926616.05</v>
      </c>
      <c r="U12" s="1">
        <v>1912022.9890000001</v>
      </c>
      <c r="V12" s="1">
        <v>2216475.625</v>
      </c>
      <c r="W12" s="1">
        <v>2358911.9010000001</v>
      </c>
      <c r="X12" s="1">
        <v>2390264.5830000001</v>
      </c>
      <c r="Y12" s="1">
        <v>2419423.8640000001</v>
      </c>
      <c r="Z12" s="1">
        <v>2574640.247</v>
      </c>
      <c r="AA12" s="1">
        <v>2719292.17</v>
      </c>
      <c r="AB12" s="1">
        <v>2730792.4109999998</v>
      </c>
      <c r="AC12" s="1">
        <v>2856193.65</v>
      </c>
    </row>
    <row r="13" spans="1:29">
      <c r="A13" s="1" t="s">
        <v>6</v>
      </c>
      <c r="B13" s="1">
        <f>91149+211423</f>
        <v>302572</v>
      </c>
      <c r="C13" s="1">
        <f>95150+228653</f>
        <v>323803</v>
      </c>
      <c r="D13" s="1">
        <f>104925+279309</f>
        <v>384234</v>
      </c>
      <c r="E13" s="1">
        <v>506464.46299999999</v>
      </c>
      <c r="F13" s="42">
        <v>522503.42</v>
      </c>
      <c r="G13" s="1">
        <v>575406.18900000001</v>
      </c>
      <c r="H13" s="1">
        <v>626129.20900000003</v>
      </c>
      <c r="I13" s="1">
        <v>681920.31299999997</v>
      </c>
      <c r="J13" s="1">
        <v>729059.68799999997</v>
      </c>
      <c r="K13" s="1">
        <v>780182.82499999995</v>
      </c>
      <c r="L13" s="1">
        <v>905878.20799999998</v>
      </c>
      <c r="M13" s="1">
        <v>1009669.452</v>
      </c>
      <c r="N13" s="1">
        <v>925118.69099999999</v>
      </c>
      <c r="O13" s="1">
        <v>1002826.333</v>
      </c>
      <c r="P13" s="1">
        <v>1005111.236</v>
      </c>
      <c r="Q13" s="1">
        <v>1029020.974</v>
      </c>
      <c r="R13" s="1">
        <v>1079459.2050000001</v>
      </c>
      <c r="S13" s="1">
        <v>1187273.99</v>
      </c>
      <c r="T13" s="1">
        <v>1313415.3459999999</v>
      </c>
      <c r="U13" s="1">
        <v>1159186.8589999999</v>
      </c>
      <c r="V13" s="1">
        <v>1487777.943</v>
      </c>
      <c r="W13" s="1">
        <v>1616219.541</v>
      </c>
      <c r="X13" s="1">
        <v>1668458</v>
      </c>
      <c r="Y13" s="1">
        <v>1791640.544</v>
      </c>
      <c r="Z13" s="1">
        <v>1824209.6159999999</v>
      </c>
      <c r="AA13" s="1">
        <v>1899994.459</v>
      </c>
      <c r="AB13" s="1">
        <v>1940155.871</v>
      </c>
      <c r="AC13" s="1">
        <v>2074412.0419999999</v>
      </c>
    </row>
    <row r="14" spans="1:29">
      <c r="A14" s="1" t="s">
        <v>7</v>
      </c>
      <c r="B14" s="1">
        <f>143933+94507</f>
        <v>238440</v>
      </c>
      <c r="C14" s="1">
        <f>146632+97280</f>
        <v>243912</v>
      </c>
      <c r="D14" s="1">
        <f>158172+100253</f>
        <v>258425</v>
      </c>
      <c r="E14" s="1">
        <v>383390.82199999999</v>
      </c>
      <c r="F14" s="42">
        <v>420042.55900000001</v>
      </c>
      <c r="G14" s="1">
        <v>410112.304</v>
      </c>
      <c r="H14" s="1">
        <v>419941.74699999997</v>
      </c>
      <c r="I14" s="1">
        <v>427776.28899999999</v>
      </c>
      <c r="J14" s="1">
        <v>469473.45400000003</v>
      </c>
      <c r="K14" s="1">
        <v>507342.00400000002</v>
      </c>
      <c r="L14" s="1">
        <v>547759.20700000005</v>
      </c>
      <c r="M14" s="1">
        <v>579677.84</v>
      </c>
      <c r="N14" s="1">
        <v>648042.34100000001</v>
      </c>
      <c r="O14" s="1">
        <v>663990.96900000004</v>
      </c>
      <c r="P14" s="1">
        <v>690542.28300000005</v>
      </c>
      <c r="Q14" s="1">
        <v>713558.86800000002</v>
      </c>
      <c r="R14" s="1">
        <v>747472.33100000001</v>
      </c>
      <c r="S14" s="1">
        <v>802941.64300000004</v>
      </c>
      <c r="T14" s="1">
        <v>834768.53899999999</v>
      </c>
      <c r="U14" s="1">
        <v>828368.96100000001</v>
      </c>
      <c r="V14" s="1">
        <v>954839.25100000005</v>
      </c>
      <c r="W14" s="1">
        <v>993558.98899999994</v>
      </c>
      <c r="X14" s="1">
        <v>1037158.095</v>
      </c>
      <c r="Y14" s="1">
        <v>1040995.189</v>
      </c>
      <c r="Z14" s="1">
        <v>1068656.0060000001</v>
      </c>
      <c r="AA14" s="1">
        <v>1083815.8259999999</v>
      </c>
      <c r="AB14" s="1">
        <v>1110019.6640000001</v>
      </c>
      <c r="AC14" s="1">
        <v>1148242.6399999999</v>
      </c>
    </row>
    <row r="15" spans="1:29">
      <c r="A15" s="1" t="s">
        <v>8</v>
      </c>
      <c r="B15" s="1">
        <f>61745+210375</f>
        <v>272120</v>
      </c>
      <c r="C15" s="1">
        <f>67632+231114</f>
        <v>298746</v>
      </c>
      <c r="D15" s="1">
        <f>69790+245806</f>
        <v>315596</v>
      </c>
      <c r="E15" s="1">
        <v>414626.02</v>
      </c>
      <c r="F15" s="42">
        <v>455369.92499999999</v>
      </c>
      <c r="G15" s="1">
        <v>477082.11900000001</v>
      </c>
      <c r="H15" s="1">
        <v>499053.48700000002</v>
      </c>
      <c r="I15" s="1">
        <v>538815.79299999995</v>
      </c>
      <c r="J15" s="1">
        <v>549446.66399999999</v>
      </c>
      <c r="K15" s="1">
        <v>592386.41399999999</v>
      </c>
      <c r="L15" s="1">
        <v>670714.61699999997</v>
      </c>
      <c r="M15" s="1">
        <v>678802.80599999998</v>
      </c>
      <c r="N15" s="1">
        <v>657477.62899999996</v>
      </c>
      <c r="O15" s="1">
        <v>695520.34299999999</v>
      </c>
      <c r="P15" s="1">
        <v>794331.9</v>
      </c>
      <c r="Q15" s="1">
        <v>834727.42799999996</v>
      </c>
      <c r="R15" s="1">
        <v>802614.777</v>
      </c>
      <c r="S15" s="1">
        <v>834466.40500000003</v>
      </c>
      <c r="T15" s="1">
        <v>1089484.2379999999</v>
      </c>
      <c r="U15" s="1">
        <v>884045.28599999996</v>
      </c>
      <c r="V15" s="1">
        <v>1086250.6040000001</v>
      </c>
      <c r="W15" s="1">
        <v>1076247.2209999999</v>
      </c>
      <c r="X15" s="1">
        <v>1058289.7660000001</v>
      </c>
      <c r="Y15" s="1">
        <v>1046500.028</v>
      </c>
      <c r="Z15" s="1">
        <v>1092716.9550000001</v>
      </c>
      <c r="AA15" s="1">
        <v>1070917.871</v>
      </c>
      <c r="AB15" s="1">
        <v>1069437.426</v>
      </c>
      <c r="AC15" s="1">
        <v>1177456.861</v>
      </c>
    </row>
    <row r="16" spans="1:29">
      <c r="A16" s="1" t="s">
        <v>9</v>
      </c>
      <c r="B16" s="1">
        <v>244857</v>
      </c>
      <c r="C16" s="1">
        <f>0+284751</f>
        <v>284751</v>
      </c>
      <c r="D16" s="1">
        <f>0+275634</f>
        <v>275634</v>
      </c>
      <c r="E16" s="1">
        <v>440842.18599999999</v>
      </c>
      <c r="F16" s="42">
        <v>442290.55200000003</v>
      </c>
      <c r="G16" s="1">
        <v>459627.87199999997</v>
      </c>
      <c r="H16" s="1">
        <v>482263.12400000001</v>
      </c>
      <c r="I16" s="1">
        <v>505380.85499999998</v>
      </c>
      <c r="J16" s="1">
        <v>531162.71299999999</v>
      </c>
      <c r="K16" s="1">
        <v>578854.76699999999</v>
      </c>
      <c r="L16" s="1">
        <v>661042.94999999995</v>
      </c>
      <c r="M16" s="1">
        <v>740132.79</v>
      </c>
      <c r="N16" s="1">
        <v>833854.47900000005</v>
      </c>
      <c r="O16" s="1">
        <v>861303.571</v>
      </c>
      <c r="P16" s="1">
        <v>860057.36199999996</v>
      </c>
      <c r="Q16" s="1">
        <v>1041305.115</v>
      </c>
      <c r="R16" s="1">
        <v>916498.38300000003</v>
      </c>
      <c r="S16" s="1">
        <v>950677.04399999999</v>
      </c>
      <c r="T16" s="1">
        <v>1053865.8700000001</v>
      </c>
      <c r="U16" s="1">
        <v>943190.02099999995</v>
      </c>
      <c r="V16" s="1">
        <v>1192245.5989999999</v>
      </c>
      <c r="W16" s="1">
        <v>1207964.8430000001</v>
      </c>
      <c r="X16" s="1">
        <v>1280394.3840000001</v>
      </c>
      <c r="Y16" s="1">
        <v>1321748.1340000001</v>
      </c>
      <c r="Z16" s="1">
        <v>1363047.1569999999</v>
      </c>
      <c r="AA16" s="1">
        <v>1421363.051</v>
      </c>
      <c r="AB16" s="1">
        <v>1402996.601</v>
      </c>
      <c r="AC16" s="1">
        <v>1470865.902</v>
      </c>
    </row>
    <row r="17" spans="1:29">
      <c r="A17" s="1" t="s">
        <v>10</v>
      </c>
      <c r="B17" s="1">
        <f>23186+125715</f>
        <v>148901</v>
      </c>
      <c r="C17" s="1">
        <f>24245+130154</f>
        <v>154399</v>
      </c>
      <c r="D17" s="1">
        <f>25957+137567</f>
        <v>163524</v>
      </c>
      <c r="E17" s="1">
        <v>216328.76699999999</v>
      </c>
      <c r="F17" s="42">
        <v>221277.071</v>
      </c>
      <c r="G17" s="1">
        <v>239816.595</v>
      </c>
      <c r="H17" s="1">
        <v>260707.31599999999</v>
      </c>
      <c r="I17" s="1">
        <v>291331.32400000002</v>
      </c>
      <c r="J17" s="1">
        <v>305921.65700000001</v>
      </c>
      <c r="K17" s="1">
        <v>312609.01699999999</v>
      </c>
      <c r="L17" s="1">
        <v>390955.489</v>
      </c>
      <c r="M17" s="1">
        <v>384615.38</v>
      </c>
      <c r="N17" s="1">
        <v>406057.81599999999</v>
      </c>
      <c r="O17" s="1">
        <v>417704.85600000003</v>
      </c>
      <c r="P17" s="1">
        <v>440975.94500000001</v>
      </c>
      <c r="Q17" s="1">
        <v>440657.93199999997</v>
      </c>
      <c r="R17" s="1">
        <v>444826.51699999999</v>
      </c>
      <c r="S17" s="1">
        <v>482600.565</v>
      </c>
      <c r="T17" s="1">
        <v>546512</v>
      </c>
      <c r="U17" s="1">
        <v>447519.19</v>
      </c>
      <c r="V17" s="1">
        <v>642847.21</v>
      </c>
      <c r="W17" s="1">
        <v>645291.24899999995</v>
      </c>
      <c r="X17" s="1">
        <v>667502.84699999995</v>
      </c>
      <c r="Y17" s="1">
        <v>700603.51199999999</v>
      </c>
      <c r="Z17" s="1">
        <v>711132.40800000005</v>
      </c>
      <c r="AA17" s="1">
        <v>732214.15700000001</v>
      </c>
      <c r="AB17" s="1">
        <v>756892.06499999994</v>
      </c>
      <c r="AC17" s="1">
        <v>790117.46100000001</v>
      </c>
    </row>
    <row r="18" spans="1:29">
      <c r="A18" s="1" t="s">
        <v>11</v>
      </c>
      <c r="B18" s="1">
        <f>138644+280407</f>
        <v>419051</v>
      </c>
      <c r="C18" s="1">
        <f>159975+322734</f>
        <v>482709</v>
      </c>
      <c r="D18" s="1">
        <f>172888+359009</f>
        <v>531897</v>
      </c>
      <c r="E18" s="1">
        <v>745670.52599999995</v>
      </c>
      <c r="F18" s="42">
        <v>762547.13100000005</v>
      </c>
      <c r="G18" s="1">
        <v>805082.826</v>
      </c>
      <c r="H18" s="1">
        <v>850548.12300000002</v>
      </c>
      <c r="I18" s="1">
        <v>907747.67299999995</v>
      </c>
      <c r="J18" s="1">
        <v>944175.28</v>
      </c>
      <c r="K18" s="1">
        <v>1010016.328</v>
      </c>
      <c r="L18" s="1">
        <v>1204614.094</v>
      </c>
      <c r="M18" s="1">
        <v>1318604.9950000001</v>
      </c>
      <c r="N18" s="1">
        <v>1332692.446</v>
      </c>
      <c r="O18" s="1">
        <v>1419829.9210000001</v>
      </c>
      <c r="P18" s="1">
        <v>1493525.17</v>
      </c>
      <c r="Q18" s="1">
        <v>1613881.882</v>
      </c>
      <c r="R18" s="1">
        <v>1723216.041</v>
      </c>
      <c r="S18" s="1">
        <v>1882754.1980000001</v>
      </c>
      <c r="T18" s="1">
        <v>2054299.709</v>
      </c>
      <c r="U18" s="1">
        <v>2090104.5379999999</v>
      </c>
      <c r="V18" s="1">
        <v>2312673.6290000002</v>
      </c>
      <c r="W18" s="1">
        <v>2409516.0430000001</v>
      </c>
      <c r="X18" s="1">
        <v>2366952.2579999999</v>
      </c>
      <c r="Y18" s="1">
        <v>2499788.0189999999</v>
      </c>
      <c r="Z18" s="1">
        <v>2495617.5970000001</v>
      </c>
      <c r="AA18" s="1">
        <v>2523211.8390000002</v>
      </c>
      <c r="AB18" s="1">
        <v>2628351.1439999999</v>
      </c>
      <c r="AC18" s="1">
        <v>2755381.537</v>
      </c>
    </row>
    <row r="19" spans="1:29">
      <c r="A19" s="1" t="s">
        <v>12</v>
      </c>
      <c r="B19" s="1">
        <v>208580</v>
      </c>
      <c r="C19" s="1">
        <f>0+215489</f>
        <v>215489</v>
      </c>
      <c r="D19" s="1">
        <f>0+236933</f>
        <v>236933</v>
      </c>
      <c r="E19" s="1">
        <v>297009.658</v>
      </c>
      <c r="F19" s="42">
        <v>320688.84700000001</v>
      </c>
      <c r="G19" s="1">
        <v>307371.12699999998</v>
      </c>
      <c r="H19" s="1">
        <v>316846.11499999999</v>
      </c>
      <c r="I19" s="1">
        <v>352253.37800000003</v>
      </c>
      <c r="J19" s="1">
        <v>364963.32199999999</v>
      </c>
      <c r="K19" s="1">
        <v>391746.58243000001</v>
      </c>
      <c r="L19" s="1">
        <v>479000.32699999999</v>
      </c>
      <c r="M19" s="1">
        <v>518077.723</v>
      </c>
      <c r="N19" s="1">
        <v>537432.14899999998</v>
      </c>
      <c r="O19" s="1">
        <v>555079.95900000003</v>
      </c>
      <c r="P19" s="1">
        <v>589911.95200000005</v>
      </c>
      <c r="Q19" s="1">
        <v>631397.72400000005</v>
      </c>
      <c r="R19" s="1">
        <v>688996.66700000002</v>
      </c>
      <c r="S19" s="1">
        <v>762182.549</v>
      </c>
      <c r="T19" s="1">
        <v>822472.24</v>
      </c>
      <c r="U19" s="1">
        <v>608843.05599999998</v>
      </c>
      <c r="V19" s="1">
        <v>930819.83200000005</v>
      </c>
      <c r="W19" s="1">
        <v>987532.68200000003</v>
      </c>
      <c r="X19" s="1">
        <v>1022634.503</v>
      </c>
      <c r="Y19" s="1">
        <v>1037650.659</v>
      </c>
      <c r="Z19" s="1">
        <v>1084515.1059999999</v>
      </c>
      <c r="AA19" s="1">
        <v>1108369.1680000001</v>
      </c>
      <c r="AB19" s="1">
        <v>1137613.862</v>
      </c>
      <c r="AC19" s="1">
        <v>1151602.1680000001</v>
      </c>
    </row>
    <row r="20" spans="1:29">
      <c r="A20" s="1" t="s">
        <v>13</v>
      </c>
      <c r="B20" s="1">
        <f>104571+92465</f>
        <v>197036</v>
      </c>
      <c r="C20" s="1">
        <f>125558+98873</f>
        <v>224431</v>
      </c>
      <c r="D20" s="1">
        <f>137426+116489</f>
        <v>253915</v>
      </c>
      <c r="E20" s="1">
        <v>359896.06699999998</v>
      </c>
      <c r="F20" s="42">
        <v>373611.78200000001</v>
      </c>
      <c r="G20" s="1">
        <v>403892.451</v>
      </c>
      <c r="H20" s="1">
        <v>417446.489</v>
      </c>
      <c r="I20" s="1">
        <v>433574.37099999998</v>
      </c>
      <c r="J20" s="1">
        <v>454106.11</v>
      </c>
      <c r="K20" s="1">
        <v>477337.58500000002</v>
      </c>
      <c r="L20" s="1">
        <v>584509.49899999995</v>
      </c>
      <c r="M20" s="1">
        <v>567715.31099999999</v>
      </c>
      <c r="N20" s="1">
        <v>576670.54599999997</v>
      </c>
      <c r="O20" s="1">
        <v>615944.55799999996</v>
      </c>
      <c r="P20" s="1">
        <v>618501.95900000003</v>
      </c>
      <c r="Q20" s="1">
        <v>669816.65300000005</v>
      </c>
      <c r="R20" s="1">
        <v>727519.89199999999</v>
      </c>
      <c r="S20" s="1">
        <v>787284.53899999999</v>
      </c>
      <c r="T20" s="1">
        <v>880984.33799999999</v>
      </c>
      <c r="U20" s="1">
        <v>705491.72900000005</v>
      </c>
      <c r="V20" s="1">
        <v>1034623.196</v>
      </c>
      <c r="W20" s="1">
        <v>1069631.6359999999</v>
      </c>
      <c r="X20" s="1">
        <v>1097344.3160000001</v>
      </c>
      <c r="Y20" s="1">
        <v>1165962.014</v>
      </c>
      <c r="Z20" s="1">
        <v>1210631.0959999999</v>
      </c>
      <c r="AA20" s="1">
        <v>1274034.4439999999</v>
      </c>
      <c r="AB20" s="1">
        <v>1319647.888</v>
      </c>
      <c r="AC20" s="1">
        <v>1383877.51</v>
      </c>
    </row>
    <row r="21" spans="1:29" s="11" customFormat="1">
      <c r="A21" s="1" t="s">
        <v>14</v>
      </c>
      <c r="B21" s="1">
        <f>73430+195176</f>
        <v>268606</v>
      </c>
      <c r="C21" s="1">
        <f>82944+224908</f>
        <v>307852</v>
      </c>
      <c r="D21" s="1">
        <f>87939+243267</f>
        <v>331206</v>
      </c>
      <c r="E21" s="1">
        <v>459280.83100000001</v>
      </c>
      <c r="F21" s="42">
        <v>456549.81400000001</v>
      </c>
      <c r="G21" s="1">
        <v>505430.04499999998</v>
      </c>
      <c r="H21" s="1">
        <v>551129.29399999999</v>
      </c>
      <c r="I21" s="1">
        <v>590076.18200000003</v>
      </c>
      <c r="J21" s="1">
        <v>604526.90700000001</v>
      </c>
      <c r="K21" s="1">
        <v>614608.42952999996</v>
      </c>
      <c r="L21" s="1">
        <v>699080.94299999997</v>
      </c>
      <c r="M21" s="1">
        <v>764631.35100000002</v>
      </c>
      <c r="N21" s="1">
        <v>788778.348</v>
      </c>
      <c r="O21" s="1">
        <v>817215.2</v>
      </c>
      <c r="P21" s="1">
        <v>820822.52</v>
      </c>
      <c r="Q21" s="1">
        <v>875520.58499999996</v>
      </c>
      <c r="R21" s="1">
        <v>918503.06200000003</v>
      </c>
      <c r="S21" s="1">
        <v>972665.75</v>
      </c>
      <c r="T21" s="1">
        <v>1052028.7819999999</v>
      </c>
      <c r="U21" s="1">
        <v>1055892.6969999999</v>
      </c>
      <c r="V21" s="1">
        <v>1215858.426</v>
      </c>
      <c r="W21" s="1">
        <v>1269914.0830000001</v>
      </c>
      <c r="X21" s="11">
        <v>1331534.33</v>
      </c>
      <c r="Y21" s="1">
        <v>1398581.932</v>
      </c>
      <c r="Z21" s="1">
        <v>1498353.446</v>
      </c>
      <c r="AA21" s="1">
        <v>1458024.4080000001</v>
      </c>
      <c r="AB21" s="1">
        <v>1474006.067</v>
      </c>
      <c r="AC21" s="1">
        <v>1544051.601</v>
      </c>
    </row>
    <row r="22" spans="1:29">
      <c r="A22" s="1" t="s">
        <v>15</v>
      </c>
      <c r="B22" s="1">
        <f>339806+792705</f>
        <v>1132511</v>
      </c>
      <c r="C22" s="1">
        <f>356193+831408</f>
        <v>1187601</v>
      </c>
      <c r="D22" s="1">
        <f>370913+859631</f>
        <v>1230544</v>
      </c>
      <c r="E22" s="1">
        <v>1688812.3540000001</v>
      </c>
      <c r="F22" s="42">
        <v>1850658.047</v>
      </c>
      <c r="G22" s="1">
        <v>2043702.882</v>
      </c>
      <c r="H22" s="1">
        <v>2178137.7429999998</v>
      </c>
      <c r="I22" s="1">
        <v>2299559.5070000002</v>
      </c>
      <c r="J22" s="1">
        <v>2393274.3530000001</v>
      </c>
      <c r="K22" s="1">
        <v>2473031.2859999998</v>
      </c>
      <c r="L22" s="1">
        <v>2821597.2030000002</v>
      </c>
      <c r="M22" s="1">
        <v>3045054.4309999999</v>
      </c>
      <c r="N22" s="1">
        <v>3351881.5389999999</v>
      </c>
      <c r="O22" s="1">
        <v>3544654.8930000002</v>
      </c>
      <c r="P22" s="1">
        <v>3529602.605</v>
      </c>
      <c r="Q22" s="1">
        <v>3831435.84</v>
      </c>
      <c r="R22" s="1">
        <v>4061544.4330000002</v>
      </c>
      <c r="S22" s="1">
        <v>4308798.8789999997</v>
      </c>
      <c r="T22" s="1">
        <v>4591504.8640000001</v>
      </c>
      <c r="U22" s="1">
        <v>3166587.8560000001</v>
      </c>
      <c r="V22" s="1">
        <v>5868844.9840000002</v>
      </c>
      <c r="W22" s="1">
        <v>5990580.5580000002</v>
      </c>
      <c r="X22" s="1">
        <v>6108909.9050000003</v>
      </c>
      <c r="Y22" s="1">
        <v>4132918.4530000002</v>
      </c>
      <c r="Z22" s="1">
        <v>4453045.3540000003</v>
      </c>
      <c r="AA22" s="1">
        <v>4680426.9740000004</v>
      </c>
      <c r="AB22" s="1">
        <v>7573792.3689999999</v>
      </c>
      <c r="AC22" s="1">
        <v>7950763.1390000004</v>
      </c>
    </row>
    <row r="23" spans="1:29">
      <c r="A23" s="1" t="s">
        <v>16</v>
      </c>
      <c r="B23" s="1">
        <f>148439+213740</f>
        <v>362179</v>
      </c>
      <c r="C23" s="1">
        <f>163077+242239</f>
        <v>405316</v>
      </c>
      <c r="D23" s="1">
        <f>181819+268476</f>
        <v>450295</v>
      </c>
      <c r="E23" s="1">
        <v>675779.40099999995</v>
      </c>
      <c r="F23" s="42">
        <v>682258.43799999997</v>
      </c>
      <c r="G23" s="1">
        <v>699044.36399999994</v>
      </c>
      <c r="H23" s="1">
        <v>728326.18400000001</v>
      </c>
      <c r="I23" s="1">
        <v>778101.24899999995</v>
      </c>
      <c r="J23" s="1">
        <v>793135.07700000005</v>
      </c>
      <c r="K23" s="1">
        <v>848327.07400000002</v>
      </c>
      <c r="L23" s="1">
        <v>1036362.204</v>
      </c>
      <c r="M23" s="1">
        <v>1117741.486</v>
      </c>
      <c r="N23" s="1">
        <v>1106047.0630000001</v>
      </c>
      <c r="O23" s="1">
        <v>1122458.5060000001</v>
      </c>
      <c r="P23" s="1">
        <v>1131896.2409999999</v>
      </c>
      <c r="Q23" s="1">
        <v>1243674.7239999999</v>
      </c>
      <c r="R23" s="1">
        <v>1327407.699</v>
      </c>
      <c r="S23" s="1">
        <v>1473496.4380000001</v>
      </c>
      <c r="T23" s="1">
        <v>1617890.6969999999</v>
      </c>
      <c r="U23" s="1">
        <v>1647828.077</v>
      </c>
      <c r="V23" s="1">
        <v>1862630.638</v>
      </c>
      <c r="W23" s="1">
        <v>1957372.3359999999</v>
      </c>
      <c r="X23" s="1">
        <v>2027745.054</v>
      </c>
      <c r="Y23" s="1">
        <v>2136847.7379999999</v>
      </c>
      <c r="Z23" s="1">
        <v>2220525.804</v>
      </c>
      <c r="AA23" s="1">
        <v>2327182.5789999999</v>
      </c>
      <c r="AB23" s="1">
        <v>2447534.176</v>
      </c>
      <c r="AC23" s="1">
        <v>2567645.9389999998</v>
      </c>
    </row>
    <row r="24" spans="1:29">
      <c r="A24" s="24" t="s">
        <v>17</v>
      </c>
      <c r="B24" s="24">
        <f>57214+50916</f>
        <v>108130</v>
      </c>
      <c r="C24" s="24">
        <f>60691+54531</f>
        <v>115222</v>
      </c>
      <c r="D24" s="24">
        <f>62905+60110</f>
        <v>123015</v>
      </c>
      <c r="E24" s="24">
        <v>188807.01699999999</v>
      </c>
      <c r="F24" s="45">
        <v>205457.84299999999</v>
      </c>
      <c r="G24" s="24">
        <v>205909.27600000001</v>
      </c>
      <c r="H24" s="24">
        <v>212711.65100000001</v>
      </c>
      <c r="I24" s="24">
        <v>220706.19099999999</v>
      </c>
      <c r="J24" s="24">
        <v>233644.28899999999</v>
      </c>
      <c r="K24" s="24">
        <v>241981.76603999999</v>
      </c>
      <c r="L24" s="24">
        <v>268352.72499999998</v>
      </c>
      <c r="M24" s="24">
        <v>275017.239</v>
      </c>
      <c r="N24" s="24">
        <v>277683.79700000002</v>
      </c>
      <c r="O24" s="24">
        <v>293957.67700000003</v>
      </c>
      <c r="P24" s="24">
        <v>304455.55200000003</v>
      </c>
      <c r="Q24" s="24">
        <v>306739.58799999999</v>
      </c>
      <c r="R24" s="24">
        <v>343153.93599999999</v>
      </c>
      <c r="S24" s="24">
        <v>351897.04100000003</v>
      </c>
      <c r="T24" s="24">
        <v>382189.48800000001</v>
      </c>
      <c r="U24" s="24">
        <v>396534.06300000002</v>
      </c>
      <c r="V24" s="24">
        <v>513276.77299999999</v>
      </c>
      <c r="W24" s="24">
        <v>542084.05799999996</v>
      </c>
      <c r="X24" s="24">
        <v>568923.95900000003</v>
      </c>
      <c r="Y24" s="24">
        <v>571335.65300000005</v>
      </c>
      <c r="Z24" s="24">
        <v>581949.68799999997</v>
      </c>
      <c r="AA24" s="24">
        <v>599228.03099999996</v>
      </c>
      <c r="AB24" s="24">
        <v>536279.98699999996</v>
      </c>
      <c r="AC24" s="24">
        <v>547791.85499999998</v>
      </c>
    </row>
    <row r="25" spans="1:29">
      <c r="A25" s="7" t="s">
        <v>120</v>
      </c>
      <c r="B25" s="48">
        <f>SUM(B27:B39)</f>
        <v>0</v>
      </c>
      <c r="C25" s="48">
        <f t="shared" ref="C25:AC25" si="10">SUM(C27:C39)</f>
        <v>0</v>
      </c>
      <c r="D25" s="48">
        <f t="shared" si="10"/>
        <v>0</v>
      </c>
      <c r="E25" s="48">
        <f t="shared" si="10"/>
        <v>0</v>
      </c>
      <c r="F25" s="48">
        <f t="shared" si="10"/>
        <v>5549021.6229999997</v>
      </c>
      <c r="G25" s="48">
        <f t="shared" si="10"/>
        <v>0</v>
      </c>
      <c r="H25" s="48">
        <f t="shared" si="10"/>
        <v>0</v>
      </c>
      <c r="I25" s="48">
        <f t="shared" si="10"/>
        <v>5910127.7009999994</v>
      </c>
      <c r="J25" s="48">
        <f t="shared" si="10"/>
        <v>0</v>
      </c>
      <c r="K25" s="48">
        <f t="shared" si="10"/>
        <v>6618955.5883300006</v>
      </c>
      <c r="L25" s="48">
        <f t="shared" si="10"/>
        <v>7800878.2069999995</v>
      </c>
      <c r="M25" s="48">
        <f t="shared" si="10"/>
        <v>8387943.4039999992</v>
      </c>
      <c r="N25" s="48">
        <f t="shared" si="10"/>
        <v>8804171.0239999983</v>
      </c>
      <c r="O25" s="48">
        <f t="shared" si="10"/>
        <v>9014962.3080000002</v>
      </c>
      <c r="P25" s="48">
        <f t="shared" si="10"/>
        <v>9274923.245000001</v>
      </c>
      <c r="Q25" s="48">
        <f t="shared" si="10"/>
        <v>9948358.6250000019</v>
      </c>
      <c r="R25" s="48">
        <f t="shared" si="10"/>
        <v>10499288.318</v>
      </c>
      <c r="S25" s="48">
        <f t="shared" si="10"/>
        <v>11376556.875999998</v>
      </c>
      <c r="T25" s="48">
        <f t="shared" si="10"/>
        <v>12829788.544</v>
      </c>
      <c r="U25" s="48">
        <f t="shared" si="10"/>
        <v>12810112.645000001</v>
      </c>
      <c r="V25" s="48">
        <f t="shared" si="10"/>
        <v>13971424.905000001</v>
      </c>
      <c r="W25" s="48">
        <f t="shared" si="10"/>
        <v>14840930.293</v>
      </c>
      <c r="X25" s="48">
        <f t="shared" si="10"/>
        <v>15644300.670999998</v>
      </c>
      <c r="Y25" s="48">
        <f t="shared" si="10"/>
        <v>16361368.247000001</v>
      </c>
      <c r="Z25" s="48">
        <f t="shared" si="10"/>
        <v>17411200.204</v>
      </c>
      <c r="AA25" s="48">
        <f t="shared" si="10"/>
        <v>18625008.910999998</v>
      </c>
      <c r="AB25" s="48">
        <f t="shared" si="10"/>
        <v>19602639.277999997</v>
      </c>
      <c r="AC25" s="48">
        <f t="shared" si="10"/>
        <v>20443707.484999999</v>
      </c>
    </row>
    <row r="26" spans="1:29">
      <c r="A26" s="7" t="s">
        <v>119</v>
      </c>
    </row>
    <row r="27" spans="1:29">
      <c r="A27" s="1" t="s">
        <v>85</v>
      </c>
      <c r="F27" s="42">
        <v>92823.509000000005</v>
      </c>
      <c r="I27" s="1">
        <v>93597.259000000005</v>
      </c>
      <c r="K27" s="1">
        <v>97854.687999999995</v>
      </c>
      <c r="L27" s="1">
        <v>99722.792000000001</v>
      </c>
      <c r="M27" s="1">
        <v>112653.33</v>
      </c>
      <c r="N27" s="1">
        <v>124806.69100000001</v>
      </c>
      <c r="O27" s="1">
        <v>131207.91200000001</v>
      </c>
      <c r="P27" s="1">
        <v>140477.41399999999</v>
      </c>
      <c r="Q27" s="1">
        <v>146348.04300000001</v>
      </c>
      <c r="R27" s="1">
        <v>158788.696</v>
      </c>
      <c r="S27" s="1">
        <v>174597.13800000001</v>
      </c>
      <c r="T27" s="1">
        <v>176479.98800000001</v>
      </c>
      <c r="U27" s="1">
        <v>226581.9</v>
      </c>
      <c r="V27" s="1">
        <v>236615.6</v>
      </c>
      <c r="W27" s="1">
        <v>243308.53099999999</v>
      </c>
      <c r="X27" s="1">
        <v>247149.41699999999</v>
      </c>
      <c r="Y27" s="1">
        <v>250288.05799999999</v>
      </c>
      <c r="Z27" s="1">
        <v>260310.022</v>
      </c>
      <c r="AA27" s="1">
        <v>264556.27399999998</v>
      </c>
      <c r="AB27" s="1">
        <v>264940.05699999997</v>
      </c>
      <c r="AC27" s="1">
        <v>248853.70600000001</v>
      </c>
    </row>
    <row r="28" spans="1:29">
      <c r="A28" s="1" t="s">
        <v>86</v>
      </c>
      <c r="F28" s="42">
        <v>377333.08</v>
      </c>
      <c r="I28" s="1">
        <v>432401.761</v>
      </c>
      <c r="K28" s="1">
        <v>484415.63900000002</v>
      </c>
      <c r="L28" s="1">
        <v>588041.12899999996</v>
      </c>
      <c r="M28" s="1">
        <v>623075.51800000004</v>
      </c>
      <c r="N28" s="1">
        <v>629789.30500000005</v>
      </c>
      <c r="O28" s="1">
        <v>660088.59199999995</v>
      </c>
      <c r="P28" s="1">
        <v>704719.33400000003</v>
      </c>
      <c r="Q28" s="1">
        <v>734234.81700000004</v>
      </c>
      <c r="R28" s="1">
        <v>795783.57400000002</v>
      </c>
      <c r="S28" s="1">
        <v>867044.826</v>
      </c>
      <c r="T28" s="1">
        <v>933396.80599999998</v>
      </c>
      <c r="U28" s="1">
        <v>940161.08799999999</v>
      </c>
      <c r="V28" s="1">
        <v>1129157.5060000001</v>
      </c>
      <c r="W28" s="1">
        <v>1181700.304</v>
      </c>
      <c r="X28" s="1">
        <v>1230289.2490000001</v>
      </c>
      <c r="Y28" s="1">
        <v>1236468.2180000001</v>
      </c>
      <c r="Z28" s="1">
        <v>1360048.335</v>
      </c>
      <c r="AA28" s="1">
        <v>1433823.7080000001</v>
      </c>
      <c r="AB28" s="1">
        <v>1464125.257</v>
      </c>
      <c r="AC28" s="1">
        <v>1536748.149</v>
      </c>
    </row>
    <row r="29" spans="1:29">
      <c r="A29" s="1" t="s">
        <v>87</v>
      </c>
      <c r="F29" s="42">
        <v>2870733.4</v>
      </c>
      <c r="I29" s="1">
        <v>2873908.24</v>
      </c>
      <c r="K29" s="1">
        <v>3246793.4419999998</v>
      </c>
      <c r="L29" s="1">
        <v>3868744.6869999999</v>
      </c>
      <c r="M29" s="1">
        <v>4184380.7310000001</v>
      </c>
      <c r="N29" s="1">
        <v>4137131.2790000001</v>
      </c>
      <c r="O29" s="1">
        <v>4393845.1100000003</v>
      </c>
      <c r="P29" s="1">
        <v>4564143.93</v>
      </c>
      <c r="Q29" s="1">
        <v>4713348.926</v>
      </c>
      <c r="R29" s="1">
        <v>5009670.6239999998</v>
      </c>
      <c r="S29" s="1">
        <v>5397834.3729999997</v>
      </c>
      <c r="T29" s="1">
        <v>6313555.1370000001</v>
      </c>
      <c r="U29" s="1">
        <v>6261278.9759999998</v>
      </c>
      <c r="V29" s="1">
        <v>6452372.0109999999</v>
      </c>
      <c r="W29" s="1">
        <v>7019690.4730000002</v>
      </c>
      <c r="X29" s="1">
        <v>7449591.6859999998</v>
      </c>
      <c r="Y29" s="1">
        <v>7823432.034</v>
      </c>
      <c r="Z29" s="1">
        <v>8365644.0939999996</v>
      </c>
      <c r="AA29" s="1">
        <v>9076760.5219999999</v>
      </c>
      <c r="AB29" s="1">
        <v>9655109.3629999999</v>
      </c>
      <c r="AC29" s="1">
        <v>10057279.306</v>
      </c>
    </row>
    <row r="30" spans="1:29">
      <c r="A30" s="1" t="s">
        <v>88</v>
      </c>
      <c r="F30" s="42">
        <v>489506.674</v>
      </c>
      <c r="I30" s="1">
        <v>538661.87600000005</v>
      </c>
      <c r="K30" s="1">
        <v>582638.50869000005</v>
      </c>
      <c r="L30" s="1">
        <v>678630.53799999994</v>
      </c>
      <c r="M30" s="1">
        <v>723543.52099999995</v>
      </c>
      <c r="N30" s="1">
        <v>1061904.9240000001</v>
      </c>
      <c r="O30" s="1">
        <v>796440.87</v>
      </c>
      <c r="P30" s="1">
        <v>648984.69099999999</v>
      </c>
      <c r="Q30" s="1">
        <v>915267.47</v>
      </c>
      <c r="R30" s="1">
        <v>853793.72699999996</v>
      </c>
      <c r="S30" s="1">
        <v>914032.69400000002</v>
      </c>
      <c r="T30" s="1">
        <v>1012877.667</v>
      </c>
      <c r="U30" s="1">
        <v>1055564.389</v>
      </c>
      <c r="V30" s="1">
        <v>1265160.5560000001</v>
      </c>
      <c r="W30" s="1">
        <v>1326593.723</v>
      </c>
      <c r="X30" s="1">
        <v>1445680.4069999999</v>
      </c>
      <c r="Y30" s="1">
        <v>1541960.9069999999</v>
      </c>
      <c r="Z30" s="1">
        <v>1646143.9879999999</v>
      </c>
      <c r="AA30" s="1">
        <v>1750941.273</v>
      </c>
      <c r="AB30" s="1">
        <v>1817103.9310000001</v>
      </c>
      <c r="AC30" s="1">
        <v>1958313.2120000001</v>
      </c>
    </row>
    <row r="31" spans="1:29">
      <c r="A31" s="1" t="s">
        <v>91</v>
      </c>
      <c r="F31" s="42">
        <v>152271.53200000001</v>
      </c>
      <c r="I31" s="1">
        <v>173472.25099999999</v>
      </c>
      <c r="K31" s="1">
        <v>176260.32</v>
      </c>
      <c r="L31" s="1">
        <v>180253.12299999999</v>
      </c>
      <c r="M31" s="1">
        <v>174312.179</v>
      </c>
      <c r="N31" s="1">
        <v>176543.79300000001</v>
      </c>
      <c r="O31" s="1">
        <v>205318.96900000001</v>
      </c>
      <c r="P31" s="1">
        <v>224862.46100000001</v>
      </c>
      <c r="Q31" s="1">
        <v>237071.302</v>
      </c>
      <c r="R31" s="1">
        <v>254779.74</v>
      </c>
      <c r="S31" s="1">
        <v>272347.07</v>
      </c>
      <c r="T31" s="1">
        <v>296727.42800000001</v>
      </c>
      <c r="U31" s="1">
        <v>303154.01299999998</v>
      </c>
      <c r="V31" s="1">
        <v>330279.60700000002</v>
      </c>
      <c r="W31" s="1">
        <v>317665.84899999999</v>
      </c>
      <c r="X31" s="1">
        <v>350664.66200000001</v>
      </c>
      <c r="Y31" s="1">
        <v>369994.66</v>
      </c>
      <c r="Z31" s="1">
        <v>405943.70600000001</v>
      </c>
      <c r="AA31" s="1">
        <v>509626.56599999999</v>
      </c>
      <c r="AB31" s="1">
        <v>406762.52399999998</v>
      </c>
      <c r="AC31" s="1">
        <v>423127.25699999998</v>
      </c>
    </row>
    <row r="32" spans="1:29">
      <c r="A32" s="1" t="s">
        <v>92</v>
      </c>
      <c r="F32" s="42">
        <v>134441.82199999999</v>
      </c>
      <c r="I32" s="1">
        <v>154010.26199999999</v>
      </c>
      <c r="K32" s="1">
        <v>170213.886</v>
      </c>
      <c r="L32" s="1">
        <v>198670.76500000001</v>
      </c>
      <c r="M32" s="1">
        <v>215894.174</v>
      </c>
      <c r="N32" s="1">
        <v>233403.82800000001</v>
      </c>
      <c r="O32" s="1">
        <v>216737.97</v>
      </c>
      <c r="P32" s="1">
        <v>228262.26199999999</v>
      </c>
      <c r="Q32" s="1">
        <v>239636.11300000001</v>
      </c>
      <c r="R32" s="1">
        <v>262468.05</v>
      </c>
      <c r="S32" s="1">
        <v>270466.97200000001</v>
      </c>
      <c r="T32" s="1">
        <v>283309.81599999999</v>
      </c>
      <c r="U32" s="1">
        <v>293438.40000000002</v>
      </c>
      <c r="V32" s="1">
        <v>311798.26699999999</v>
      </c>
      <c r="W32" s="1">
        <v>315341.53200000001</v>
      </c>
      <c r="X32" s="1">
        <v>328342.38099999999</v>
      </c>
      <c r="Y32" s="1">
        <v>345261.85100000002</v>
      </c>
      <c r="Z32" s="1">
        <v>349952.55900000001</v>
      </c>
      <c r="AA32" s="1">
        <v>363648.20400000003</v>
      </c>
      <c r="AB32" s="1">
        <v>373667.49699999997</v>
      </c>
      <c r="AC32" s="1">
        <v>386010.076</v>
      </c>
    </row>
    <row r="33" spans="1:29">
      <c r="A33" s="1" t="s">
        <v>100</v>
      </c>
      <c r="F33" s="42">
        <v>83981.087</v>
      </c>
      <c r="I33" s="1">
        <v>93356.089000000007</v>
      </c>
      <c r="K33" s="1">
        <v>112632.905</v>
      </c>
      <c r="L33" s="1">
        <v>131730.79999999999</v>
      </c>
      <c r="M33" s="1">
        <v>134645.622</v>
      </c>
      <c r="N33" s="1">
        <v>141573.80499999999</v>
      </c>
      <c r="O33" s="1">
        <v>148885.03</v>
      </c>
      <c r="P33" s="1">
        <v>153792.18799999999</v>
      </c>
      <c r="Q33" s="1">
        <v>159464.19399999999</v>
      </c>
      <c r="R33" s="1">
        <v>169558.16099999999</v>
      </c>
      <c r="S33" s="1">
        <v>180020.18799999999</v>
      </c>
      <c r="T33" s="1">
        <v>191998.97099999999</v>
      </c>
      <c r="U33" s="1">
        <v>215807.234</v>
      </c>
      <c r="V33" s="1">
        <v>233537.22399999999</v>
      </c>
      <c r="W33" s="1">
        <v>241843.18400000001</v>
      </c>
      <c r="X33" s="1">
        <v>248787.16699999999</v>
      </c>
      <c r="Y33" s="1">
        <v>258457.726</v>
      </c>
      <c r="Z33" s="1">
        <v>268046.79599999997</v>
      </c>
      <c r="AA33" s="1">
        <v>270962.43300000002</v>
      </c>
      <c r="AB33" s="1">
        <v>274518.98499999999</v>
      </c>
      <c r="AC33" s="1">
        <v>285929.255</v>
      </c>
    </row>
    <row r="34" spans="1:29">
      <c r="A34" s="1" t="s">
        <v>102</v>
      </c>
      <c r="F34" s="42">
        <v>105696.05100000001</v>
      </c>
      <c r="I34" s="1">
        <v>119552.681</v>
      </c>
      <c r="K34" s="1">
        <v>148597.36499999999</v>
      </c>
      <c r="L34" s="1">
        <v>193063.66099999999</v>
      </c>
      <c r="M34" s="1">
        <v>205589.59599999999</v>
      </c>
      <c r="N34" s="1">
        <v>224679.288</v>
      </c>
      <c r="O34" s="1">
        <v>242045.25200000001</v>
      </c>
      <c r="P34" s="1">
        <v>327017.81099999999</v>
      </c>
      <c r="Q34" s="1">
        <v>362591.72200000001</v>
      </c>
      <c r="R34" s="1">
        <v>385212.674</v>
      </c>
      <c r="S34" s="1">
        <v>433373.14899999998</v>
      </c>
      <c r="T34" s="1">
        <v>469974.49599999998</v>
      </c>
      <c r="U34" s="1">
        <v>363471.77799999999</v>
      </c>
      <c r="V34" s="1">
        <v>447598.84</v>
      </c>
      <c r="W34" s="1">
        <v>450802.65700000001</v>
      </c>
      <c r="X34" s="1">
        <v>437034.609</v>
      </c>
      <c r="Y34" s="1">
        <v>450508.21</v>
      </c>
      <c r="Z34" s="1">
        <v>471674.35499999998</v>
      </c>
      <c r="AA34" s="1">
        <v>482623.27100000001</v>
      </c>
      <c r="AB34" s="1">
        <v>523636.50199999998</v>
      </c>
      <c r="AC34" s="1">
        <v>554986.33600000001</v>
      </c>
    </row>
    <row r="35" spans="1:29">
      <c r="A35" s="1" t="s">
        <v>105</v>
      </c>
      <c r="F35" s="42">
        <v>175459.91</v>
      </c>
      <c r="I35" s="1">
        <v>210358.51800000001</v>
      </c>
      <c r="K35" s="1">
        <v>241371.41063999999</v>
      </c>
      <c r="L35" s="1">
        <v>254858.08</v>
      </c>
      <c r="M35" s="1">
        <v>264775.79399999999</v>
      </c>
      <c r="N35" s="1">
        <v>289169.522</v>
      </c>
      <c r="O35" s="1">
        <v>295262.43</v>
      </c>
      <c r="P35" s="1">
        <v>310306.27500000002</v>
      </c>
      <c r="Q35" s="1">
        <v>323383.50099999999</v>
      </c>
      <c r="R35" s="1">
        <v>334518.04200000002</v>
      </c>
      <c r="S35" s="1">
        <v>351978.158</v>
      </c>
      <c r="T35" s="1">
        <v>378304.53700000001</v>
      </c>
      <c r="U35" s="1">
        <v>407283.84600000002</v>
      </c>
      <c r="V35" s="1">
        <v>457260.78600000002</v>
      </c>
      <c r="W35" s="1">
        <v>452257.82900000003</v>
      </c>
      <c r="X35" s="1">
        <v>458007.83199999999</v>
      </c>
      <c r="Y35" s="1">
        <v>479525.89600000001</v>
      </c>
      <c r="Z35" s="1">
        <v>499829.886</v>
      </c>
      <c r="AA35" s="1">
        <v>525868.90700000001</v>
      </c>
      <c r="AB35" s="1">
        <v>520347.598</v>
      </c>
      <c r="AC35" s="1">
        <v>521476.685</v>
      </c>
    </row>
    <row r="36" spans="1:29">
      <c r="A36" s="1" t="s">
        <v>109</v>
      </c>
      <c r="F36" s="42">
        <v>278724.84000000003</v>
      </c>
      <c r="I36" s="1">
        <v>317199.54399999999</v>
      </c>
      <c r="K36" s="1">
        <v>381679.10800000001</v>
      </c>
      <c r="L36" s="1">
        <v>481941.93</v>
      </c>
      <c r="M36" s="1">
        <v>525055.77</v>
      </c>
      <c r="N36" s="1">
        <v>475616.69099999999</v>
      </c>
      <c r="O36" s="1">
        <v>487003.83299999998</v>
      </c>
      <c r="P36" s="1">
        <v>502525.027</v>
      </c>
      <c r="Q36" s="1">
        <v>521327.40399999998</v>
      </c>
      <c r="R36" s="1">
        <v>571465.94200000004</v>
      </c>
      <c r="S36" s="1">
        <v>592806.61899999995</v>
      </c>
      <c r="T36" s="1">
        <v>653551.61199999996</v>
      </c>
      <c r="U36" s="1">
        <v>614114.43999999994</v>
      </c>
      <c r="V36" s="1">
        <v>780666.71100000001</v>
      </c>
      <c r="W36" s="1">
        <v>853099.3</v>
      </c>
      <c r="X36" s="1">
        <v>932474.31599999999</v>
      </c>
      <c r="Y36" s="1">
        <v>983554.19700000004</v>
      </c>
      <c r="Z36" s="1">
        <v>1034098.801</v>
      </c>
      <c r="AA36" s="1">
        <v>999801.14899999998</v>
      </c>
      <c r="AB36" s="1">
        <v>1194397.325</v>
      </c>
      <c r="AC36" s="1">
        <v>1149606.0160000001</v>
      </c>
    </row>
    <row r="37" spans="1:29">
      <c r="A37" s="1" t="s">
        <v>113</v>
      </c>
      <c r="F37" s="42">
        <v>221503.791</v>
      </c>
      <c r="I37" s="1">
        <v>286122.26699999999</v>
      </c>
      <c r="K37" s="1">
        <v>310847.19199999998</v>
      </c>
      <c r="L37" s="1">
        <v>367686.17800000001</v>
      </c>
      <c r="M37" s="1">
        <v>395455.462</v>
      </c>
      <c r="N37" s="1">
        <v>421158.74</v>
      </c>
      <c r="O37" s="1">
        <v>427418.08199999999</v>
      </c>
      <c r="P37" s="1">
        <v>453302.09100000001</v>
      </c>
      <c r="Q37" s="1">
        <v>479920.592</v>
      </c>
      <c r="R37" s="1">
        <v>510551.11599999998</v>
      </c>
      <c r="S37" s="1">
        <v>537343.52</v>
      </c>
      <c r="T37" s="1">
        <v>604306.01</v>
      </c>
      <c r="U37" s="1">
        <v>616480.96799999999</v>
      </c>
      <c r="V37" s="1">
        <v>615667.37699999998</v>
      </c>
      <c r="W37" s="1">
        <v>685058.68099999998</v>
      </c>
      <c r="X37" s="1">
        <v>756247.71400000004</v>
      </c>
      <c r="Y37" s="1">
        <v>785955.70900000003</v>
      </c>
      <c r="Z37" s="1">
        <v>802549.28700000001</v>
      </c>
      <c r="AA37" s="1">
        <v>857978.62</v>
      </c>
      <c r="AB37" s="1">
        <v>921628.22499999998</v>
      </c>
      <c r="AC37" s="1">
        <v>981712.55500000005</v>
      </c>
    </row>
    <row r="38" spans="1:29">
      <c r="A38" s="1" t="s">
        <v>115</v>
      </c>
      <c r="F38" s="42">
        <v>510010.32699999999</v>
      </c>
      <c r="I38" s="1">
        <v>551548.20900000003</v>
      </c>
      <c r="K38" s="1">
        <v>601969.85100000002</v>
      </c>
      <c r="L38" s="1">
        <v>685863.93400000001</v>
      </c>
      <c r="M38" s="1">
        <v>752194.19700000004</v>
      </c>
      <c r="N38" s="1">
        <v>810088.51300000004</v>
      </c>
      <c r="O38" s="1">
        <v>922939.674</v>
      </c>
      <c r="P38" s="1">
        <v>927125.49399999995</v>
      </c>
      <c r="Q38" s="1">
        <v>1020575.2439999999</v>
      </c>
      <c r="R38" s="1">
        <v>1094625.4990000001</v>
      </c>
      <c r="S38" s="1">
        <v>1282235.344</v>
      </c>
      <c r="T38" s="1">
        <v>1399792.72</v>
      </c>
      <c r="U38" s="1">
        <v>1393192.689</v>
      </c>
      <c r="V38" s="1">
        <v>1564188.2849999999</v>
      </c>
      <c r="W38" s="1">
        <v>1599407.2949999999</v>
      </c>
      <c r="X38" s="1">
        <v>1594618.365</v>
      </c>
      <c r="Y38" s="1">
        <v>1678883.3729999999</v>
      </c>
      <c r="Z38" s="1">
        <v>1784394.2250000001</v>
      </c>
      <c r="AA38" s="1">
        <v>1923601.56</v>
      </c>
      <c r="AB38" s="1">
        <v>2025055.74</v>
      </c>
      <c r="AC38" s="1">
        <v>2169513.4270000001</v>
      </c>
    </row>
    <row r="39" spans="1:29">
      <c r="A39" s="24" t="s">
        <v>117</v>
      </c>
      <c r="B39" s="24"/>
      <c r="C39" s="24"/>
      <c r="D39" s="24"/>
      <c r="E39" s="24"/>
      <c r="F39" s="45">
        <v>56535.6</v>
      </c>
      <c r="G39" s="24"/>
      <c r="H39" s="24"/>
      <c r="I39" s="24">
        <v>65938.744000000006</v>
      </c>
      <c r="J39" s="24"/>
      <c r="K39" s="24">
        <v>63681.273000000001</v>
      </c>
      <c r="L39" s="24">
        <v>71670.59</v>
      </c>
      <c r="M39" s="24">
        <v>76367.509999999995</v>
      </c>
      <c r="N39" s="24">
        <v>78304.645000000004</v>
      </c>
      <c r="O39" s="24">
        <v>87768.584000000003</v>
      </c>
      <c r="P39" s="24">
        <v>89404.267000000007</v>
      </c>
      <c r="Q39" s="24">
        <v>95189.297000000006</v>
      </c>
      <c r="R39" s="24">
        <v>98072.472999999998</v>
      </c>
      <c r="S39" s="24">
        <v>102476.825</v>
      </c>
      <c r="T39" s="24">
        <v>115513.356</v>
      </c>
      <c r="U39" s="24">
        <v>119582.924</v>
      </c>
      <c r="V39" s="24">
        <v>147122.13500000001</v>
      </c>
      <c r="W39" s="24">
        <v>154160.935</v>
      </c>
      <c r="X39" s="24">
        <v>165412.86600000001</v>
      </c>
      <c r="Y39" s="24">
        <v>157077.408</v>
      </c>
      <c r="Z39" s="24">
        <v>162564.15</v>
      </c>
      <c r="AA39" s="24">
        <v>164816.424</v>
      </c>
      <c r="AB39" s="24">
        <v>161346.274</v>
      </c>
      <c r="AC39" s="24">
        <v>170151.505</v>
      </c>
    </row>
    <row r="40" spans="1:29">
      <c r="A40" s="7" t="s">
        <v>121</v>
      </c>
      <c r="B40" s="48">
        <f>SUM(B42:B53)</f>
        <v>0</v>
      </c>
      <c r="C40" s="48">
        <f t="shared" ref="C40:AC40" si="11">SUM(C42:C53)</f>
        <v>0</v>
      </c>
      <c r="D40" s="48">
        <f t="shared" si="11"/>
        <v>0</v>
      </c>
      <c r="E40" s="48">
        <f t="shared" si="11"/>
        <v>0</v>
      </c>
      <c r="F40" s="48">
        <f t="shared" si="11"/>
        <v>6441398.5189999994</v>
      </c>
      <c r="G40" s="48">
        <f t="shared" si="11"/>
        <v>0</v>
      </c>
      <c r="H40" s="48">
        <f t="shared" si="11"/>
        <v>0</v>
      </c>
      <c r="I40" s="48">
        <f t="shared" si="11"/>
        <v>7222060.5259999996</v>
      </c>
      <c r="J40" s="48">
        <f t="shared" si="11"/>
        <v>0</v>
      </c>
      <c r="K40" s="48">
        <f t="shared" si="11"/>
        <v>7724028.5987300007</v>
      </c>
      <c r="L40" s="48">
        <f t="shared" si="11"/>
        <v>8950184.148</v>
      </c>
      <c r="M40" s="48">
        <f t="shared" si="11"/>
        <v>9587647.7669999991</v>
      </c>
      <c r="N40" s="48">
        <f t="shared" si="11"/>
        <v>9895823.347000001</v>
      </c>
      <c r="O40" s="48">
        <f t="shared" si="11"/>
        <v>10204137.241</v>
      </c>
      <c r="P40" s="48">
        <f t="shared" si="11"/>
        <v>10584895.757000001</v>
      </c>
      <c r="Q40" s="48">
        <f t="shared" si="11"/>
        <v>11009560.619000001</v>
      </c>
      <c r="R40" s="48">
        <f t="shared" si="11"/>
        <v>11545208.129999999</v>
      </c>
      <c r="S40" s="48">
        <f t="shared" si="11"/>
        <v>12209259.68</v>
      </c>
      <c r="T40" s="48">
        <f t="shared" si="11"/>
        <v>13373068.393999999</v>
      </c>
      <c r="U40" s="48">
        <f t="shared" si="11"/>
        <v>14308693.953</v>
      </c>
      <c r="V40" s="48">
        <f t="shared" si="11"/>
        <v>15922149.796999998</v>
      </c>
      <c r="W40" s="48">
        <f t="shared" si="11"/>
        <v>16246513.231999999</v>
      </c>
      <c r="X40" s="48">
        <f t="shared" si="11"/>
        <v>16761596.388</v>
      </c>
      <c r="Y40" s="48">
        <f t="shared" si="11"/>
        <v>17392625.418000001</v>
      </c>
      <c r="Z40" s="48">
        <f t="shared" si="11"/>
        <v>17917399.903000001</v>
      </c>
      <c r="AA40" s="48">
        <f t="shared" si="11"/>
        <v>18192844.516000003</v>
      </c>
      <c r="AB40" s="48">
        <f t="shared" si="11"/>
        <v>18710083.864999998</v>
      </c>
      <c r="AC40" s="48">
        <f t="shared" si="11"/>
        <v>19533990.493999999</v>
      </c>
    </row>
    <row r="41" spans="1:29">
      <c r="A41" s="7" t="s">
        <v>119</v>
      </c>
    </row>
    <row r="42" spans="1:29">
      <c r="A42" s="1" t="s">
        <v>93</v>
      </c>
      <c r="F42" s="42">
        <v>744333.85600000003</v>
      </c>
      <c r="I42" s="1">
        <v>872756.83</v>
      </c>
      <c r="K42" s="1">
        <v>965658.04099999997</v>
      </c>
      <c r="L42" s="1">
        <v>1101904.3540000001</v>
      </c>
      <c r="M42" s="1">
        <v>1176054.4350000001</v>
      </c>
      <c r="N42" s="1">
        <v>1268643.0279999999</v>
      </c>
      <c r="O42" s="1">
        <v>1249084.993</v>
      </c>
      <c r="P42" s="1">
        <v>1372376.4990000001</v>
      </c>
      <c r="Q42" s="1">
        <v>1378408.5759999999</v>
      </c>
      <c r="R42" s="1">
        <v>1409028.9450000001</v>
      </c>
      <c r="S42" s="1">
        <v>1489319.6459999999</v>
      </c>
      <c r="T42" s="1">
        <v>1600499.71</v>
      </c>
      <c r="U42" s="1">
        <v>1868749.4879999999</v>
      </c>
      <c r="V42" s="1">
        <v>2283223.37</v>
      </c>
      <c r="W42" s="1">
        <v>2322196.781</v>
      </c>
      <c r="X42" s="1">
        <v>2499125.29</v>
      </c>
      <c r="Y42" s="1">
        <v>2739820.432</v>
      </c>
      <c r="Z42" s="1">
        <v>2757329.7760000001</v>
      </c>
      <c r="AA42" s="1">
        <v>2808733.4219999998</v>
      </c>
      <c r="AB42" s="1">
        <v>2765268.2280000001</v>
      </c>
      <c r="AC42" s="1">
        <v>3128528.9070000001</v>
      </c>
    </row>
    <row r="43" spans="1:29">
      <c r="A43" s="1" t="s">
        <v>58</v>
      </c>
      <c r="F43" s="42">
        <v>747811.09199999995</v>
      </c>
      <c r="I43" s="1">
        <v>846609.13300000003</v>
      </c>
      <c r="K43" s="1">
        <v>939809.88</v>
      </c>
      <c r="L43" s="1">
        <v>1083659.831</v>
      </c>
      <c r="M43" s="1">
        <v>1125228.3740000001</v>
      </c>
      <c r="N43" s="1">
        <v>1155328.7779999999</v>
      </c>
      <c r="O43" s="1">
        <v>1228693</v>
      </c>
      <c r="P43" s="1">
        <v>1319351.7320000001</v>
      </c>
      <c r="Q43" s="1">
        <v>1402579.4639999999</v>
      </c>
      <c r="R43" s="1">
        <v>1457056.017</v>
      </c>
      <c r="S43" s="1">
        <v>1582351.2009999999</v>
      </c>
      <c r="T43" s="1">
        <v>1704651.105</v>
      </c>
      <c r="U43" s="1">
        <v>1941096.0589999999</v>
      </c>
      <c r="V43" s="1">
        <v>2094891.361</v>
      </c>
      <c r="W43" s="1">
        <v>2156080.031</v>
      </c>
      <c r="X43" s="1">
        <v>2192780.4279999998</v>
      </c>
      <c r="Y43" s="1">
        <v>2170054.7570000002</v>
      </c>
      <c r="Z43" s="1">
        <v>2268656.4019999998</v>
      </c>
      <c r="AA43" s="1">
        <v>2225636.3220000002</v>
      </c>
      <c r="AB43" s="1">
        <v>2458869.233</v>
      </c>
      <c r="AC43" s="1">
        <v>2564925.014</v>
      </c>
    </row>
    <row r="44" spans="1:29">
      <c r="A44" s="1" t="s">
        <v>94</v>
      </c>
      <c r="F44" s="42">
        <v>323288.70600000001</v>
      </c>
      <c r="I44" s="1">
        <v>365365.32</v>
      </c>
      <c r="K44" s="1">
        <v>391116.30599999998</v>
      </c>
      <c r="L44" s="1">
        <v>447143.68599999999</v>
      </c>
      <c r="M44" s="1">
        <v>461793.47399999999</v>
      </c>
      <c r="N44" s="1">
        <v>488440.96399999998</v>
      </c>
      <c r="O44" s="1">
        <v>472928.783</v>
      </c>
      <c r="P44" s="1">
        <v>505803.52600000001</v>
      </c>
      <c r="Q44" s="1">
        <v>490883.81400000001</v>
      </c>
      <c r="R44" s="1">
        <v>580797.91599999997</v>
      </c>
      <c r="S44" s="1">
        <v>539818.61699999997</v>
      </c>
      <c r="T44" s="1">
        <v>600298.66500000004</v>
      </c>
      <c r="U44" s="1">
        <v>630919.81900000002</v>
      </c>
      <c r="V44" s="1">
        <v>721312.90099999995</v>
      </c>
      <c r="W44" s="1">
        <v>739061.99300000002</v>
      </c>
      <c r="X44" s="1">
        <v>744905.75699999998</v>
      </c>
      <c r="Y44" s="1">
        <v>761744.01399999997</v>
      </c>
      <c r="Z44" s="1">
        <v>800049.16</v>
      </c>
      <c r="AA44" s="1">
        <v>825624.86199999996</v>
      </c>
      <c r="AB44" s="1">
        <v>818942.18500000006</v>
      </c>
      <c r="AC44" s="1">
        <v>840858.98499999999</v>
      </c>
    </row>
    <row r="45" spans="1:29">
      <c r="A45" s="1" t="s">
        <v>95</v>
      </c>
      <c r="F45" s="42">
        <v>322747.90899999999</v>
      </c>
      <c r="I45" s="1">
        <v>376448.35800000001</v>
      </c>
      <c r="K45" s="1">
        <v>391798.49798000004</v>
      </c>
      <c r="L45" s="1">
        <v>475220.853</v>
      </c>
      <c r="M45" s="1">
        <v>487562.16800000001</v>
      </c>
      <c r="N45" s="1">
        <v>510131.777</v>
      </c>
      <c r="O45" s="1">
        <v>523483.95600000001</v>
      </c>
      <c r="P45" s="1">
        <v>539157.61300000001</v>
      </c>
      <c r="Q45" s="1">
        <v>586553.78700000001</v>
      </c>
      <c r="R45" s="1">
        <v>612872.90899999999</v>
      </c>
      <c r="S45" s="1">
        <v>610158.76699999999</v>
      </c>
      <c r="T45" s="1">
        <v>651005.94700000004</v>
      </c>
      <c r="U45" s="1">
        <v>670607.29</v>
      </c>
      <c r="V45" s="1">
        <v>757548.87600000005</v>
      </c>
      <c r="W45" s="1">
        <v>769897.10499999998</v>
      </c>
      <c r="X45" s="1">
        <v>823648.39199999999</v>
      </c>
      <c r="Y45" s="1">
        <v>893612.72699999996</v>
      </c>
      <c r="Z45" s="1">
        <v>927927.91700000002</v>
      </c>
      <c r="AA45" s="1">
        <v>958157.15099999995</v>
      </c>
      <c r="AB45" s="1">
        <v>919555.277</v>
      </c>
      <c r="AC45" s="1">
        <v>965264.86499999999</v>
      </c>
    </row>
    <row r="46" spans="1:29">
      <c r="A46" s="1" t="s">
        <v>98</v>
      </c>
      <c r="F46" s="42">
        <v>1103519.7779999999</v>
      </c>
      <c r="I46" s="1">
        <v>1221812.564</v>
      </c>
      <c r="K46" s="1">
        <v>1347886.4920000001</v>
      </c>
      <c r="L46" s="1">
        <v>1618585.3970000001</v>
      </c>
      <c r="M46" s="1">
        <v>1742880.737</v>
      </c>
      <c r="N46" s="1">
        <v>1845303.05</v>
      </c>
      <c r="O46" s="1">
        <v>1935321.7649999999</v>
      </c>
      <c r="P46" s="1">
        <v>1962146.3119999999</v>
      </c>
      <c r="Q46" s="1">
        <v>2008262.8130000001</v>
      </c>
      <c r="R46" s="1">
        <v>2077785.203</v>
      </c>
      <c r="S46" s="1">
        <v>2214738.0610000002</v>
      </c>
      <c r="T46" s="1">
        <v>2593389.0279999999</v>
      </c>
      <c r="U46" s="1">
        <v>2800371.1320000002</v>
      </c>
      <c r="V46" s="1">
        <v>2971680.2919999999</v>
      </c>
      <c r="W46" s="1">
        <v>3011160.3829999999</v>
      </c>
      <c r="X46" s="1">
        <v>3137259.8360000001</v>
      </c>
      <c r="Y46" s="1">
        <v>3208779.86</v>
      </c>
      <c r="Z46" s="1">
        <v>3312578.7030000002</v>
      </c>
      <c r="AA46" s="1">
        <v>3407235.1170000001</v>
      </c>
      <c r="AB46" s="1">
        <v>3446642.64</v>
      </c>
      <c r="AC46" s="1">
        <v>3546536.6120000002</v>
      </c>
    </row>
    <row r="47" spans="1:29">
      <c r="A47" s="1" t="s">
        <v>99</v>
      </c>
      <c r="F47" s="42">
        <v>511592.103</v>
      </c>
      <c r="I47" s="1">
        <v>558698.89899999998</v>
      </c>
      <c r="K47" s="1">
        <v>576932.19499999995</v>
      </c>
      <c r="L47" s="1">
        <v>648038.32499999995</v>
      </c>
      <c r="M47" s="1">
        <v>761555.91799999995</v>
      </c>
      <c r="N47" s="1">
        <v>756479.67200000002</v>
      </c>
      <c r="O47" s="1">
        <v>791484.66</v>
      </c>
      <c r="P47" s="1">
        <v>780143.95499999996</v>
      </c>
      <c r="Q47" s="1">
        <v>813560.326</v>
      </c>
      <c r="R47" s="1">
        <v>868002.30799999996</v>
      </c>
      <c r="S47" s="1">
        <v>893250.76199999999</v>
      </c>
      <c r="T47" s="1">
        <v>936028.75699999998</v>
      </c>
      <c r="U47" s="1">
        <v>1034374.339</v>
      </c>
      <c r="V47" s="1">
        <v>1079489.5209999999</v>
      </c>
      <c r="W47" s="1">
        <v>1066859.328</v>
      </c>
      <c r="X47" s="1">
        <v>1070542.327</v>
      </c>
      <c r="Y47" s="1">
        <v>1131387.882</v>
      </c>
      <c r="Z47" s="1">
        <v>1182783.5819999999</v>
      </c>
      <c r="AA47" s="1">
        <v>1177494.071</v>
      </c>
      <c r="AB47" s="1">
        <v>1208418.196</v>
      </c>
      <c r="AC47" s="1">
        <v>1233451.753</v>
      </c>
    </row>
    <row r="48" spans="1:29">
      <c r="A48" s="1" t="s">
        <v>59</v>
      </c>
      <c r="F48" s="42">
        <v>439162.59</v>
      </c>
      <c r="I48" s="1">
        <v>516462.93199999997</v>
      </c>
      <c r="K48" s="1">
        <v>584854.59100000001</v>
      </c>
      <c r="L48" s="1">
        <v>679771.69</v>
      </c>
      <c r="M48" s="1">
        <v>780368.35800000001</v>
      </c>
      <c r="N48" s="1">
        <v>702079.61899999995</v>
      </c>
      <c r="O48" s="1">
        <v>678196.25800000003</v>
      </c>
      <c r="P48" s="1">
        <v>684723.16099999996</v>
      </c>
      <c r="Q48" s="1">
        <v>719240.16700000002</v>
      </c>
      <c r="R48" s="1">
        <v>761083.97100000002</v>
      </c>
      <c r="S48" s="1">
        <v>783911.05700000003</v>
      </c>
      <c r="T48" s="1">
        <v>908515.64800000004</v>
      </c>
      <c r="U48" s="1">
        <v>959486.77599999995</v>
      </c>
      <c r="V48" s="1">
        <v>996664.32400000002</v>
      </c>
      <c r="W48" s="1">
        <v>1018300.388</v>
      </c>
      <c r="X48" s="1">
        <v>1085991.4569999999</v>
      </c>
      <c r="Y48" s="1">
        <v>1122046.392</v>
      </c>
      <c r="Z48" s="1">
        <v>1185726.0220000001</v>
      </c>
      <c r="AA48" s="1">
        <v>1208434.102</v>
      </c>
      <c r="AB48" s="1">
        <v>1200912.5660000001</v>
      </c>
      <c r="AC48" s="1">
        <v>1227308.402</v>
      </c>
    </row>
    <row r="49" spans="1:29">
      <c r="A49" s="1" t="s">
        <v>101</v>
      </c>
      <c r="F49" s="42">
        <v>211082.96400000001</v>
      </c>
      <c r="I49" s="1">
        <v>238522.91099999999</v>
      </c>
      <c r="K49" s="1">
        <v>248431.519</v>
      </c>
      <c r="L49" s="1">
        <v>298481.51299999998</v>
      </c>
      <c r="M49" s="1">
        <v>320335.136</v>
      </c>
      <c r="N49" s="1">
        <v>344967.18199999997</v>
      </c>
      <c r="O49" s="1">
        <v>351814.76199999999</v>
      </c>
      <c r="P49" s="1">
        <v>349378.95</v>
      </c>
      <c r="Q49" s="1">
        <v>373232.68800000002</v>
      </c>
      <c r="R49" s="1">
        <v>396572.11200000002</v>
      </c>
      <c r="S49" s="1">
        <v>410410.01199999999</v>
      </c>
      <c r="T49" s="1">
        <v>435240.261</v>
      </c>
      <c r="U49" s="1">
        <v>318934.41600000003</v>
      </c>
      <c r="V49" s="1">
        <v>530540.11100000003</v>
      </c>
      <c r="W49" s="1">
        <v>555005.72499999998</v>
      </c>
      <c r="X49" s="1">
        <v>556105.03899999999</v>
      </c>
      <c r="Y49" s="1">
        <v>583295.28399999999</v>
      </c>
      <c r="Z49" s="1">
        <v>610332.25300000003</v>
      </c>
      <c r="AA49" s="1">
        <v>598672.70200000005</v>
      </c>
      <c r="AB49" s="1">
        <v>604578.62</v>
      </c>
      <c r="AC49" s="1">
        <v>662947.21499999997</v>
      </c>
    </row>
    <row r="50" spans="1:29">
      <c r="A50" s="1" t="s">
        <v>107</v>
      </c>
      <c r="F50" s="42">
        <v>116572.072</v>
      </c>
      <c r="I50" s="1">
        <v>127838.001</v>
      </c>
      <c r="K50" s="1">
        <v>129711.126</v>
      </c>
      <c r="L50" s="1">
        <v>143480.88</v>
      </c>
      <c r="M50" s="1">
        <v>149688.54800000001</v>
      </c>
      <c r="N50" s="1">
        <v>158129.315</v>
      </c>
      <c r="O50" s="1">
        <v>169686.361</v>
      </c>
      <c r="P50" s="1">
        <v>182241.23800000001</v>
      </c>
      <c r="Q50" s="1">
        <v>198719.79300000001</v>
      </c>
      <c r="R50" s="1">
        <v>204633.36300000001</v>
      </c>
      <c r="S50" s="1">
        <v>212251.68900000001</v>
      </c>
      <c r="T50" s="1">
        <v>242383.98699999999</v>
      </c>
      <c r="U50" s="1">
        <v>261188.21400000001</v>
      </c>
      <c r="V50" s="1">
        <v>303992.28000000003</v>
      </c>
      <c r="W50" s="1">
        <v>316157.13299999997</v>
      </c>
      <c r="X50" s="1">
        <v>344732.815</v>
      </c>
      <c r="Y50" s="1">
        <v>371190.85700000002</v>
      </c>
      <c r="Z50" s="1">
        <v>377343.26400000002</v>
      </c>
      <c r="AA50" s="1">
        <v>397594.696</v>
      </c>
      <c r="AB50" s="1">
        <v>409547.989</v>
      </c>
      <c r="AC50" s="1">
        <v>404727.87</v>
      </c>
    </row>
    <row r="51" spans="1:29">
      <c r="A51" s="1" t="s">
        <v>108</v>
      </c>
      <c r="F51" s="42">
        <v>1290224.1259999999</v>
      </c>
      <c r="I51" s="1">
        <v>1388662.6669999999</v>
      </c>
      <c r="K51" s="1">
        <v>1415690.6529999999</v>
      </c>
      <c r="L51" s="1">
        <v>1599762.9040000001</v>
      </c>
      <c r="M51" s="1">
        <v>1668443.737</v>
      </c>
      <c r="N51" s="1">
        <v>1740788.777</v>
      </c>
      <c r="O51" s="1">
        <v>1825735.2549999999</v>
      </c>
      <c r="P51" s="1">
        <v>1890200.0330000001</v>
      </c>
      <c r="Q51" s="1">
        <v>2002831.7660000001</v>
      </c>
      <c r="R51" s="1">
        <v>2096298.173</v>
      </c>
      <c r="S51" s="1">
        <v>2267976.7310000001</v>
      </c>
      <c r="T51" s="1">
        <v>2432968.7599999998</v>
      </c>
      <c r="U51" s="1">
        <v>2503832.503</v>
      </c>
      <c r="V51" s="1">
        <v>2768111.8029999998</v>
      </c>
      <c r="W51" s="1">
        <v>2822274.3110000002</v>
      </c>
      <c r="X51" s="1">
        <v>2852881.8930000002</v>
      </c>
      <c r="Y51" s="1">
        <v>2909950.753</v>
      </c>
      <c r="Z51" s="1">
        <v>2941365.5520000001</v>
      </c>
      <c r="AA51" s="1">
        <v>2988956.2990000001</v>
      </c>
      <c r="AB51" s="1">
        <v>3173523.818</v>
      </c>
      <c r="AC51" s="1">
        <v>3351368.2340000002</v>
      </c>
    </row>
    <row r="52" spans="1:29">
      <c r="A52" s="1" t="s">
        <v>112</v>
      </c>
      <c r="F52" s="42">
        <v>79162.709000000003</v>
      </c>
      <c r="I52" s="1">
        <v>89893.077000000005</v>
      </c>
      <c r="K52" s="1">
        <v>94677.997749999995</v>
      </c>
      <c r="L52" s="1">
        <v>114761.15700000001</v>
      </c>
      <c r="M52" s="1">
        <v>119461.147</v>
      </c>
      <c r="N52" s="1">
        <v>125980.52099999999</v>
      </c>
      <c r="O52" s="1">
        <v>131315.64000000001</v>
      </c>
      <c r="P52" s="1">
        <v>134935.96900000001</v>
      </c>
      <c r="Q52" s="1">
        <v>143208.67600000001</v>
      </c>
      <c r="R52" s="1">
        <v>145492.261</v>
      </c>
      <c r="S52" s="1">
        <v>163363.50599999999</v>
      </c>
      <c r="T52" s="1">
        <v>167372.86900000001</v>
      </c>
      <c r="U52" s="1">
        <v>172843.81299999999</v>
      </c>
      <c r="V52" s="1">
        <v>191821.253</v>
      </c>
      <c r="W52" s="1">
        <v>195777.62</v>
      </c>
      <c r="X52" s="1">
        <v>213419.31299999999</v>
      </c>
      <c r="Y52" s="1">
        <v>218500.52100000001</v>
      </c>
      <c r="Z52" s="1">
        <v>235074.592</v>
      </c>
      <c r="AA52" s="1">
        <v>241687.63</v>
      </c>
      <c r="AB52" s="1">
        <v>241465.52600000001</v>
      </c>
      <c r="AC52" s="1">
        <v>250340.318</v>
      </c>
    </row>
    <row r="53" spans="1:29">
      <c r="A53" s="24" t="s">
        <v>116</v>
      </c>
      <c r="B53" s="24"/>
      <c r="C53" s="24"/>
      <c r="D53" s="24"/>
      <c r="E53" s="24"/>
      <c r="F53" s="45">
        <v>551900.61399999994</v>
      </c>
      <c r="G53" s="24"/>
      <c r="H53" s="24"/>
      <c r="I53" s="24">
        <v>618989.83400000003</v>
      </c>
      <c r="J53" s="24"/>
      <c r="K53" s="24">
        <v>637461.30000000005</v>
      </c>
      <c r="L53" s="24">
        <v>739373.55799999996</v>
      </c>
      <c r="M53" s="24">
        <v>794275.73499999999</v>
      </c>
      <c r="N53" s="24">
        <v>799550.66399999999</v>
      </c>
      <c r="O53" s="24">
        <v>846391.80799999996</v>
      </c>
      <c r="P53" s="24">
        <v>864436.76899999997</v>
      </c>
      <c r="Q53" s="24">
        <v>892078.74899999995</v>
      </c>
      <c r="R53" s="24">
        <v>935584.95200000005</v>
      </c>
      <c r="S53" s="24">
        <v>1041709.6310000001</v>
      </c>
      <c r="T53" s="24">
        <v>1100713.6569999999</v>
      </c>
      <c r="U53" s="24">
        <v>1146290.1040000001</v>
      </c>
      <c r="V53" s="24">
        <v>1222873.7050000001</v>
      </c>
      <c r="W53" s="24">
        <v>1273742.4339999999</v>
      </c>
      <c r="X53" s="24">
        <v>1240203.841</v>
      </c>
      <c r="Y53" s="24">
        <v>1282241.939</v>
      </c>
      <c r="Z53" s="24">
        <v>1318232.68</v>
      </c>
      <c r="AA53" s="24">
        <v>1354618.142</v>
      </c>
      <c r="AB53" s="24">
        <v>1462359.5870000001</v>
      </c>
      <c r="AC53" s="24">
        <v>1357732.3189999999</v>
      </c>
    </row>
    <row r="54" spans="1:29">
      <c r="A54" s="7" t="s">
        <v>122</v>
      </c>
      <c r="B54" s="48">
        <f>SUM(B56:B64)</f>
        <v>0</v>
      </c>
      <c r="C54" s="48">
        <f t="shared" ref="C54:AC54" si="12">SUM(C56:C64)</f>
        <v>0</v>
      </c>
      <c r="D54" s="48">
        <f t="shared" si="12"/>
        <v>0</v>
      </c>
      <c r="E54" s="48">
        <f t="shared" si="12"/>
        <v>0</v>
      </c>
      <c r="F54" s="48">
        <f t="shared" si="12"/>
        <v>3745213.2179999999</v>
      </c>
      <c r="G54" s="48">
        <f t="shared" si="12"/>
        <v>0</v>
      </c>
      <c r="H54" s="48">
        <f t="shared" si="12"/>
        <v>0</v>
      </c>
      <c r="I54" s="48">
        <f t="shared" si="12"/>
        <v>4353659.4620000003</v>
      </c>
      <c r="J54" s="48">
        <f t="shared" si="12"/>
        <v>0</v>
      </c>
      <c r="K54" s="48">
        <f t="shared" si="12"/>
        <v>4803849.2779999999</v>
      </c>
      <c r="L54" s="48">
        <f t="shared" si="12"/>
        <v>4960235.7320000008</v>
      </c>
      <c r="M54" s="48">
        <f t="shared" si="12"/>
        <v>4925571.9460000005</v>
      </c>
      <c r="N54" s="48">
        <f t="shared" si="12"/>
        <v>4792703.7249999996</v>
      </c>
      <c r="O54" s="48">
        <f t="shared" si="12"/>
        <v>4546764.4130000006</v>
      </c>
      <c r="P54" s="48">
        <f t="shared" si="12"/>
        <v>4657558.6550000003</v>
      </c>
      <c r="Q54" s="48">
        <f t="shared" si="12"/>
        <v>5603161.2350000003</v>
      </c>
      <c r="R54" s="48">
        <f t="shared" si="12"/>
        <v>5812634.4289999995</v>
      </c>
      <c r="S54" s="48">
        <f t="shared" si="12"/>
        <v>6336016.875</v>
      </c>
      <c r="T54" s="48">
        <f t="shared" si="12"/>
        <v>6878896.2829999989</v>
      </c>
      <c r="U54" s="48">
        <f t="shared" si="12"/>
        <v>6660982.3089999994</v>
      </c>
      <c r="V54" s="48">
        <f t="shared" si="12"/>
        <v>8594948.4230000004</v>
      </c>
      <c r="W54" s="48">
        <f t="shared" si="12"/>
        <v>9116925.3519999981</v>
      </c>
      <c r="X54" s="48">
        <f t="shared" si="12"/>
        <v>9183131.7970000003</v>
      </c>
      <c r="Y54" s="48">
        <f t="shared" si="12"/>
        <v>9004353.3370000012</v>
      </c>
      <c r="Z54" s="48">
        <f t="shared" si="12"/>
        <v>9700276.0979999993</v>
      </c>
      <c r="AA54" s="48">
        <f t="shared" si="12"/>
        <v>10411627.664999999</v>
      </c>
      <c r="AB54" s="48">
        <f t="shared" si="12"/>
        <v>11260188.168000001</v>
      </c>
      <c r="AC54" s="48">
        <f t="shared" si="12"/>
        <v>11289276.107999999</v>
      </c>
    </row>
    <row r="55" spans="1:29">
      <c r="A55" s="7" t="s">
        <v>119</v>
      </c>
    </row>
    <row r="56" spans="1:29">
      <c r="A56" s="1" t="s">
        <v>89</v>
      </c>
      <c r="F56" s="42">
        <v>245810.15599999999</v>
      </c>
      <c r="I56" s="1">
        <v>298932.33500000002</v>
      </c>
      <c r="K56" s="1">
        <v>294164.49800000002</v>
      </c>
      <c r="L56" s="1">
        <v>376559.38799999998</v>
      </c>
      <c r="M56" s="1">
        <v>379076.973</v>
      </c>
      <c r="N56" s="1">
        <v>412029.136</v>
      </c>
      <c r="O56" s="1">
        <v>456462.68199999997</v>
      </c>
      <c r="P56" s="1">
        <v>436124.26</v>
      </c>
      <c r="Q56" s="1">
        <v>511097.386</v>
      </c>
      <c r="R56" s="1">
        <v>515692.76299999998</v>
      </c>
      <c r="S56" s="1">
        <v>530744.58299999998</v>
      </c>
      <c r="T56" s="1">
        <v>618342.46100000001</v>
      </c>
      <c r="U56" s="1">
        <v>646923.60100000002</v>
      </c>
      <c r="V56" s="1">
        <v>698223.96900000004</v>
      </c>
      <c r="W56" s="1">
        <v>743185.46200000006</v>
      </c>
      <c r="X56" s="1">
        <v>737437.21400000004</v>
      </c>
      <c r="Y56" s="1">
        <v>787497.69400000002</v>
      </c>
      <c r="Z56" s="1">
        <v>866943.00399999996</v>
      </c>
      <c r="AA56" s="1">
        <v>948177.81599999999</v>
      </c>
      <c r="AB56" s="1">
        <v>981779.63300000003</v>
      </c>
      <c r="AC56" s="1">
        <v>955315.49600000004</v>
      </c>
    </row>
    <row r="57" spans="1:29">
      <c r="A57" s="1" t="s">
        <v>96</v>
      </c>
      <c r="F57" s="42">
        <v>96081.008000000002</v>
      </c>
      <c r="I57" s="1">
        <v>105020.883</v>
      </c>
      <c r="K57" s="1">
        <v>107976.48299999999</v>
      </c>
      <c r="L57" s="1">
        <v>124602.30899999999</v>
      </c>
      <c r="M57" s="1">
        <v>132584.71799999999</v>
      </c>
      <c r="N57" s="1">
        <v>139447.34</v>
      </c>
      <c r="O57" s="1">
        <v>147014.02600000001</v>
      </c>
      <c r="P57" s="1">
        <v>151544.95999999999</v>
      </c>
      <c r="Q57" s="1">
        <v>156652.55300000001</v>
      </c>
      <c r="R57" s="1">
        <v>163729.16</v>
      </c>
      <c r="S57" s="1">
        <v>173406.815</v>
      </c>
      <c r="T57" s="1">
        <v>181744.93900000001</v>
      </c>
      <c r="U57" s="1">
        <v>184814.91399999999</v>
      </c>
      <c r="V57" s="1">
        <v>216570.30600000001</v>
      </c>
      <c r="W57" s="1">
        <v>216311.95300000001</v>
      </c>
      <c r="X57" s="1">
        <v>217108.6</v>
      </c>
      <c r="Y57" s="1">
        <v>215365.13099999999</v>
      </c>
      <c r="Z57" s="1">
        <v>218372.59899999999</v>
      </c>
      <c r="AA57" s="1">
        <v>217187.552</v>
      </c>
      <c r="AB57" s="1">
        <v>212439.53200000001</v>
      </c>
      <c r="AC57" s="1">
        <v>216057.80100000001</v>
      </c>
    </row>
    <row r="58" spans="1:29" s="24" customFormat="1">
      <c r="A58" s="1" t="s">
        <v>97</v>
      </c>
      <c r="B58" s="1"/>
      <c r="C58" s="1"/>
      <c r="D58" s="1"/>
      <c r="E58" s="1"/>
      <c r="F58" s="42">
        <v>347930.11700000003</v>
      </c>
      <c r="G58" s="1"/>
      <c r="H58" s="1"/>
      <c r="I58" s="1">
        <v>399468.35499999998</v>
      </c>
      <c r="J58" s="1"/>
      <c r="K58" s="1">
        <v>441217.74200000003</v>
      </c>
      <c r="L58" s="1">
        <v>497455.02899999998</v>
      </c>
      <c r="M58" s="1">
        <v>531056.93700000003</v>
      </c>
      <c r="N58" s="1">
        <v>551315.55599999998</v>
      </c>
      <c r="O58" s="1">
        <v>527868.01399999997</v>
      </c>
      <c r="P58" s="1">
        <v>552069.34</v>
      </c>
      <c r="Q58" s="1">
        <v>612568.80000000005</v>
      </c>
      <c r="R58" s="1">
        <v>682483.52899999998</v>
      </c>
      <c r="S58" s="1">
        <v>730944.48800000001</v>
      </c>
      <c r="T58" s="1">
        <v>786212.54</v>
      </c>
      <c r="U58" s="1">
        <v>694912.90300000005</v>
      </c>
      <c r="V58" s="1">
        <v>936036.39800000004</v>
      </c>
      <c r="W58" s="1">
        <v>1008090.437</v>
      </c>
      <c r="X58" s="24">
        <v>1064316.247</v>
      </c>
      <c r="Y58" s="1">
        <v>1107357.1810000001</v>
      </c>
      <c r="Z58" s="1">
        <v>1172959.3359999999</v>
      </c>
      <c r="AA58" s="1">
        <v>1233476.818</v>
      </c>
      <c r="AB58" s="1">
        <v>1310387.0549999999</v>
      </c>
      <c r="AC58" s="1">
        <v>1372535.128</v>
      </c>
    </row>
    <row r="59" spans="1:29">
      <c r="A59" s="1" t="s">
        <v>103</v>
      </c>
      <c r="F59" s="42">
        <v>75598.259999999995</v>
      </c>
      <c r="I59" s="1">
        <v>92710.070999999996</v>
      </c>
      <c r="K59" s="1">
        <v>99868.688999999998</v>
      </c>
      <c r="L59" s="1">
        <v>110205.795</v>
      </c>
      <c r="M59" s="1">
        <v>115755.173</v>
      </c>
      <c r="N59" s="1">
        <v>135097.76</v>
      </c>
      <c r="O59" s="1">
        <v>138994.76999999999</v>
      </c>
      <c r="P59" s="1">
        <v>156677.606</v>
      </c>
      <c r="Q59" s="1">
        <v>163413.845</v>
      </c>
      <c r="R59" s="1">
        <v>168114.82399999999</v>
      </c>
      <c r="S59" s="1">
        <v>177436.704</v>
      </c>
      <c r="T59" s="1">
        <v>217174.861</v>
      </c>
      <c r="U59" s="1">
        <v>230959.68299999999</v>
      </c>
      <c r="V59" s="1">
        <v>237951.399</v>
      </c>
      <c r="W59" s="1">
        <v>257731.405</v>
      </c>
      <c r="X59" s="1">
        <v>250030.79399999999</v>
      </c>
      <c r="Y59" s="1">
        <v>253531.826</v>
      </c>
      <c r="Z59" s="1">
        <v>260232.47</v>
      </c>
      <c r="AA59" s="1">
        <v>274237.43800000002</v>
      </c>
      <c r="AB59" s="1">
        <v>286365.85600000003</v>
      </c>
      <c r="AC59" s="1">
        <v>281653.41700000002</v>
      </c>
    </row>
    <row r="60" spans="1:29">
      <c r="A60" s="1" t="s">
        <v>104</v>
      </c>
      <c r="F60" s="42">
        <v>362630.09899999999</v>
      </c>
      <c r="I60" s="1">
        <v>419082.60600000003</v>
      </c>
      <c r="K60" s="1">
        <v>769396.06200000003</v>
      </c>
      <c r="L60" s="1">
        <v>488336.39500000002</v>
      </c>
      <c r="M60" s="1">
        <v>503124.42599999998</v>
      </c>
      <c r="N60" s="1">
        <v>544439.17700000003</v>
      </c>
      <c r="O60" s="1">
        <v>563039.26300000004</v>
      </c>
      <c r="P60" s="1">
        <v>588321.16</v>
      </c>
      <c r="Q60" s="1">
        <v>1112441.102</v>
      </c>
      <c r="R60" s="1">
        <v>1173899.6950000001</v>
      </c>
      <c r="S60" s="1">
        <v>1226718.96</v>
      </c>
      <c r="T60" s="1">
        <v>1408881.6669999999</v>
      </c>
      <c r="U60" s="1">
        <v>1298017.578</v>
      </c>
      <c r="V60" s="1">
        <v>1697592.409</v>
      </c>
      <c r="W60" s="1">
        <v>1809848.7</v>
      </c>
      <c r="X60" s="1">
        <v>1880861.1270000001</v>
      </c>
      <c r="Y60" s="1">
        <v>1725006.2490000001</v>
      </c>
      <c r="Z60" s="1">
        <v>2003703.7819999999</v>
      </c>
      <c r="AA60" s="1">
        <v>2086097.7109999999</v>
      </c>
      <c r="AB60" s="1">
        <v>2171554.5180000002</v>
      </c>
      <c r="AC60" s="1">
        <v>2123485.2829999998</v>
      </c>
    </row>
    <row r="61" spans="1:29">
      <c r="A61" s="1" t="s">
        <v>106</v>
      </c>
      <c r="F61" s="42">
        <v>1418134.013</v>
      </c>
      <c r="I61" s="1">
        <v>1662912.23</v>
      </c>
      <c r="K61" s="1">
        <v>1674188.067</v>
      </c>
      <c r="L61" s="1">
        <v>1725469.8119999999</v>
      </c>
      <c r="M61" s="1">
        <v>1801968.865</v>
      </c>
      <c r="N61" s="1">
        <v>1989494.098</v>
      </c>
      <c r="O61" s="1">
        <v>1950080.923</v>
      </c>
      <c r="P61" s="1">
        <v>1985903.3389999999</v>
      </c>
      <c r="Q61" s="1">
        <v>2251046.6910000001</v>
      </c>
      <c r="R61" s="1">
        <v>2287459.9679999999</v>
      </c>
      <c r="S61" s="1">
        <v>2611313.077</v>
      </c>
      <c r="T61" s="1">
        <v>2745917.0079999999</v>
      </c>
      <c r="U61" s="1">
        <v>2668357.486</v>
      </c>
      <c r="V61" s="1">
        <v>3630125.1669999999</v>
      </c>
      <c r="W61" s="1">
        <v>3851347.2050000001</v>
      </c>
      <c r="X61" s="1">
        <v>3802992.6189999999</v>
      </c>
      <c r="Y61" s="1">
        <v>3666044.8280000002</v>
      </c>
      <c r="Z61" s="1">
        <v>3887029.236</v>
      </c>
      <c r="AA61" s="1">
        <v>4346696.3250000002</v>
      </c>
      <c r="AB61" s="1">
        <v>4951723.1830000002</v>
      </c>
      <c r="AC61" s="1">
        <v>4929947.5690000001</v>
      </c>
    </row>
    <row r="62" spans="1:29">
      <c r="A62" s="1" t="s">
        <v>110</v>
      </c>
      <c r="F62" s="42">
        <v>1042142.099</v>
      </c>
      <c r="I62" s="1">
        <v>1194308.3829999999</v>
      </c>
      <c r="K62" s="1">
        <v>1234793.946</v>
      </c>
      <c r="L62" s="1">
        <v>1433604.246</v>
      </c>
      <c r="M62" s="1">
        <v>1248227.9550000001</v>
      </c>
      <c r="N62" s="1">
        <v>797172.46900000004</v>
      </c>
      <c r="O62" s="1">
        <v>541621.03599999996</v>
      </c>
      <c r="P62" s="1">
        <v>540868.65399999998</v>
      </c>
      <c r="Q62" s="1">
        <v>539624.87300000002</v>
      </c>
      <c r="R62" s="1">
        <v>554445.23899999994</v>
      </c>
      <c r="S62" s="1">
        <v>590887.47199999995</v>
      </c>
      <c r="T62" s="1">
        <v>608870.22600000002</v>
      </c>
      <c r="U62" s="1">
        <v>631271.07900000003</v>
      </c>
      <c r="V62" s="1">
        <v>793875.45600000001</v>
      </c>
      <c r="W62" s="1">
        <v>832102.85199999996</v>
      </c>
      <c r="X62" s="1">
        <v>819943.60100000002</v>
      </c>
      <c r="Y62" s="1">
        <v>846424.90099999995</v>
      </c>
      <c r="Z62" s="1">
        <v>869433.58700000006</v>
      </c>
      <c r="AA62" s="1">
        <v>882415.69200000004</v>
      </c>
      <c r="AB62" s="1">
        <v>896728.01500000001</v>
      </c>
      <c r="AC62" s="1">
        <v>938743.63199999998</v>
      </c>
    </row>
    <row r="63" spans="1:29">
      <c r="A63" s="1" t="s">
        <v>111</v>
      </c>
      <c r="F63" s="42">
        <v>77119.629000000001</v>
      </c>
      <c r="I63" s="1">
        <v>91559.630999999994</v>
      </c>
      <c r="K63" s="1">
        <v>87055.58</v>
      </c>
      <c r="L63" s="1">
        <v>95624.906000000003</v>
      </c>
      <c r="M63" s="1">
        <v>101082.985</v>
      </c>
      <c r="N63" s="1">
        <v>105290.435</v>
      </c>
      <c r="O63" s="1">
        <v>111819.739</v>
      </c>
      <c r="P63" s="1">
        <v>115533.323</v>
      </c>
      <c r="Q63" s="1">
        <v>117600.303</v>
      </c>
      <c r="R63" s="1">
        <v>123021.87699999999</v>
      </c>
      <c r="S63" s="1">
        <v>124981.844</v>
      </c>
      <c r="T63" s="1">
        <v>132499.70800000001</v>
      </c>
      <c r="U63" s="1">
        <v>131292.35699999999</v>
      </c>
      <c r="V63" s="1">
        <v>159863.85</v>
      </c>
      <c r="W63" s="1">
        <v>164625.04800000001</v>
      </c>
      <c r="X63" s="1">
        <v>168159.709</v>
      </c>
      <c r="Y63" s="1">
        <v>171550.60500000001</v>
      </c>
      <c r="Z63" s="1">
        <v>182786.42600000001</v>
      </c>
      <c r="AA63" s="1">
        <v>182542.008</v>
      </c>
      <c r="AB63" s="1">
        <v>190202.853</v>
      </c>
      <c r="AC63" s="1">
        <v>204799.39499999999</v>
      </c>
    </row>
    <row r="64" spans="1:29">
      <c r="A64" s="24" t="s">
        <v>114</v>
      </c>
      <c r="B64" s="24"/>
      <c r="C64" s="24"/>
      <c r="D64" s="24"/>
      <c r="E64" s="24"/>
      <c r="F64" s="45">
        <v>79767.837</v>
      </c>
      <c r="G64" s="24"/>
      <c r="H64" s="24"/>
      <c r="I64" s="24">
        <v>89664.967999999993</v>
      </c>
      <c r="J64" s="24"/>
      <c r="K64" s="24">
        <v>95188.210999999996</v>
      </c>
      <c r="L64" s="24">
        <v>108377.852</v>
      </c>
      <c r="M64" s="24">
        <v>112693.914</v>
      </c>
      <c r="N64" s="24">
        <v>118417.754</v>
      </c>
      <c r="O64" s="24">
        <v>109863.96</v>
      </c>
      <c r="P64" s="24">
        <v>130516.01300000001</v>
      </c>
      <c r="Q64" s="24">
        <v>138715.682</v>
      </c>
      <c r="R64" s="24">
        <v>143787.37400000001</v>
      </c>
      <c r="S64" s="24">
        <v>169582.932</v>
      </c>
      <c r="T64" s="24">
        <v>179252.87299999999</v>
      </c>
      <c r="U64" s="24">
        <v>174432.70800000001</v>
      </c>
      <c r="V64" s="24">
        <v>224709.46900000001</v>
      </c>
      <c r="W64" s="24">
        <v>233682.29</v>
      </c>
      <c r="X64" s="24">
        <v>242281.886</v>
      </c>
      <c r="Y64" s="24">
        <v>231574.92199999999</v>
      </c>
      <c r="Z64" s="24">
        <v>238815.658</v>
      </c>
      <c r="AA64" s="24">
        <v>240796.30499999999</v>
      </c>
      <c r="AB64" s="24">
        <v>259007.52299999999</v>
      </c>
      <c r="AC64" s="24">
        <v>266738.38699999999</v>
      </c>
    </row>
    <row r="65" spans="1:29">
      <c r="A65" s="46" t="s">
        <v>90</v>
      </c>
      <c r="B65" s="46"/>
      <c r="C65" s="46"/>
      <c r="D65" s="46"/>
      <c r="E65" s="46"/>
      <c r="F65" s="47">
        <v>50504.614999999998</v>
      </c>
      <c r="G65" s="46"/>
      <c r="H65" s="46"/>
      <c r="I65" s="46">
        <v>40920.159</v>
      </c>
      <c r="J65" s="46"/>
      <c r="K65" s="46">
        <v>41358.930030000003</v>
      </c>
      <c r="L65" s="46">
        <v>33923.783000000003</v>
      </c>
      <c r="M65" s="46">
        <v>37082.226000000002</v>
      </c>
      <c r="N65" s="46">
        <v>28579.234</v>
      </c>
      <c r="O65" s="46">
        <v>32236.488000000001</v>
      </c>
      <c r="P65" s="46">
        <v>33852.826000000001</v>
      </c>
      <c r="Q65" s="46">
        <v>41477.572999999997</v>
      </c>
      <c r="R65" s="46">
        <v>42394.33</v>
      </c>
      <c r="S65" s="46">
        <v>47484.222000000002</v>
      </c>
      <c r="T65" s="46">
        <v>41681.623</v>
      </c>
      <c r="U65" s="46">
        <v>41506.419000000002</v>
      </c>
      <c r="V65" s="46">
        <v>39654</v>
      </c>
      <c r="W65" s="46">
        <v>60512.646000000001</v>
      </c>
      <c r="X65" s="24">
        <v>63064.275000000001</v>
      </c>
      <c r="Y65" s="24">
        <v>60120.593000000001</v>
      </c>
      <c r="Z65" s="24">
        <v>53316.891000000003</v>
      </c>
      <c r="AA65" s="24">
        <v>43810.288</v>
      </c>
      <c r="AB65" s="24">
        <v>44552.212</v>
      </c>
      <c r="AC65" s="24">
        <v>41290.394999999997</v>
      </c>
    </row>
    <row r="66" spans="1:29">
      <c r="F66" s="15"/>
    </row>
    <row r="67" spans="1:29">
      <c r="A67" s="1" t="s">
        <v>18</v>
      </c>
      <c r="F67" s="1" t="s">
        <v>63</v>
      </c>
      <c r="I67" s="1" t="s">
        <v>78</v>
      </c>
      <c r="J67" s="1" t="s">
        <v>76</v>
      </c>
      <c r="K67" s="1" t="s">
        <v>66</v>
      </c>
      <c r="L67" s="1" t="s">
        <v>69</v>
      </c>
      <c r="O67" s="1" t="s">
        <v>78</v>
      </c>
      <c r="P67" s="1" t="s">
        <v>78</v>
      </c>
      <c r="Q67" s="1" t="s">
        <v>78</v>
      </c>
      <c r="R67" s="1" t="s">
        <v>78</v>
      </c>
    </row>
    <row r="68" spans="1:29">
      <c r="F68" s="1" t="s">
        <v>127</v>
      </c>
      <c r="I68" s="1" t="s">
        <v>79</v>
      </c>
      <c r="J68" s="1" t="s">
        <v>72</v>
      </c>
      <c r="K68" s="1" t="s">
        <v>83</v>
      </c>
      <c r="L68" s="1" t="s">
        <v>84</v>
      </c>
      <c r="O68" s="1" t="s">
        <v>79</v>
      </c>
      <c r="P68" s="1" t="s">
        <v>79</v>
      </c>
      <c r="Q68" s="1" t="s">
        <v>79</v>
      </c>
      <c r="R68" s="1" t="s">
        <v>79</v>
      </c>
    </row>
    <row r="69" spans="1:29">
      <c r="F69" s="1" t="s">
        <v>65</v>
      </c>
      <c r="I69" s="1" t="s">
        <v>80</v>
      </c>
      <c r="J69" s="1" t="s">
        <v>73</v>
      </c>
      <c r="O69" s="1" t="s">
        <v>80</v>
      </c>
      <c r="P69" s="1" t="s">
        <v>80</v>
      </c>
      <c r="Q69" s="1" t="s">
        <v>80</v>
      </c>
      <c r="R69" s="1" t="s">
        <v>80</v>
      </c>
    </row>
    <row r="70" spans="1:29">
      <c r="J70" s="1" t="s">
        <v>74</v>
      </c>
    </row>
  </sheetData>
  <phoneticPr fontId="6"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3">
    <tabColor indexed="62"/>
  </sheetPr>
  <dimension ref="A1:AC70"/>
  <sheetViews>
    <sheetView zoomScale="106" zoomScaleNormal="106" workbookViewId="0">
      <pane xSplit="1" ySplit="5" topLeftCell="V6" activePane="bottomRight" state="frozen"/>
      <selection activeCell="B52" sqref="B52"/>
      <selection pane="topRight" activeCell="B52" sqref="B52"/>
      <selection pane="bottomLeft" activeCell="B52" sqref="B52"/>
      <selection pane="bottomRight" activeCell="AC21" sqref="AC21"/>
    </sheetView>
  </sheetViews>
  <sheetFormatPr defaultColWidth="9.7109375" defaultRowHeight="12.75"/>
  <cols>
    <col min="1" max="1" width="23.42578125" style="44" customWidth="1"/>
    <col min="2" max="9" width="12.42578125" style="1" customWidth="1"/>
    <col min="10" max="10" width="11.140625" style="1" customWidth="1"/>
    <col min="11" max="23" width="12.42578125" style="1" customWidth="1"/>
    <col min="24" max="24" width="14.42578125" style="1" bestFit="1" customWidth="1"/>
    <col min="25" max="25" width="10.5703125" style="1" bestFit="1" customWidth="1"/>
    <col min="26" max="29" width="10.5703125" style="1" customWidth="1"/>
    <col min="30" max="16384" width="9.7109375" style="1"/>
  </cols>
  <sheetData>
    <row r="1" spans="1:29">
      <c r="A1" s="7" t="s">
        <v>39</v>
      </c>
      <c r="AB1" s="1">
        <v>1000</v>
      </c>
    </row>
    <row r="2" spans="1:29">
      <c r="A2" s="1"/>
    </row>
    <row r="3" spans="1:29">
      <c r="A3" s="1" t="s">
        <v>0</v>
      </c>
      <c r="D3" s="9"/>
      <c r="E3" s="9"/>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1">
        <v>2005</v>
      </c>
      <c r="R4" s="41">
        <v>2006</v>
      </c>
      <c r="S4" s="41">
        <v>2007</v>
      </c>
      <c r="T4" s="41">
        <v>2008</v>
      </c>
      <c r="U4" s="41">
        <v>2009</v>
      </c>
      <c r="V4" s="40">
        <v>2010</v>
      </c>
      <c r="W4" s="40">
        <v>2011</v>
      </c>
      <c r="X4" s="33" t="s">
        <v>140</v>
      </c>
      <c r="Y4" s="33" t="s">
        <v>142</v>
      </c>
      <c r="Z4" s="33" t="s">
        <v>143</v>
      </c>
      <c r="AA4" s="33" t="s">
        <v>144</v>
      </c>
      <c r="AB4" s="96" t="s">
        <v>149</v>
      </c>
      <c r="AC4" s="96" t="s">
        <v>150</v>
      </c>
    </row>
    <row r="5" spans="1:29">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24">
        <v>4481854</v>
      </c>
      <c r="C6" s="24">
        <v>4818621</v>
      </c>
      <c r="D6" s="24">
        <v>5120989</v>
      </c>
      <c r="E6" s="24">
        <v>7540344.4139999999</v>
      </c>
      <c r="F6" s="49">
        <f>+F7+F25+F40+F54+F65</f>
        <v>7842909.4129999997</v>
      </c>
      <c r="G6" s="24">
        <v>8645465.7559999991</v>
      </c>
      <c r="H6" s="24">
        <v>9053480.3709999993</v>
      </c>
      <c r="I6" s="49">
        <f>+I7+I25+I40+I54+I65</f>
        <v>8970821.0789999999</v>
      </c>
      <c r="J6" s="24">
        <v>9762155.2660000008</v>
      </c>
      <c r="K6" s="49">
        <f t="shared" ref="K6:U6" si="0">+K7+K25+K40+K54+K65</f>
        <v>10120685.521130001</v>
      </c>
      <c r="L6" s="49">
        <f t="shared" si="0"/>
        <v>11186707.625</v>
      </c>
      <c r="M6" s="49">
        <f t="shared" si="0"/>
        <v>12209856.35</v>
      </c>
      <c r="N6" s="49">
        <f t="shared" si="0"/>
        <v>12514271.915999999</v>
      </c>
      <c r="O6" s="49">
        <f t="shared" si="0"/>
        <v>12787607.030999999</v>
      </c>
      <c r="P6" s="49">
        <f t="shared" si="0"/>
        <v>13122721.689999999</v>
      </c>
      <c r="Q6" s="49">
        <f t="shared" si="0"/>
        <v>14528334.474999998</v>
      </c>
      <c r="R6" s="49">
        <f t="shared" si="0"/>
        <v>15405612.856999999</v>
      </c>
      <c r="S6" s="49">
        <f t="shared" si="0"/>
        <v>16335984.432</v>
      </c>
      <c r="T6" s="49">
        <f t="shared" si="0"/>
        <v>17840473.568</v>
      </c>
      <c r="U6" s="49">
        <f t="shared" si="0"/>
        <v>19436124.537</v>
      </c>
      <c r="V6" s="49">
        <f t="shared" ref="V6:W6" si="1">+V7+V25+V40+V54+V65</f>
        <v>23072745.412</v>
      </c>
      <c r="W6" s="49">
        <f t="shared" si="1"/>
        <v>24302001.506999999</v>
      </c>
      <c r="X6" s="49">
        <f t="shared" ref="X6:Y6" si="2">+X7+X25+X40+X54+X65</f>
        <v>24416587.718999997</v>
      </c>
      <c r="Y6" s="49">
        <f t="shared" si="2"/>
        <v>20953736.903000001</v>
      </c>
      <c r="Z6" s="49">
        <f t="shared" ref="Z6:AA6" si="3">+Z7+Z25+Z40+Z54+Z65</f>
        <v>21376741.784000002</v>
      </c>
      <c r="AA6" s="49">
        <f t="shared" si="3"/>
        <v>21772729.454000004</v>
      </c>
      <c r="AB6" s="49">
        <f t="shared" ref="AB6:AC6" si="4">+AB7+AB25+AB40+AB54+AB65</f>
        <v>25689645.541000001</v>
      </c>
      <c r="AC6" s="49">
        <f t="shared" si="4"/>
        <v>25585379.118999999</v>
      </c>
    </row>
    <row r="7" spans="1:29">
      <c r="A7" s="1" t="s">
        <v>56</v>
      </c>
      <c r="B7" s="48">
        <f>SUM(B8:B24)</f>
        <v>1288612</v>
      </c>
      <c r="C7" s="48">
        <f t="shared" ref="C7:U7" si="5">SUM(C8:C24)</f>
        <v>1416471</v>
      </c>
      <c r="D7" s="48">
        <f t="shared" si="5"/>
        <v>1523801</v>
      </c>
      <c r="E7" s="48">
        <f t="shared" si="5"/>
        <v>2306884.3879999998</v>
      </c>
      <c r="F7" s="48">
        <f t="shared" si="5"/>
        <v>2362171.6090000002</v>
      </c>
      <c r="G7" s="48">
        <f t="shared" si="5"/>
        <v>2626589.753</v>
      </c>
      <c r="H7" s="48">
        <f t="shared" si="5"/>
        <v>2831586.6809999999</v>
      </c>
      <c r="I7" s="48">
        <f t="shared" si="5"/>
        <v>2911501.4109999998</v>
      </c>
      <c r="J7" s="48">
        <f t="shared" si="5"/>
        <v>3078746.6880000001</v>
      </c>
      <c r="K7" s="48">
        <f t="shared" si="5"/>
        <v>3225846.4519900004</v>
      </c>
      <c r="L7" s="48">
        <f t="shared" si="5"/>
        <v>3963347.639</v>
      </c>
      <c r="M7" s="48">
        <f t="shared" si="5"/>
        <v>4345992.1719999993</v>
      </c>
      <c r="N7" s="48">
        <f t="shared" si="5"/>
        <v>4181250.3979999996</v>
      </c>
      <c r="O7" s="48">
        <f t="shared" si="5"/>
        <v>4236290.8540000003</v>
      </c>
      <c r="P7" s="48">
        <f t="shared" si="5"/>
        <v>4363199.7419999996</v>
      </c>
      <c r="Q7" s="48">
        <f t="shared" si="5"/>
        <v>4767955.2319999989</v>
      </c>
      <c r="R7" s="48">
        <f t="shared" si="5"/>
        <v>5054101.2769999998</v>
      </c>
      <c r="S7" s="48">
        <f t="shared" si="5"/>
        <v>5545132.317999999</v>
      </c>
      <c r="T7" s="48">
        <f t="shared" si="5"/>
        <v>6140256.352</v>
      </c>
      <c r="U7" s="48">
        <f t="shared" si="5"/>
        <v>6634558.0770000005</v>
      </c>
      <c r="V7" s="48">
        <f t="shared" ref="V7:W7" si="6">SUM(V8:V24)</f>
        <v>8071952.6869999999</v>
      </c>
      <c r="W7" s="48">
        <f t="shared" si="6"/>
        <v>8493046.9009999987</v>
      </c>
      <c r="X7" s="48">
        <f t="shared" ref="X7:Y7" si="7">SUM(X8:X24)</f>
        <v>8516083.1559999976</v>
      </c>
      <c r="Y7" s="48">
        <f t="shared" si="7"/>
        <v>8139406.7790000001</v>
      </c>
      <c r="Z7" s="48">
        <f t="shared" ref="Z7:AA7" si="8">SUM(Z8:Z24)</f>
        <v>8204830.0960000018</v>
      </c>
      <c r="AA7" s="48">
        <f t="shared" si="8"/>
        <v>8216142.2940000016</v>
      </c>
      <c r="AB7" s="48">
        <f t="shared" ref="AB7:AC7" si="9">SUM(AB8:AB24)</f>
        <v>8645712.2740000002</v>
      </c>
      <c r="AC7" s="48">
        <f t="shared" si="9"/>
        <v>8216106.9459999995</v>
      </c>
    </row>
    <row r="8" spans="1:29">
      <c r="A8" s="7" t="s">
        <v>119</v>
      </c>
    </row>
    <row r="9" spans="1:29">
      <c r="A9" s="1" t="s">
        <v>3</v>
      </c>
      <c r="B9" s="1">
        <v>51444</v>
      </c>
      <c r="C9" s="1">
        <v>79956</v>
      </c>
      <c r="D9" s="1">
        <v>92492</v>
      </c>
      <c r="E9" s="1">
        <v>116136.359</v>
      </c>
      <c r="F9" s="42">
        <v>119768.159</v>
      </c>
      <c r="G9" s="1">
        <v>129943.61500000001</v>
      </c>
      <c r="H9" s="1">
        <v>140592.49</v>
      </c>
      <c r="I9" s="1">
        <v>151966.21299999999</v>
      </c>
      <c r="J9" s="1">
        <v>159527.84299999999</v>
      </c>
      <c r="K9" s="1">
        <v>155412.66150999998</v>
      </c>
      <c r="L9" s="1">
        <v>169292.003</v>
      </c>
      <c r="M9" s="1">
        <v>173389.35699999999</v>
      </c>
      <c r="N9" s="1">
        <v>172396.25399999999</v>
      </c>
      <c r="O9" s="1">
        <v>184070.33199999999</v>
      </c>
      <c r="P9" s="1">
        <v>197118.334</v>
      </c>
      <c r="Q9" s="1">
        <v>204802.38800000001</v>
      </c>
      <c r="R9" s="1">
        <v>222150.09599999999</v>
      </c>
      <c r="S9" s="1">
        <v>239649.59099999999</v>
      </c>
      <c r="T9" s="1">
        <v>309287.13699999999</v>
      </c>
      <c r="U9" s="1">
        <v>299802.89299999998</v>
      </c>
      <c r="V9" s="1">
        <v>336372.06099999999</v>
      </c>
      <c r="W9" s="1">
        <v>335114.83399999997</v>
      </c>
      <c r="X9" s="1">
        <v>331813.31099999999</v>
      </c>
      <c r="Y9" s="1">
        <v>315946.739</v>
      </c>
      <c r="Z9" s="1">
        <v>318162.88199999998</v>
      </c>
      <c r="AA9" s="1">
        <v>310375.08799999999</v>
      </c>
      <c r="AB9" s="1">
        <v>300407.81800000003</v>
      </c>
      <c r="AC9" s="1">
        <v>295580.00599999999</v>
      </c>
    </row>
    <row r="10" spans="1:29">
      <c r="A10" s="1" t="s">
        <v>4</v>
      </c>
      <c r="B10" s="1">
        <v>12727</v>
      </c>
      <c r="C10" s="1">
        <v>15989</v>
      </c>
      <c r="D10" s="1">
        <v>16595</v>
      </c>
      <c r="E10" s="1">
        <v>25497.748</v>
      </c>
      <c r="F10" s="42">
        <v>28047.028999999999</v>
      </c>
      <c r="G10" s="1">
        <v>35428.294000000002</v>
      </c>
      <c r="H10" s="1">
        <v>37147.173000000003</v>
      </c>
      <c r="I10" s="1">
        <v>40483.927000000003</v>
      </c>
      <c r="J10" s="1">
        <v>59016.319000000003</v>
      </c>
      <c r="K10" s="1">
        <v>53732.05</v>
      </c>
      <c r="L10" s="1">
        <v>79651.883000000002</v>
      </c>
      <c r="M10" s="1">
        <v>85940.28</v>
      </c>
      <c r="N10" s="1">
        <v>85915.48</v>
      </c>
      <c r="O10" s="1">
        <v>89893.262000000002</v>
      </c>
      <c r="P10" s="1">
        <v>102564.984</v>
      </c>
      <c r="Q10" s="1">
        <v>110118.773</v>
      </c>
      <c r="R10" s="1">
        <v>119625.868</v>
      </c>
      <c r="S10" s="1">
        <v>149944.53700000001</v>
      </c>
      <c r="T10" s="1">
        <v>160547.049</v>
      </c>
      <c r="U10" s="1">
        <v>148614.649</v>
      </c>
      <c r="V10" s="1">
        <v>190576.071</v>
      </c>
      <c r="W10" s="1">
        <v>199396.93599999999</v>
      </c>
      <c r="X10" s="1">
        <v>205856.33799999999</v>
      </c>
      <c r="Y10" s="1">
        <v>199420.03200000001</v>
      </c>
      <c r="Z10" s="1">
        <v>203393.435</v>
      </c>
      <c r="AA10" s="1">
        <v>194049.36199999999</v>
      </c>
      <c r="AB10" s="1">
        <v>187695.171</v>
      </c>
      <c r="AC10" s="1">
        <v>181120.83499999999</v>
      </c>
    </row>
    <row r="11" spans="1:29">
      <c r="A11" s="1" t="s">
        <v>52</v>
      </c>
      <c r="D11" s="1">
        <v>12672</v>
      </c>
      <c r="E11" s="1">
        <v>25068.355</v>
      </c>
      <c r="F11" s="42">
        <v>32148.685000000001</v>
      </c>
      <c r="I11" s="1">
        <v>15141.124</v>
      </c>
      <c r="J11" s="1">
        <v>28848.151000000002</v>
      </c>
      <c r="K11" s="1">
        <v>31739.526000000002</v>
      </c>
      <c r="L11" s="1">
        <v>36157.555999999997</v>
      </c>
      <c r="M11" s="1">
        <v>37826.125</v>
      </c>
      <c r="N11" s="1">
        <v>38157.480000000003</v>
      </c>
      <c r="O11" s="1">
        <v>39696.425000000003</v>
      </c>
      <c r="P11" s="1">
        <v>42065.220999999998</v>
      </c>
      <c r="Q11" s="1">
        <v>45330.663</v>
      </c>
      <c r="R11" s="1">
        <v>49409.188000000002</v>
      </c>
      <c r="S11" s="1">
        <v>53489.733</v>
      </c>
      <c r="T11" s="1">
        <v>55909.159</v>
      </c>
      <c r="U11" s="1">
        <v>56716.728999999999</v>
      </c>
      <c r="V11" s="1">
        <v>65627.520000000004</v>
      </c>
      <c r="W11" s="1">
        <v>75956.070000000007</v>
      </c>
      <c r="X11" s="1">
        <v>81056.270999999993</v>
      </c>
      <c r="Y11" s="1">
        <v>81096.320999999996</v>
      </c>
      <c r="Z11" s="1">
        <v>84310.627999999997</v>
      </c>
      <c r="AA11" s="1">
        <v>81674.042000000001</v>
      </c>
      <c r="AB11" s="1">
        <v>84874.743000000002</v>
      </c>
      <c r="AC11" s="1">
        <v>84856.209000000003</v>
      </c>
    </row>
    <row r="12" spans="1:29">
      <c r="A12" s="1" t="s">
        <v>5</v>
      </c>
      <c r="B12" s="1">
        <v>223678</v>
      </c>
      <c r="C12" s="1">
        <v>238792</v>
      </c>
      <c r="D12" s="1">
        <v>245621</v>
      </c>
      <c r="E12" s="1">
        <v>420275.80900000001</v>
      </c>
      <c r="F12" s="42">
        <v>431264.99800000002</v>
      </c>
      <c r="G12" s="1">
        <v>458427.73200000002</v>
      </c>
      <c r="H12" s="1">
        <v>491802.79</v>
      </c>
      <c r="I12" s="1">
        <v>505131.60399999999</v>
      </c>
      <c r="J12" s="1">
        <v>499744.17</v>
      </c>
      <c r="K12" s="1">
        <v>522015.592</v>
      </c>
      <c r="L12" s="1">
        <v>606938.84499999997</v>
      </c>
      <c r="M12" s="1">
        <v>772091.87899999996</v>
      </c>
      <c r="N12" s="1">
        <v>610493.12699999998</v>
      </c>
      <c r="O12" s="1">
        <v>501567.46500000003</v>
      </c>
      <c r="P12" s="1">
        <v>513307.31099999999</v>
      </c>
      <c r="Q12" s="1">
        <v>545206.32200000004</v>
      </c>
      <c r="R12" s="1">
        <v>567385.45799999998</v>
      </c>
      <c r="S12" s="1">
        <v>716638.20200000005</v>
      </c>
      <c r="T12" s="1">
        <v>727380.34699999995</v>
      </c>
      <c r="U12" s="1">
        <v>1145286.122</v>
      </c>
      <c r="V12" s="1">
        <v>1204243.1629999999</v>
      </c>
      <c r="W12" s="1">
        <v>1253971.67</v>
      </c>
      <c r="X12" s="1">
        <v>1246436.2069999999</v>
      </c>
      <c r="Y12" s="1">
        <v>1250887.267</v>
      </c>
      <c r="Z12" s="1">
        <v>1274691.2180000001</v>
      </c>
      <c r="AA12" s="1">
        <v>1317769.709</v>
      </c>
      <c r="AB12" s="1">
        <v>1408293.142</v>
      </c>
      <c r="AC12" s="1">
        <v>1332453.2690000001</v>
      </c>
    </row>
    <row r="13" spans="1:29">
      <c r="A13" s="1" t="s">
        <v>6</v>
      </c>
      <c r="B13" s="1">
        <v>39273</v>
      </c>
      <c r="C13" s="1">
        <v>40765</v>
      </c>
      <c r="D13" s="1">
        <v>48800</v>
      </c>
      <c r="E13" s="1">
        <v>154432.728</v>
      </c>
      <c r="F13" s="42">
        <v>162113.92000000001</v>
      </c>
      <c r="G13" s="1">
        <v>180410.53</v>
      </c>
      <c r="H13" s="1">
        <v>202412.39799999999</v>
      </c>
      <c r="I13" s="1">
        <v>219217.82500000001</v>
      </c>
      <c r="J13" s="1">
        <v>175971.94399999999</v>
      </c>
      <c r="K13" s="1">
        <v>183391.88570000004</v>
      </c>
      <c r="L13" s="1">
        <v>294879.77399999998</v>
      </c>
      <c r="M13" s="1">
        <v>308155.89399999997</v>
      </c>
      <c r="N13" s="1">
        <v>341997.59499999997</v>
      </c>
      <c r="O13" s="1">
        <v>336144.32500000001</v>
      </c>
      <c r="P13" s="1">
        <v>358111.19099999999</v>
      </c>
      <c r="Q13" s="1">
        <v>362710.75599999999</v>
      </c>
      <c r="R13" s="1">
        <v>378008.35200000001</v>
      </c>
      <c r="S13" s="1">
        <v>381692.23800000001</v>
      </c>
      <c r="T13" s="1">
        <v>397136.45600000001</v>
      </c>
      <c r="U13" s="1">
        <v>194925.84700000001</v>
      </c>
      <c r="V13" s="1">
        <v>550291.85499999998</v>
      </c>
      <c r="W13" s="1">
        <v>600029.53099999996</v>
      </c>
      <c r="X13" s="1">
        <v>600634.90300000005</v>
      </c>
      <c r="Y13" s="1">
        <v>190808.19099999999</v>
      </c>
      <c r="Z13" s="1">
        <v>196892.82199999999</v>
      </c>
      <c r="AA13" s="1">
        <v>199032.546</v>
      </c>
      <c r="AB13" s="1">
        <v>506959.06199999998</v>
      </c>
      <c r="AC13" s="1">
        <v>159578.37899999999</v>
      </c>
    </row>
    <row r="14" spans="1:29">
      <c r="A14" s="1" t="s">
        <v>7</v>
      </c>
      <c r="B14" s="1">
        <v>19079</v>
      </c>
      <c r="C14" s="1">
        <v>24094</v>
      </c>
      <c r="D14" s="1">
        <v>28667</v>
      </c>
      <c r="E14" s="1">
        <v>46750.586000000003</v>
      </c>
      <c r="F14" s="42">
        <v>57600.074999999997</v>
      </c>
      <c r="G14" s="1">
        <v>59111.864999999998</v>
      </c>
      <c r="H14" s="1">
        <v>60476.966999999997</v>
      </c>
      <c r="I14" s="1">
        <v>65221.902999999998</v>
      </c>
      <c r="J14" s="1">
        <v>65625.082999999999</v>
      </c>
      <c r="K14" s="1">
        <v>75014.955000000002</v>
      </c>
      <c r="L14" s="1">
        <v>145882.86199999999</v>
      </c>
      <c r="M14" s="1">
        <v>147813.106</v>
      </c>
      <c r="N14" s="1">
        <v>12949.546</v>
      </c>
      <c r="O14" s="1">
        <v>13548.236999999999</v>
      </c>
      <c r="P14" s="1">
        <v>14273.965</v>
      </c>
      <c r="Q14" s="1">
        <v>151553.32399999999</v>
      </c>
      <c r="R14" s="1">
        <v>164109.774</v>
      </c>
      <c r="S14" s="1">
        <v>175044.57500000001</v>
      </c>
      <c r="T14" s="1">
        <v>231731.54800000001</v>
      </c>
      <c r="U14" s="1">
        <v>224190.21799999999</v>
      </c>
      <c r="V14" s="1">
        <v>277627.81800000003</v>
      </c>
      <c r="W14" s="1">
        <v>266281.80499999999</v>
      </c>
      <c r="X14" s="1">
        <v>274765.45799999998</v>
      </c>
      <c r="Y14" s="1">
        <v>253945.05100000001</v>
      </c>
      <c r="Z14" s="1">
        <v>220286.57800000001</v>
      </c>
      <c r="AA14" s="1">
        <v>222616.21400000001</v>
      </c>
      <c r="AB14" s="1">
        <v>233112.26800000001</v>
      </c>
      <c r="AC14" s="1">
        <v>196728.76</v>
      </c>
    </row>
    <row r="15" spans="1:29">
      <c r="A15" s="1" t="s">
        <v>8</v>
      </c>
      <c r="B15" s="1">
        <v>13886</v>
      </c>
      <c r="C15" s="1">
        <v>15994</v>
      </c>
      <c r="D15" s="1">
        <v>16970</v>
      </c>
      <c r="E15" s="1">
        <v>32146.780999999999</v>
      </c>
      <c r="F15" s="42">
        <v>35144.114999999998</v>
      </c>
      <c r="G15" s="1">
        <v>38712.743999999999</v>
      </c>
      <c r="H15" s="1">
        <v>42107.919000000002</v>
      </c>
      <c r="I15" s="1">
        <v>42812.633000000002</v>
      </c>
      <c r="J15" s="1">
        <v>79573.168000000005</v>
      </c>
      <c r="K15" s="1">
        <v>85949.671480000019</v>
      </c>
      <c r="L15" s="1">
        <v>102932.361</v>
      </c>
      <c r="M15" s="1">
        <v>106136.609</v>
      </c>
      <c r="N15" s="1">
        <v>117731.622</v>
      </c>
      <c r="O15" s="1">
        <v>128447.182</v>
      </c>
      <c r="P15" s="1">
        <v>145018.57800000001</v>
      </c>
      <c r="Q15" s="1">
        <v>147737.54199999999</v>
      </c>
      <c r="R15" s="1">
        <v>140896.35699999999</v>
      </c>
      <c r="S15" s="1">
        <v>171743.81899999999</v>
      </c>
      <c r="T15" s="1">
        <v>214558.73300000001</v>
      </c>
      <c r="U15" s="1">
        <v>124167.158</v>
      </c>
      <c r="V15" s="1">
        <v>219364.66399999999</v>
      </c>
      <c r="W15" s="1">
        <v>235271.59299999999</v>
      </c>
      <c r="X15" s="1">
        <v>229153.59700000001</v>
      </c>
      <c r="Y15" s="1">
        <v>153855.902</v>
      </c>
      <c r="Z15" s="1">
        <v>163745.701</v>
      </c>
      <c r="AA15" s="1">
        <v>162277.13099999999</v>
      </c>
      <c r="AB15" s="1">
        <v>200824.095</v>
      </c>
      <c r="AC15" s="1">
        <v>150576.37299999999</v>
      </c>
    </row>
    <row r="16" spans="1:29">
      <c r="A16" s="1" t="s">
        <v>9</v>
      </c>
      <c r="B16" s="1">
        <v>104941</v>
      </c>
      <c r="C16" s="1">
        <v>109193</v>
      </c>
      <c r="D16" s="1">
        <v>119790</v>
      </c>
      <c r="E16" s="1">
        <v>169214.98</v>
      </c>
      <c r="F16" s="42">
        <v>138296.715</v>
      </c>
      <c r="G16" s="1">
        <v>181430.302</v>
      </c>
      <c r="H16" s="1">
        <v>196953.753</v>
      </c>
      <c r="I16" s="1">
        <v>162050.533</v>
      </c>
      <c r="J16" s="1">
        <v>208516.30600000001</v>
      </c>
      <c r="K16" s="1">
        <v>207354.266</v>
      </c>
      <c r="L16" s="1">
        <v>244895.97</v>
      </c>
      <c r="M16" s="1">
        <v>277553.00900000002</v>
      </c>
      <c r="N16" s="1">
        <v>284179.054</v>
      </c>
      <c r="O16" s="1">
        <v>311208.84000000003</v>
      </c>
      <c r="P16" s="1">
        <v>314024.32500000001</v>
      </c>
      <c r="Q16" s="1">
        <v>331635.19300000003</v>
      </c>
      <c r="R16" s="1">
        <v>359867.02500000002</v>
      </c>
      <c r="S16" s="1">
        <v>383018.74599999998</v>
      </c>
      <c r="T16" s="1">
        <v>425053.821</v>
      </c>
      <c r="U16" s="1">
        <v>488220.04499999998</v>
      </c>
      <c r="V16" s="1">
        <v>541145.03599999996</v>
      </c>
      <c r="W16" s="1">
        <v>569683.30599999998</v>
      </c>
      <c r="X16" s="1">
        <v>599436.59299999999</v>
      </c>
      <c r="Y16" s="1">
        <v>588451.93000000005</v>
      </c>
      <c r="Z16" s="1">
        <v>605553.04799999995</v>
      </c>
      <c r="AA16" s="1">
        <v>626287.66</v>
      </c>
      <c r="AB16" s="1">
        <v>634114.52800000005</v>
      </c>
      <c r="AC16" s="1">
        <v>603662.71299999999</v>
      </c>
    </row>
    <row r="17" spans="1:29">
      <c r="A17" s="1" t="s">
        <v>10</v>
      </c>
      <c r="B17" s="1">
        <v>64004</v>
      </c>
      <c r="C17" s="1">
        <v>66111</v>
      </c>
      <c r="D17" s="1">
        <v>74650</v>
      </c>
      <c r="E17" s="1">
        <v>105343.63800000001</v>
      </c>
      <c r="F17" s="42">
        <v>105609.853</v>
      </c>
      <c r="G17" s="1">
        <v>115427.625</v>
      </c>
      <c r="H17" s="1">
        <v>125125.584</v>
      </c>
      <c r="I17" s="1">
        <v>142784.571</v>
      </c>
      <c r="J17" s="1">
        <v>162645.747</v>
      </c>
      <c r="K17" s="1">
        <v>163409.75399999999</v>
      </c>
      <c r="L17" s="1">
        <v>196266.217</v>
      </c>
      <c r="M17" s="1">
        <v>198978.07</v>
      </c>
      <c r="N17" s="1">
        <v>198119.49400000001</v>
      </c>
      <c r="O17" s="1">
        <v>206198.73699999999</v>
      </c>
      <c r="P17" s="1">
        <v>216760.29</v>
      </c>
      <c r="Q17" s="1">
        <v>228062.65400000001</v>
      </c>
      <c r="R17" s="1">
        <v>235415.81899999999</v>
      </c>
      <c r="S17" s="1">
        <v>253073.78400000001</v>
      </c>
      <c r="T17" s="1">
        <v>282013.50300000003</v>
      </c>
      <c r="U17" s="1">
        <v>312487.67</v>
      </c>
      <c r="V17" s="1">
        <v>356965.48499999999</v>
      </c>
      <c r="W17" s="1">
        <v>356415.71100000001</v>
      </c>
      <c r="X17" s="1">
        <v>357302.32900000003</v>
      </c>
      <c r="Y17" s="1">
        <v>365542.55099999998</v>
      </c>
      <c r="Z17" s="1">
        <v>365919.05900000001</v>
      </c>
      <c r="AA17" s="1">
        <v>357380.93199999997</v>
      </c>
      <c r="AB17" s="1">
        <v>357024.22499999998</v>
      </c>
      <c r="AC17" s="1">
        <v>376851.80900000001</v>
      </c>
    </row>
    <row r="18" spans="1:29">
      <c r="A18" s="1" t="s">
        <v>11</v>
      </c>
      <c r="B18" s="1">
        <v>155963</v>
      </c>
      <c r="C18" s="1">
        <v>172129</v>
      </c>
      <c r="D18" s="1">
        <v>193426</v>
      </c>
      <c r="E18" s="1">
        <v>273492.37900000002</v>
      </c>
      <c r="F18" s="42">
        <v>281740.22899999999</v>
      </c>
      <c r="G18" s="1">
        <v>312743.30300000001</v>
      </c>
      <c r="H18" s="1">
        <v>334668.43199999997</v>
      </c>
      <c r="I18" s="1">
        <v>352050.658</v>
      </c>
      <c r="J18" s="1">
        <v>358212.83399999997</v>
      </c>
      <c r="K18" s="1">
        <v>381656.25063000014</v>
      </c>
      <c r="L18" s="1">
        <v>488916.41</v>
      </c>
      <c r="M18" s="1">
        <v>490780.685</v>
      </c>
      <c r="N18" s="1">
        <v>497644.174</v>
      </c>
      <c r="O18" s="1">
        <v>534940.29399999999</v>
      </c>
      <c r="P18" s="1">
        <v>568332.46600000001</v>
      </c>
      <c r="Q18" s="1">
        <v>637570.07400000002</v>
      </c>
      <c r="R18" s="1">
        <v>684674.84</v>
      </c>
      <c r="S18" s="1">
        <v>736593.71100000001</v>
      </c>
      <c r="T18" s="1">
        <v>788325.96600000001</v>
      </c>
      <c r="U18" s="1">
        <v>810888.76100000006</v>
      </c>
      <c r="V18" s="1">
        <v>941510.01199999999</v>
      </c>
      <c r="W18" s="1">
        <v>1015873.035</v>
      </c>
      <c r="X18" s="1">
        <v>993694.49699999997</v>
      </c>
      <c r="Y18" s="1">
        <v>1033378.061</v>
      </c>
      <c r="Z18" s="1">
        <v>1014976.749</v>
      </c>
      <c r="AA18" s="1">
        <v>1027808.763</v>
      </c>
      <c r="AB18" s="1">
        <v>968321.62</v>
      </c>
      <c r="AC18" s="1">
        <v>966497.61800000002</v>
      </c>
    </row>
    <row r="19" spans="1:29">
      <c r="A19" s="1" t="s">
        <v>12</v>
      </c>
      <c r="B19" s="1">
        <v>47817</v>
      </c>
      <c r="C19" s="1">
        <v>50354</v>
      </c>
      <c r="D19" s="1">
        <v>56396</v>
      </c>
      <c r="E19" s="1">
        <v>76371.894</v>
      </c>
      <c r="F19" s="42">
        <v>86031.054999999993</v>
      </c>
      <c r="G19" s="1">
        <v>86210.448000000004</v>
      </c>
      <c r="H19" s="1">
        <v>86971.361999999994</v>
      </c>
      <c r="I19" s="1">
        <v>89545.626999999993</v>
      </c>
      <c r="J19" s="1">
        <v>91697.369000000006</v>
      </c>
      <c r="K19" s="1">
        <v>104283.59018000001</v>
      </c>
      <c r="L19" s="1">
        <v>115307.31</v>
      </c>
      <c r="M19" s="1">
        <v>168696.78200000001</v>
      </c>
      <c r="N19" s="1">
        <v>143804.92199999999</v>
      </c>
      <c r="O19" s="1">
        <v>137022.14000000001</v>
      </c>
      <c r="P19" s="1">
        <v>131026.682</v>
      </c>
      <c r="Q19" s="1">
        <v>139764.19399999999</v>
      </c>
      <c r="R19" s="1">
        <v>146865.79800000001</v>
      </c>
      <c r="S19" s="1">
        <v>148319.12899999999</v>
      </c>
      <c r="T19" s="1">
        <v>179108.19399999999</v>
      </c>
      <c r="U19" s="1">
        <v>207296.98199999999</v>
      </c>
      <c r="V19" s="1">
        <v>226867.25899999999</v>
      </c>
      <c r="W19" s="1">
        <v>241183.40100000001</v>
      </c>
      <c r="X19" s="1">
        <v>260131.56099999999</v>
      </c>
      <c r="Y19" s="1">
        <v>269157.90100000001</v>
      </c>
      <c r="Z19" s="1">
        <v>266362.84000000003</v>
      </c>
      <c r="AA19" s="1">
        <v>257461.83799999999</v>
      </c>
      <c r="AB19" s="1">
        <v>255808.315</v>
      </c>
      <c r="AC19" s="1">
        <v>245689.89</v>
      </c>
    </row>
    <row r="20" spans="1:29">
      <c r="A20" s="1" t="s">
        <v>13</v>
      </c>
      <c r="B20" s="1">
        <v>51867</v>
      </c>
      <c r="C20" s="1">
        <v>53316</v>
      </c>
      <c r="D20" s="1">
        <v>59771</v>
      </c>
      <c r="E20" s="1">
        <v>92385.486999999994</v>
      </c>
      <c r="F20" s="42">
        <v>97991.304000000004</v>
      </c>
      <c r="G20" s="1">
        <v>104603.16</v>
      </c>
      <c r="H20" s="1">
        <v>114356.749</v>
      </c>
      <c r="I20" s="1">
        <v>121483.13400000001</v>
      </c>
      <c r="J20" s="1">
        <v>127686.673</v>
      </c>
      <c r="K20" s="1">
        <v>136928.18900000001</v>
      </c>
      <c r="L20" s="1">
        <v>169879.97500000001</v>
      </c>
      <c r="M20" s="1">
        <v>177002.791</v>
      </c>
      <c r="N20" s="1">
        <v>178366.236</v>
      </c>
      <c r="O20" s="1">
        <v>191098.97</v>
      </c>
      <c r="P20" s="1">
        <v>194354.77299999999</v>
      </c>
      <c r="Q20" s="1">
        <v>202335.383</v>
      </c>
      <c r="R20" s="1">
        <v>218728.103</v>
      </c>
      <c r="S20" s="1">
        <v>242363.728</v>
      </c>
      <c r="T20" s="1">
        <v>281938.837</v>
      </c>
      <c r="U20" s="1">
        <v>322246.56599999999</v>
      </c>
      <c r="V20" s="1">
        <v>328414.32400000002</v>
      </c>
      <c r="W20" s="1">
        <v>340171.136</v>
      </c>
      <c r="X20" s="1">
        <v>346187.10700000002</v>
      </c>
      <c r="Y20" s="1">
        <v>354621.81900000002</v>
      </c>
      <c r="Z20" s="1">
        <v>356119.076</v>
      </c>
      <c r="AA20" s="1">
        <v>361372.62800000003</v>
      </c>
      <c r="AB20" s="1">
        <v>353459.20799999998</v>
      </c>
      <c r="AC20" s="1">
        <v>375939.908</v>
      </c>
    </row>
    <row r="21" spans="1:29" s="11" customFormat="1">
      <c r="A21" s="1" t="s">
        <v>14</v>
      </c>
      <c r="B21" s="1">
        <v>63537</v>
      </c>
      <c r="C21" s="1">
        <v>71555</v>
      </c>
      <c r="D21" s="1">
        <v>75963</v>
      </c>
      <c r="E21" s="1">
        <v>101231.978</v>
      </c>
      <c r="F21" s="42">
        <v>102524.465</v>
      </c>
      <c r="G21" s="1">
        <v>117293.069</v>
      </c>
      <c r="H21" s="1">
        <v>128810.787</v>
      </c>
      <c r="I21" s="1">
        <v>135538.84400000001</v>
      </c>
      <c r="J21" s="1">
        <v>136961.57199999999</v>
      </c>
      <c r="K21" s="1">
        <v>142259.78400000001</v>
      </c>
      <c r="L21" s="1">
        <v>157632.71900000001</v>
      </c>
      <c r="M21" s="1">
        <v>176066.43599999999</v>
      </c>
      <c r="N21" s="1">
        <v>172544.4</v>
      </c>
      <c r="O21" s="1">
        <v>179446.973</v>
      </c>
      <c r="P21" s="1">
        <v>181713.019</v>
      </c>
      <c r="Q21" s="1">
        <v>188992.084</v>
      </c>
      <c r="R21" s="1">
        <v>193181.677</v>
      </c>
      <c r="S21" s="1">
        <v>205941.24600000001</v>
      </c>
      <c r="T21" s="1">
        <v>218135.62299999999</v>
      </c>
      <c r="U21" s="1">
        <v>231438.07500000001</v>
      </c>
      <c r="V21" s="1">
        <v>266280.03600000002</v>
      </c>
      <c r="W21" s="1">
        <v>286976.81099999999</v>
      </c>
      <c r="X21" s="1">
        <v>299665.99300000002</v>
      </c>
      <c r="Y21" s="1">
        <v>305739.272</v>
      </c>
      <c r="Z21" s="1">
        <v>302862.13099999999</v>
      </c>
      <c r="AA21" s="1">
        <v>290590.93099999998</v>
      </c>
      <c r="AB21" s="1">
        <v>284859.93599999999</v>
      </c>
      <c r="AC21" s="1">
        <v>297256.04100000003</v>
      </c>
    </row>
    <row r="22" spans="1:29">
      <c r="A22" s="1" t="s">
        <v>15</v>
      </c>
      <c r="B22" s="1">
        <v>344238</v>
      </c>
      <c r="C22" s="1">
        <v>371450</v>
      </c>
      <c r="D22" s="1">
        <v>369679</v>
      </c>
      <c r="E22" s="1">
        <v>511214.74300000002</v>
      </c>
      <c r="F22" s="42">
        <v>523364.80800000002</v>
      </c>
      <c r="G22" s="1">
        <v>626009.20700000005</v>
      </c>
      <c r="H22" s="1">
        <v>689265.09100000001</v>
      </c>
      <c r="I22" s="1">
        <v>677795.13199999998</v>
      </c>
      <c r="J22" s="1">
        <v>729820.41899999999</v>
      </c>
      <c r="K22" s="1">
        <v>779662.772</v>
      </c>
      <c r="L22" s="1">
        <v>908999.01199999999</v>
      </c>
      <c r="M22" s="1">
        <v>962496.34499999997</v>
      </c>
      <c r="N22" s="1">
        <v>1054771.794</v>
      </c>
      <c r="O22" s="1">
        <v>1105907.774</v>
      </c>
      <c r="P22" s="1">
        <v>1101139.1440000001</v>
      </c>
      <c r="Q22" s="1">
        <v>1152571.156</v>
      </c>
      <c r="R22" s="1">
        <v>1221744.953</v>
      </c>
      <c r="S22" s="1">
        <v>1290485.5819999999</v>
      </c>
      <c r="T22" s="1">
        <v>1386277.662</v>
      </c>
      <c r="U22" s="1">
        <v>1568801.7749999999</v>
      </c>
      <c r="V22" s="1">
        <v>2014107.5859999999</v>
      </c>
      <c r="W22" s="1">
        <v>2133657.1</v>
      </c>
      <c r="X22" s="1">
        <v>2064192.0209999999</v>
      </c>
      <c r="Y22" s="1">
        <v>2131377.4980000001</v>
      </c>
      <c r="Z22" s="1">
        <v>2197111.9410000001</v>
      </c>
      <c r="AA22" s="1">
        <v>2166900.4470000002</v>
      </c>
      <c r="AB22" s="1">
        <v>2243007.8080000002</v>
      </c>
      <c r="AC22" s="1">
        <v>2335697.6030000001</v>
      </c>
    </row>
    <row r="23" spans="1:29">
      <c r="A23" s="1" t="s">
        <v>16</v>
      </c>
      <c r="B23" s="1">
        <v>88722</v>
      </c>
      <c r="C23" s="1">
        <v>98720</v>
      </c>
      <c r="D23" s="1">
        <v>104046</v>
      </c>
      <c r="E23" s="1">
        <v>148850.408</v>
      </c>
      <c r="F23" s="42">
        <v>151909.429</v>
      </c>
      <c r="G23" s="1">
        <v>171657.859</v>
      </c>
      <c r="H23" s="1">
        <v>171171.36300000001</v>
      </c>
      <c r="I23" s="1">
        <v>179881.87400000001</v>
      </c>
      <c r="J23" s="1">
        <v>182713.17800000001</v>
      </c>
      <c r="K23" s="1">
        <v>191115.39300000001</v>
      </c>
      <c r="L23" s="1">
        <v>233769.212</v>
      </c>
      <c r="M23" s="1">
        <v>244656.408</v>
      </c>
      <c r="N23" s="1">
        <v>257857.85</v>
      </c>
      <c r="O23" s="1">
        <v>263725.80099999998</v>
      </c>
      <c r="P23" s="1">
        <v>273765.14299999998</v>
      </c>
      <c r="Q23" s="1">
        <v>295992.842</v>
      </c>
      <c r="R23" s="1">
        <v>326974.08899999998</v>
      </c>
      <c r="S23" s="1">
        <v>360441.10100000002</v>
      </c>
      <c r="T23" s="1">
        <v>442679.897</v>
      </c>
      <c r="U23" s="1">
        <v>452060.9</v>
      </c>
      <c r="V23" s="1">
        <v>484080.94500000001</v>
      </c>
      <c r="W23" s="1">
        <v>512016.89399999997</v>
      </c>
      <c r="X23" s="1">
        <v>554104.00600000005</v>
      </c>
      <c r="Y23" s="1">
        <v>572902.73499999999</v>
      </c>
      <c r="Z23" s="1">
        <v>565405.79799999995</v>
      </c>
      <c r="AA23" s="1">
        <v>566677.196</v>
      </c>
      <c r="AB23" s="1">
        <v>556035.74600000004</v>
      </c>
      <c r="AC23" s="1">
        <v>550013.32499999995</v>
      </c>
    </row>
    <row r="24" spans="1:29">
      <c r="A24" s="24" t="s">
        <v>17</v>
      </c>
      <c r="B24" s="24">
        <v>7436</v>
      </c>
      <c r="C24" s="24">
        <v>8053</v>
      </c>
      <c r="D24" s="24">
        <v>8263</v>
      </c>
      <c r="E24" s="24">
        <v>8470.5149999999994</v>
      </c>
      <c r="F24" s="45">
        <v>8616.77</v>
      </c>
      <c r="G24" s="24">
        <v>9180</v>
      </c>
      <c r="H24" s="24">
        <v>9723.8230000000003</v>
      </c>
      <c r="I24" s="24">
        <v>10395.808999999999</v>
      </c>
      <c r="J24" s="24">
        <v>12185.912</v>
      </c>
      <c r="K24" s="24">
        <v>11920.11149000001</v>
      </c>
      <c r="L24" s="24">
        <v>11945.53</v>
      </c>
      <c r="M24" s="24">
        <v>18408.396000000001</v>
      </c>
      <c r="N24" s="24">
        <v>14321.37</v>
      </c>
      <c r="O24" s="24">
        <v>13374.097</v>
      </c>
      <c r="P24" s="24">
        <v>9624.3160000000007</v>
      </c>
      <c r="Q24" s="24">
        <v>23571.883999999998</v>
      </c>
      <c r="R24" s="24">
        <v>25063.88</v>
      </c>
      <c r="S24" s="24">
        <v>36692.595999999998</v>
      </c>
      <c r="T24" s="24">
        <v>40172.42</v>
      </c>
      <c r="U24" s="24">
        <v>47413.686999999998</v>
      </c>
      <c r="V24" s="24">
        <v>68478.851999999999</v>
      </c>
      <c r="W24" s="24">
        <v>71047.067999999999</v>
      </c>
      <c r="X24" s="24">
        <v>71652.964000000007</v>
      </c>
      <c r="Y24" s="24">
        <v>72275.509000000005</v>
      </c>
      <c r="Z24" s="24">
        <v>69036.19</v>
      </c>
      <c r="AA24" s="24">
        <v>73867.807000000001</v>
      </c>
      <c r="AB24" s="24">
        <v>70914.589000000007</v>
      </c>
      <c r="AC24" s="24">
        <v>63604.207999999999</v>
      </c>
    </row>
    <row r="25" spans="1:29">
      <c r="A25" s="7" t="s">
        <v>120</v>
      </c>
      <c r="B25" s="48">
        <f>SUM(B27:B39)</f>
        <v>0</v>
      </c>
      <c r="C25" s="48">
        <f t="shared" ref="C25:AC25" si="10">SUM(C27:C39)</f>
        <v>0</v>
      </c>
      <c r="D25" s="48">
        <f t="shared" si="10"/>
        <v>0</v>
      </c>
      <c r="E25" s="48">
        <f t="shared" si="10"/>
        <v>0</v>
      </c>
      <c r="F25" s="48">
        <f t="shared" si="10"/>
        <v>2457175.625</v>
      </c>
      <c r="G25" s="48">
        <f t="shared" si="10"/>
        <v>0</v>
      </c>
      <c r="H25" s="48">
        <f t="shared" si="10"/>
        <v>0</v>
      </c>
      <c r="I25" s="48">
        <f t="shared" si="10"/>
        <v>2582428.764</v>
      </c>
      <c r="J25" s="48">
        <f t="shared" si="10"/>
        <v>0</v>
      </c>
      <c r="K25" s="48">
        <f t="shared" si="10"/>
        <v>3063225.0739700003</v>
      </c>
      <c r="L25" s="48">
        <f t="shared" si="10"/>
        <v>3077589.8699999996</v>
      </c>
      <c r="M25" s="48">
        <f t="shared" si="10"/>
        <v>3333843.8559999997</v>
      </c>
      <c r="N25" s="48">
        <f t="shared" si="10"/>
        <v>3658751.2390000005</v>
      </c>
      <c r="O25" s="48">
        <f t="shared" si="10"/>
        <v>3626278.8190000001</v>
      </c>
      <c r="P25" s="48">
        <f t="shared" si="10"/>
        <v>3593858.6400000006</v>
      </c>
      <c r="Q25" s="48">
        <f t="shared" si="10"/>
        <v>4440565.1350000007</v>
      </c>
      <c r="R25" s="48">
        <f t="shared" si="10"/>
        <v>4783858.3909999998</v>
      </c>
      <c r="S25" s="48">
        <f t="shared" si="10"/>
        <v>5039095.3110000007</v>
      </c>
      <c r="T25" s="48">
        <f t="shared" si="10"/>
        <v>5560839.4069999997</v>
      </c>
      <c r="U25" s="48">
        <f t="shared" si="10"/>
        <v>5981988.1030000011</v>
      </c>
      <c r="V25" s="48">
        <f t="shared" si="10"/>
        <v>6716506.6879999992</v>
      </c>
      <c r="W25" s="48">
        <f t="shared" si="10"/>
        <v>7066409.2570000002</v>
      </c>
      <c r="X25" s="1">
        <v>7003376.4349999996</v>
      </c>
      <c r="Y25" s="48">
        <f t="shared" si="10"/>
        <v>5115188.0089999996</v>
      </c>
      <c r="Z25" s="48">
        <f t="shared" si="10"/>
        <v>5272633.6010000007</v>
      </c>
      <c r="AA25" s="48">
        <f t="shared" si="10"/>
        <v>5507203.034</v>
      </c>
      <c r="AB25" s="48">
        <f t="shared" si="10"/>
        <v>7664509.9740000004</v>
      </c>
      <c r="AC25" s="48">
        <f t="shared" si="10"/>
        <v>7917708.652999999</v>
      </c>
    </row>
    <row r="26" spans="1:29">
      <c r="A26" s="7" t="s">
        <v>119</v>
      </c>
      <c r="X26" s="1">
        <v>0</v>
      </c>
    </row>
    <row r="27" spans="1:29">
      <c r="A27" s="1" t="s">
        <v>85</v>
      </c>
      <c r="F27" s="42">
        <v>1320.6089999999999</v>
      </c>
      <c r="I27" s="1">
        <v>1634.383</v>
      </c>
      <c r="K27" s="1">
        <v>2067.7779999999998</v>
      </c>
      <c r="L27" s="1">
        <v>5716.598</v>
      </c>
      <c r="M27" s="1">
        <v>1814.8050000000001</v>
      </c>
      <c r="N27" s="1">
        <v>4969.4279999999999</v>
      </c>
      <c r="O27" s="1">
        <v>4705.2150000000001</v>
      </c>
      <c r="P27" s="1">
        <v>5581.6559999999999</v>
      </c>
      <c r="Q27" s="1">
        <v>2256.6280000000002</v>
      </c>
      <c r="R27" s="1">
        <v>4607.5169999999998</v>
      </c>
      <c r="S27" s="1">
        <v>5167.9269999999997</v>
      </c>
      <c r="T27" s="1">
        <v>6054.5320000000002</v>
      </c>
      <c r="U27" s="1">
        <v>6080.1509999999998</v>
      </c>
      <c r="V27" s="1">
        <v>7443.1670000000004</v>
      </c>
      <c r="W27" s="1">
        <v>3269.23</v>
      </c>
      <c r="X27" s="1">
        <v>8456.4060000000009</v>
      </c>
      <c r="Y27" s="1">
        <v>2491.663</v>
      </c>
      <c r="AB27" s="1">
        <v>6410.9</v>
      </c>
      <c r="AC27" s="1">
        <v>6741.2479999999996</v>
      </c>
    </row>
    <row r="28" spans="1:29">
      <c r="A28" s="1" t="s">
        <v>86</v>
      </c>
      <c r="F28" s="42">
        <v>169254.77900000001</v>
      </c>
      <c r="I28" s="1">
        <v>188501.802</v>
      </c>
      <c r="K28" s="1">
        <v>217301.43461000003</v>
      </c>
      <c r="L28" s="1">
        <v>258364.24400000001</v>
      </c>
      <c r="M28" s="1">
        <v>286826.55200000003</v>
      </c>
      <c r="N28" s="1">
        <v>295752.98</v>
      </c>
      <c r="O28" s="1">
        <v>313257.51199999999</v>
      </c>
      <c r="P28" s="1">
        <v>344701.24300000002</v>
      </c>
      <c r="Q28" s="1">
        <v>358006.31599999999</v>
      </c>
      <c r="R28" s="1">
        <v>381179.777</v>
      </c>
      <c r="S28" s="1">
        <v>405610.16600000003</v>
      </c>
      <c r="T28" s="1">
        <v>462117.73100000003</v>
      </c>
      <c r="U28" s="1">
        <v>486937.52299999999</v>
      </c>
      <c r="V28" s="1">
        <v>528692.69799999997</v>
      </c>
      <c r="W28" s="1">
        <v>543828.64899999998</v>
      </c>
      <c r="X28" s="1">
        <v>554359.05799999996</v>
      </c>
      <c r="Y28" s="1">
        <v>140337.02499999999</v>
      </c>
      <c r="Z28" s="1">
        <v>143058.43100000001</v>
      </c>
      <c r="AA28" s="1">
        <v>143486.45300000001</v>
      </c>
      <c r="AB28" s="1">
        <v>564022.93599999999</v>
      </c>
      <c r="AC28" s="1">
        <v>537837.66899999999</v>
      </c>
    </row>
    <row r="29" spans="1:29">
      <c r="A29" s="1" t="s">
        <v>87</v>
      </c>
      <c r="F29" s="42">
        <v>1517445.6669999999</v>
      </c>
      <c r="I29" s="1">
        <v>1468959.648</v>
      </c>
      <c r="K29" s="1">
        <v>1783111.1463900004</v>
      </c>
      <c r="L29" s="1">
        <v>1545521.5330000001</v>
      </c>
      <c r="M29" s="1">
        <v>1681881.0490000001</v>
      </c>
      <c r="N29" s="1">
        <v>1928530.5220000001</v>
      </c>
      <c r="O29" s="1">
        <v>1829250.602</v>
      </c>
      <c r="P29" s="1">
        <v>1796993.6710000001</v>
      </c>
      <c r="Q29" s="1">
        <v>2576177.2850000001</v>
      </c>
      <c r="R29" s="1">
        <v>2835144.3339999998</v>
      </c>
      <c r="S29" s="1">
        <v>3078406.51</v>
      </c>
      <c r="T29" s="1">
        <v>3383189.6519999998</v>
      </c>
      <c r="U29" s="1">
        <v>3430196.7059999998</v>
      </c>
      <c r="V29" s="1">
        <v>3736899.0580000002</v>
      </c>
      <c r="W29" s="1">
        <v>4008019.8659999999</v>
      </c>
      <c r="X29" s="1">
        <v>3917614.4679999999</v>
      </c>
      <c r="Y29" s="1">
        <v>2862747.608</v>
      </c>
      <c r="Z29" s="1">
        <v>2996597.5449999999</v>
      </c>
      <c r="AA29" s="1">
        <v>3242335.0559999999</v>
      </c>
      <c r="AB29" s="1">
        <v>4492516.09</v>
      </c>
      <c r="AC29" s="1">
        <v>4770369.76</v>
      </c>
    </row>
    <row r="30" spans="1:29">
      <c r="A30" s="1" t="s">
        <v>88</v>
      </c>
      <c r="F30" s="42">
        <v>91399.467999999993</v>
      </c>
      <c r="I30" s="1">
        <v>114345.867</v>
      </c>
      <c r="K30" s="1">
        <v>134232.011</v>
      </c>
      <c r="L30" s="1">
        <v>147850.95800000001</v>
      </c>
      <c r="M30" s="1">
        <v>153855.70199999999</v>
      </c>
      <c r="N30" s="1">
        <v>163998.283</v>
      </c>
      <c r="O30" s="1">
        <v>167004.28400000001</v>
      </c>
      <c r="P30" s="1">
        <v>158386.41200000001</v>
      </c>
      <c r="Q30" s="1">
        <v>160811.81200000001</v>
      </c>
      <c r="R30" s="1">
        <v>166823.231</v>
      </c>
      <c r="S30" s="1">
        <v>174640.14499999999</v>
      </c>
      <c r="T30" s="1">
        <v>198741.655</v>
      </c>
      <c r="U30" s="1">
        <v>212079.65599999999</v>
      </c>
      <c r="V30" s="1">
        <v>237697.82500000001</v>
      </c>
      <c r="W30" s="1">
        <v>261857.72399999999</v>
      </c>
      <c r="X30" s="1">
        <v>267493.29599999997</v>
      </c>
      <c r="Y30" s="1">
        <v>122763.518</v>
      </c>
      <c r="Z30" s="1">
        <v>126788.8</v>
      </c>
      <c r="AA30" s="1">
        <v>129154.89599999999</v>
      </c>
      <c r="AB30" s="1">
        <v>280271.44900000002</v>
      </c>
      <c r="AC30" s="1">
        <v>298288.58299999998</v>
      </c>
    </row>
    <row r="31" spans="1:29">
      <c r="A31" s="1" t="s">
        <v>91</v>
      </c>
      <c r="F31" s="42">
        <v>54323.171000000002</v>
      </c>
      <c r="I31" s="1">
        <v>59302.275999999998</v>
      </c>
      <c r="K31" s="1">
        <v>57915.464999999997</v>
      </c>
      <c r="L31" s="1">
        <v>61775.800999999999</v>
      </c>
      <c r="M31" s="1">
        <v>62258.699000000001</v>
      </c>
      <c r="N31" s="1">
        <v>64114.997000000003</v>
      </c>
      <c r="O31" s="1">
        <v>75228.006999999998</v>
      </c>
      <c r="P31" s="1">
        <v>66071.737999999998</v>
      </c>
      <c r="Q31" s="1">
        <v>67804.040999999997</v>
      </c>
      <c r="R31" s="1">
        <v>67461.67</v>
      </c>
      <c r="S31" s="1">
        <v>75616.956000000006</v>
      </c>
      <c r="T31" s="1">
        <v>85060.508000000002</v>
      </c>
      <c r="U31" s="1">
        <v>115730.492</v>
      </c>
      <c r="V31" s="1">
        <v>131291.39799999999</v>
      </c>
      <c r="W31" s="1">
        <v>130955.86</v>
      </c>
      <c r="X31" s="1">
        <v>140687.67199999999</v>
      </c>
      <c r="Y31" s="1">
        <v>155373.87599999999</v>
      </c>
      <c r="Z31" s="1">
        <v>159165.89000000001</v>
      </c>
      <c r="AA31" s="1">
        <v>182215.86199999999</v>
      </c>
      <c r="AB31" s="1">
        <v>169062.375</v>
      </c>
      <c r="AC31" s="1">
        <v>170770.34400000001</v>
      </c>
    </row>
    <row r="32" spans="1:29">
      <c r="A32" s="1" t="s">
        <v>92</v>
      </c>
      <c r="F32" s="42">
        <v>14701.38</v>
      </c>
      <c r="I32" s="1">
        <v>17675.537</v>
      </c>
      <c r="K32" s="1">
        <v>23779.995999999999</v>
      </c>
      <c r="L32" s="1">
        <v>28084.648000000001</v>
      </c>
      <c r="M32" s="1">
        <v>30477.014999999999</v>
      </c>
      <c r="N32" s="1">
        <v>31842.972000000002</v>
      </c>
      <c r="O32" s="1">
        <v>31434.080000000002</v>
      </c>
      <c r="P32" s="1">
        <v>33049.841999999997</v>
      </c>
      <c r="Q32" s="1">
        <v>35321.108999999997</v>
      </c>
      <c r="R32" s="1">
        <v>36875.747000000003</v>
      </c>
      <c r="S32" s="1">
        <v>37989.569000000003</v>
      </c>
      <c r="T32" s="1">
        <v>38330.033000000003</v>
      </c>
      <c r="U32" s="1">
        <v>40535.038</v>
      </c>
      <c r="V32" s="1">
        <v>44852.624000000003</v>
      </c>
      <c r="W32" s="1">
        <v>44378.495000000003</v>
      </c>
      <c r="X32" s="1">
        <v>69125.451000000001</v>
      </c>
      <c r="Y32" s="1">
        <v>70717.611999999994</v>
      </c>
      <c r="Z32" s="1">
        <v>76005.789000000004</v>
      </c>
      <c r="AA32" s="1">
        <v>76810.207999999999</v>
      </c>
      <c r="AB32" s="1">
        <v>81143.37</v>
      </c>
      <c r="AC32" s="1">
        <v>85589.278999999995</v>
      </c>
    </row>
    <row r="33" spans="1:29">
      <c r="A33" s="1" t="s">
        <v>100</v>
      </c>
      <c r="F33" s="42">
        <v>7422.7330000000002</v>
      </c>
      <c r="I33" s="1">
        <v>17353.358</v>
      </c>
      <c r="K33" s="1">
        <v>14103.26525</v>
      </c>
      <c r="L33" s="1">
        <v>13969.312</v>
      </c>
      <c r="M33" s="1">
        <v>15757.370999999999</v>
      </c>
      <c r="N33" s="1">
        <v>18002.373</v>
      </c>
      <c r="O33" s="1">
        <v>17615.687999999998</v>
      </c>
      <c r="P33" s="1">
        <v>18076.932000000001</v>
      </c>
      <c r="Q33" s="1">
        <v>22489.036</v>
      </c>
      <c r="R33" s="1">
        <v>23638.458999999999</v>
      </c>
      <c r="S33" s="1">
        <v>26185.419000000002</v>
      </c>
      <c r="T33" s="1">
        <v>27369.933000000001</v>
      </c>
      <c r="U33" s="1">
        <v>30004.201000000001</v>
      </c>
      <c r="V33" s="1">
        <v>35120.93</v>
      </c>
      <c r="W33" s="1">
        <v>35342.944000000003</v>
      </c>
      <c r="X33" s="1">
        <v>36776.247000000003</v>
      </c>
      <c r="Y33" s="1">
        <v>35375.843000000001</v>
      </c>
      <c r="Z33" s="1">
        <v>36286.881999999998</v>
      </c>
      <c r="AA33" s="1">
        <v>38890.775000000001</v>
      </c>
      <c r="AB33" s="1">
        <v>42595.154999999999</v>
      </c>
      <c r="AC33" s="1">
        <v>42932.624000000003</v>
      </c>
    </row>
    <row r="34" spans="1:29">
      <c r="A34" s="1" t="s">
        <v>102</v>
      </c>
      <c r="F34" s="42">
        <v>33951.485000000001</v>
      </c>
      <c r="I34" s="1">
        <v>36211.531999999999</v>
      </c>
      <c r="K34" s="1">
        <v>55397</v>
      </c>
      <c r="L34" s="1">
        <v>78440</v>
      </c>
      <c r="M34" s="1">
        <v>76880</v>
      </c>
      <c r="N34" s="1">
        <v>87096</v>
      </c>
      <c r="O34" s="1">
        <v>91075</v>
      </c>
      <c r="P34" s="1">
        <v>30063</v>
      </c>
      <c r="Q34" s="1">
        <v>32672</v>
      </c>
      <c r="R34" s="1">
        <v>34114</v>
      </c>
      <c r="S34" s="1">
        <v>25567</v>
      </c>
      <c r="T34" s="1">
        <v>27282</v>
      </c>
      <c r="U34" s="1">
        <v>130993.10400000001</v>
      </c>
      <c r="V34" s="1">
        <v>162088.53200000001</v>
      </c>
      <c r="W34" s="1">
        <v>164835.87400000001</v>
      </c>
      <c r="X34" s="1">
        <v>159196.04399999999</v>
      </c>
      <c r="Y34" s="1">
        <v>155124.35800000001</v>
      </c>
      <c r="Z34" s="1">
        <v>160241.16099999999</v>
      </c>
      <c r="AA34" s="1">
        <v>171297.56700000001</v>
      </c>
      <c r="AB34" s="1">
        <v>166967.66699999999</v>
      </c>
      <c r="AC34" s="1">
        <v>170002.31200000001</v>
      </c>
    </row>
    <row r="35" spans="1:29">
      <c r="A35" s="1" t="s">
        <v>105</v>
      </c>
      <c r="F35" s="42">
        <v>56113.627</v>
      </c>
      <c r="I35" s="1">
        <v>74544.42</v>
      </c>
      <c r="K35" s="1">
        <v>85983.728160000028</v>
      </c>
      <c r="L35" s="1">
        <v>117337</v>
      </c>
      <c r="M35" s="1">
        <v>124536.568</v>
      </c>
      <c r="N35" s="1">
        <v>131836.53700000001</v>
      </c>
      <c r="O35" s="1">
        <v>137590.87299999999</v>
      </c>
      <c r="P35" s="1">
        <v>149162.02600000001</v>
      </c>
      <c r="Q35" s="1">
        <v>158114.67600000001</v>
      </c>
      <c r="R35" s="1">
        <v>164111.80799999999</v>
      </c>
      <c r="S35" s="1">
        <v>175682.416</v>
      </c>
      <c r="T35" s="1">
        <v>190830.51</v>
      </c>
      <c r="U35" s="1">
        <v>228179.91500000001</v>
      </c>
      <c r="V35" s="1">
        <v>239687.47500000001</v>
      </c>
      <c r="W35" s="1">
        <v>252274.53700000001</v>
      </c>
      <c r="X35" s="1">
        <v>252732.15</v>
      </c>
      <c r="Y35" s="1">
        <v>156599.573</v>
      </c>
      <c r="Z35" s="1">
        <v>170100.984</v>
      </c>
      <c r="AA35" s="1">
        <v>172552.527</v>
      </c>
      <c r="AB35" s="1">
        <v>264619.93099999998</v>
      </c>
      <c r="AC35" s="1">
        <v>266147.20500000002</v>
      </c>
    </row>
    <row r="36" spans="1:29">
      <c r="A36" s="1" t="s">
        <v>109</v>
      </c>
      <c r="F36" s="42">
        <v>167859.72899999999</v>
      </c>
      <c r="I36" s="1">
        <v>183833.43400000001</v>
      </c>
      <c r="K36" s="1">
        <v>209919.63580999995</v>
      </c>
      <c r="L36" s="1">
        <v>251245.42199999999</v>
      </c>
      <c r="M36" s="1">
        <v>253776.326</v>
      </c>
      <c r="N36" s="1">
        <v>269913.07199999999</v>
      </c>
      <c r="O36" s="1">
        <v>271077.598</v>
      </c>
      <c r="P36" s="1">
        <v>271505.94099999999</v>
      </c>
      <c r="Q36" s="1">
        <v>281364.40999999997</v>
      </c>
      <c r="R36" s="1">
        <v>291553.90299999999</v>
      </c>
      <c r="S36" s="1">
        <v>313391.55200000003</v>
      </c>
      <c r="T36" s="1">
        <v>342572.95600000001</v>
      </c>
      <c r="U36" s="1">
        <v>370223.58399999997</v>
      </c>
      <c r="V36" s="1">
        <v>449139.46899999998</v>
      </c>
      <c r="W36" s="1">
        <v>463563.96299999999</v>
      </c>
      <c r="X36" s="1">
        <v>484288.26500000001</v>
      </c>
      <c r="Y36" s="1">
        <v>481312.86700000003</v>
      </c>
      <c r="Z36" s="1">
        <v>481300.57199999999</v>
      </c>
      <c r="AA36" s="1">
        <v>421883.98499999999</v>
      </c>
      <c r="AB36" s="1">
        <v>521311.50900000002</v>
      </c>
      <c r="AC36" s="1">
        <v>490337.98</v>
      </c>
    </row>
    <row r="37" spans="1:29">
      <c r="A37" s="1" t="s">
        <v>113</v>
      </c>
      <c r="F37" s="42">
        <v>53316.648000000001</v>
      </c>
      <c r="I37" s="1">
        <v>50912.178999999996</v>
      </c>
      <c r="K37" s="1">
        <v>58754.587</v>
      </c>
      <c r="L37" s="1">
        <v>58602.889000000003</v>
      </c>
      <c r="M37" s="1">
        <v>69662.432000000001</v>
      </c>
      <c r="N37" s="1">
        <v>68928.191000000006</v>
      </c>
      <c r="O37" s="1">
        <v>67275.546000000002</v>
      </c>
      <c r="P37" s="1">
        <v>77898.536999999997</v>
      </c>
      <c r="Q37" s="1">
        <v>86446.244000000006</v>
      </c>
      <c r="R37" s="1">
        <v>88178.168000000005</v>
      </c>
      <c r="S37" s="1">
        <v>100324.087</v>
      </c>
      <c r="T37" s="1">
        <v>114041.177</v>
      </c>
      <c r="U37" s="1">
        <v>107817.054</v>
      </c>
      <c r="V37" s="1">
        <v>159497.62899999999</v>
      </c>
      <c r="W37" s="1">
        <v>133677.492</v>
      </c>
      <c r="X37" s="1">
        <v>113025.925</v>
      </c>
      <c r="Y37" s="1">
        <v>143980.611</v>
      </c>
      <c r="Z37" s="1">
        <v>145529.22399999999</v>
      </c>
      <c r="AA37" s="1">
        <v>145905.20199999999</v>
      </c>
      <c r="AB37" s="1">
        <v>116025.30100000001</v>
      </c>
      <c r="AC37" s="1">
        <v>122811.656</v>
      </c>
    </row>
    <row r="38" spans="1:29">
      <c r="A38" s="1" t="s">
        <v>115</v>
      </c>
      <c r="F38" s="42">
        <v>254407.478</v>
      </c>
      <c r="I38" s="1">
        <v>333908.408</v>
      </c>
      <c r="K38" s="1">
        <v>383314.59175000002</v>
      </c>
      <c r="L38" s="1">
        <v>471718.83</v>
      </c>
      <c r="M38" s="1">
        <v>534888.36100000003</v>
      </c>
      <c r="N38" s="1">
        <v>546711.49699999997</v>
      </c>
      <c r="O38" s="1">
        <v>569208.70299999998</v>
      </c>
      <c r="P38" s="1">
        <v>588068.91099999996</v>
      </c>
      <c r="Q38" s="1">
        <v>602936.02800000005</v>
      </c>
      <c r="R38" s="1">
        <v>628220.60400000005</v>
      </c>
      <c r="S38" s="1">
        <v>554336.17000000004</v>
      </c>
      <c r="T38" s="1">
        <v>605325.44700000004</v>
      </c>
      <c r="U38" s="1">
        <v>740104.48499999999</v>
      </c>
      <c r="V38" s="1">
        <v>883935.40399999998</v>
      </c>
      <c r="W38" s="1">
        <v>925238.81299999997</v>
      </c>
      <c r="X38" s="1">
        <v>891989</v>
      </c>
      <c r="Y38" s="1">
        <v>677433.01399999997</v>
      </c>
      <c r="Z38" s="1">
        <v>666789.929</v>
      </c>
      <c r="AA38" s="1">
        <v>669299.74899999995</v>
      </c>
      <c r="AB38" s="1">
        <v>850839.14399999997</v>
      </c>
      <c r="AC38" s="1">
        <v>855820.37300000002</v>
      </c>
    </row>
    <row r="39" spans="1:29">
      <c r="A39" s="24" t="s">
        <v>117</v>
      </c>
      <c r="B39" s="24"/>
      <c r="C39" s="24"/>
      <c r="D39" s="24"/>
      <c r="E39" s="24"/>
      <c r="F39" s="45">
        <v>35658.851000000002</v>
      </c>
      <c r="G39" s="24"/>
      <c r="H39" s="24"/>
      <c r="I39" s="24">
        <v>35245.919999999998</v>
      </c>
      <c r="J39" s="24"/>
      <c r="K39" s="24">
        <v>37344.434999999998</v>
      </c>
      <c r="L39" s="24">
        <v>38962.635000000002</v>
      </c>
      <c r="M39" s="24">
        <v>41228.976000000002</v>
      </c>
      <c r="N39" s="24">
        <v>47054.387000000002</v>
      </c>
      <c r="O39" s="24">
        <v>51555.711000000003</v>
      </c>
      <c r="P39" s="24">
        <v>54298.731</v>
      </c>
      <c r="Q39" s="24">
        <v>56165.55</v>
      </c>
      <c r="R39" s="24">
        <v>61949.173000000003</v>
      </c>
      <c r="S39" s="24">
        <v>66177.394</v>
      </c>
      <c r="T39" s="24">
        <v>79923.273000000001</v>
      </c>
      <c r="U39" s="24">
        <v>83106.194000000003</v>
      </c>
      <c r="V39" s="24">
        <v>100160.47900000001</v>
      </c>
      <c r="W39" s="24">
        <v>99165.81</v>
      </c>
      <c r="X39" s="24">
        <v>107632.45299999999</v>
      </c>
      <c r="Y39" s="24">
        <v>110930.44100000001</v>
      </c>
      <c r="Z39" s="24">
        <v>110768.394</v>
      </c>
      <c r="AA39" s="24">
        <v>113370.754</v>
      </c>
      <c r="AB39" s="24">
        <v>108724.147</v>
      </c>
      <c r="AC39" s="24">
        <v>100059.62</v>
      </c>
    </row>
    <row r="40" spans="1:29">
      <c r="A40" s="7" t="s">
        <v>121</v>
      </c>
      <c r="B40" s="48">
        <f>SUM(B42:B53)</f>
        <v>0</v>
      </c>
      <c r="C40" s="48">
        <f t="shared" ref="C40:AC40" si="11">SUM(C42:C53)</f>
        <v>0</v>
      </c>
      <c r="D40" s="48">
        <f t="shared" si="11"/>
        <v>0</v>
      </c>
      <c r="E40" s="48">
        <f t="shared" si="11"/>
        <v>0</v>
      </c>
      <c r="F40" s="48">
        <f t="shared" si="11"/>
        <v>1932931.0789999999</v>
      </c>
      <c r="G40" s="48">
        <f t="shared" si="11"/>
        <v>0</v>
      </c>
      <c r="H40" s="48">
        <f t="shared" si="11"/>
        <v>0</v>
      </c>
      <c r="I40" s="48">
        <f t="shared" si="11"/>
        <v>2187348.2519999999</v>
      </c>
      <c r="J40" s="48">
        <f t="shared" si="11"/>
        <v>0</v>
      </c>
      <c r="K40" s="48">
        <f t="shared" si="11"/>
        <v>2430964.6015100004</v>
      </c>
      <c r="L40" s="48">
        <f t="shared" si="11"/>
        <v>2692265.8860000004</v>
      </c>
      <c r="M40" s="48">
        <f t="shared" si="11"/>
        <v>2898479.4850000003</v>
      </c>
      <c r="N40" s="48">
        <f t="shared" si="11"/>
        <v>2953858.4619999998</v>
      </c>
      <c r="O40" s="48">
        <f t="shared" si="11"/>
        <v>3093674.0759999999</v>
      </c>
      <c r="P40" s="48">
        <f t="shared" si="11"/>
        <v>3250264.5469999998</v>
      </c>
      <c r="Q40" s="48">
        <f t="shared" si="11"/>
        <v>3309970.2390000001</v>
      </c>
      <c r="R40" s="48">
        <f t="shared" si="11"/>
        <v>3464684.1310000001</v>
      </c>
      <c r="S40" s="48">
        <f t="shared" si="11"/>
        <v>3522080.3309999998</v>
      </c>
      <c r="T40" s="48">
        <f t="shared" si="11"/>
        <v>3756692.0370000005</v>
      </c>
      <c r="U40" s="48">
        <f t="shared" si="11"/>
        <v>4230569.504999999</v>
      </c>
      <c r="V40" s="48">
        <f t="shared" si="11"/>
        <v>5180712.7979999995</v>
      </c>
      <c r="W40" s="48">
        <f t="shared" si="11"/>
        <v>5516248.0009999992</v>
      </c>
      <c r="X40" s="48">
        <v>5605489.1629999997</v>
      </c>
      <c r="Y40" s="48">
        <f t="shared" si="11"/>
        <v>4258155.3500000006</v>
      </c>
      <c r="Z40" s="48">
        <f t="shared" si="11"/>
        <v>4379613.6380000003</v>
      </c>
      <c r="AA40" s="48">
        <f t="shared" si="11"/>
        <v>4385112.3810000001</v>
      </c>
      <c r="AB40" s="48">
        <f t="shared" si="11"/>
        <v>5823642.8830000004</v>
      </c>
      <c r="AC40" s="48">
        <f t="shared" si="11"/>
        <v>5925756.1430000011</v>
      </c>
    </row>
    <row r="41" spans="1:29">
      <c r="A41" s="7" t="s">
        <v>119</v>
      </c>
      <c r="X41" s="1">
        <v>0</v>
      </c>
    </row>
    <row r="42" spans="1:29">
      <c r="A42" s="1" t="s">
        <v>93</v>
      </c>
      <c r="F42" s="42">
        <v>414701.26699999999</v>
      </c>
      <c r="I42" s="1">
        <v>489703.36099999998</v>
      </c>
      <c r="K42" s="1">
        <v>496137.57365000009</v>
      </c>
      <c r="L42" s="1">
        <v>551819.20400000003</v>
      </c>
      <c r="M42" s="1">
        <v>563787.09499999997</v>
      </c>
      <c r="N42" s="1">
        <v>592423.11399999994</v>
      </c>
      <c r="O42" s="1">
        <v>616858.049</v>
      </c>
      <c r="P42" s="1">
        <v>725524.98</v>
      </c>
      <c r="Q42" s="1">
        <v>671055.28500000003</v>
      </c>
      <c r="R42" s="1">
        <v>689340.37600000005</v>
      </c>
      <c r="S42" s="1">
        <v>705930.96699999995</v>
      </c>
      <c r="T42" s="1">
        <v>760979.28700000001</v>
      </c>
      <c r="U42" s="1">
        <v>843735.03399999999</v>
      </c>
      <c r="V42" s="1">
        <v>1020101.177</v>
      </c>
      <c r="W42" s="1">
        <v>1079829.4110000001</v>
      </c>
      <c r="X42" s="1">
        <v>1130899.44</v>
      </c>
      <c r="Y42" s="1">
        <v>685629.603</v>
      </c>
      <c r="Z42" s="1">
        <v>713232.38899999997</v>
      </c>
      <c r="AA42" s="1">
        <v>741240.62</v>
      </c>
      <c r="AB42" s="1">
        <v>1250171.442</v>
      </c>
      <c r="AC42" s="1">
        <v>1308867.111</v>
      </c>
    </row>
    <row r="43" spans="1:29">
      <c r="A43" s="1" t="s">
        <v>58</v>
      </c>
      <c r="F43" s="42">
        <v>59058.574999999997</v>
      </c>
      <c r="I43" s="1">
        <v>71382.745999999999</v>
      </c>
      <c r="K43" s="1">
        <v>80465.623999999996</v>
      </c>
      <c r="L43" s="1">
        <v>106479.125</v>
      </c>
      <c r="M43" s="1">
        <v>115454.995</v>
      </c>
      <c r="N43" s="1">
        <v>130088.92</v>
      </c>
      <c r="O43" s="1">
        <v>138795.15</v>
      </c>
      <c r="P43" s="1">
        <v>114306.10400000001</v>
      </c>
      <c r="Q43" s="1">
        <v>127405.118</v>
      </c>
      <c r="R43" s="1">
        <v>132087.41399999999</v>
      </c>
      <c r="S43" s="1">
        <v>137576.641</v>
      </c>
      <c r="T43" s="1">
        <v>137008.28599999999</v>
      </c>
      <c r="U43" s="1">
        <v>177155.59899999999</v>
      </c>
      <c r="V43" s="1">
        <v>232183.30600000001</v>
      </c>
      <c r="W43" s="1">
        <v>248657.84700000001</v>
      </c>
      <c r="X43" s="1">
        <v>265100.60100000002</v>
      </c>
      <c r="Y43" s="1">
        <v>306810.685</v>
      </c>
      <c r="Z43" s="1">
        <v>305228.777</v>
      </c>
      <c r="AA43" s="1">
        <v>292306.48100000003</v>
      </c>
      <c r="AB43" s="1">
        <v>195406.94899999999</v>
      </c>
      <c r="AC43" s="1">
        <v>239343.20800000001</v>
      </c>
    </row>
    <row r="44" spans="1:29">
      <c r="A44" s="1" t="s">
        <v>94</v>
      </c>
      <c r="F44" s="42">
        <v>158418.274</v>
      </c>
      <c r="I44" s="1">
        <v>165039.03</v>
      </c>
      <c r="K44" s="1">
        <v>180273.77499999999</v>
      </c>
      <c r="L44" s="1">
        <v>214755.83900000001</v>
      </c>
      <c r="M44" s="1">
        <v>233691.27900000001</v>
      </c>
      <c r="N44" s="1">
        <v>227438.38699999999</v>
      </c>
      <c r="O44" s="1">
        <v>222512.49600000001</v>
      </c>
      <c r="P44" s="1">
        <v>239427.43</v>
      </c>
      <c r="Q44" s="1">
        <v>244381.31899999999</v>
      </c>
      <c r="R44" s="1">
        <v>260966.01300000001</v>
      </c>
      <c r="S44" s="1">
        <v>281192.33500000002</v>
      </c>
      <c r="T44" s="1">
        <v>302530.42099999997</v>
      </c>
      <c r="U44" s="1">
        <v>333552.76500000001</v>
      </c>
      <c r="V44" s="1">
        <v>371530.804</v>
      </c>
      <c r="W44" s="1">
        <v>383283.87599999999</v>
      </c>
      <c r="X44" s="1">
        <v>397612.53200000001</v>
      </c>
      <c r="Y44" s="1">
        <v>383307.315</v>
      </c>
      <c r="Z44" s="1">
        <v>382047.261</v>
      </c>
      <c r="AA44" s="1">
        <v>410703.60100000002</v>
      </c>
      <c r="AB44" s="1">
        <v>410992.30699999997</v>
      </c>
      <c r="AC44" s="1">
        <v>414617.53499999997</v>
      </c>
    </row>
    <row r="45" spans="1:29">
      <c r="A45" s="1" t="s">
        <v>95</v>
      </c>
      <c r="F45" s="42">
        <v>88691.846000000005</v>
      </c>
      <c r="I45" s="1">
        <v>114675.63400000001</v>
      </c>
      <c r="K45" s="1">
        <v>127772.29416999995</v>
      </c>
      <c r="L45" s="1">
        <v>139679.337</v>
      </c>
      <c r="M45" s="1">
        <v>152122.80300000001</v>
      </c>
      <c r="N45" s="1">
        <v>160419.535</v>
      </c>
      <c r="O45" s="1">
        <v>161354.64199999999</v>
      </c>
      <c r="P45" s="1">
        <v>164511.777</v>
      </c>
      <c r="Q45" s="1">
        <v>174400.62400000001</v>
      </c>
      <c r="R45" s="1">
        <v>187068.413</v>
      </c>
      <c r="S45" s="1">
        <v>197523.353</v>
      </c>
      <c r="T45" s="1">
        <v>213037.019</v>
      </c>
      <c r="U45" s="1">
        <v>230808.60500000001</v>
      </c>
      <c r="V45" s="1">
        <v>269233.90000000002</v>
      </c>
      <c r="W45" s="1">
        <v>274775.68300000002</v>
      </c>
      <c r="X45" s="1">
        <v>273922.61900000001</v>
      </c>
      <c r="Y45" s="1">
        <v>225856.75599999999</v>
      </c>
      <c r="Z45" s="1">
        <v>227730.72899999999</v>
      </c>
      <c r="AA45" s="1">
        <v>228648.79500000001</v>
      </c>
      <c r="AB45" s="1">
        <v>285117.826</v>
      </c>
      <c r="AC45" s="1">
        <v>285960.42599999998</v>
      </c>
    </row>
    <row r="46" spans="1:29">
      <c r="A46" s="1" t="s">
        <v>98</v>
      </c>
      <c r="F46" s="42">
        <v>321903.60100000002</v>
      </c>
      <c r="I46" s="1">
        <v>353969.217</v>
      </c>
      <c r="K46" s="1">
        <v>375114.61591000011</v>
      </c>
      <c r="L46" s="1">
        <v>408026.29499999998</v>
      </c>
      <c r="M46" s="1">
        <v>425386.54200000002</v>
      </c>
      <c r="N46" s="1">
        <v>442697.34399999998</v>
      </c>
      <c r="O46" s="1">
        <v>470450.592</v>
      </c>
      <c r="P46" s="1">
        <v>460231.88900000002</v>
      </c>
      <c r="Q46" s="1">
        <v>480774.19799999997</v>
      </c>
      <c r="R46" s="1">
        <v>499738.19300000003</v>
      </c>
      <c r="S46" s="1">
        <v>513597.34399999998</v>
      </c>
      <c r="T46" s="1">
        <v>546168.95400000003</v>
      </c>
      <c r="U46" s="1">
        <v>577135.21499999997</v>
      </c>
      <c r="V46" s="1">
        <v>779284.25199999998</v>
      </c>
      <c r="W46" s="1">
        <v>807274.96799999999</v>
      </c>
      <c r="X46" s="1">
        <v>821941.41599999997</v>
      </c>
      <c r="Y46" s="1">
        <v>759136.65800000005</v>
      </c>
      <c r="Z46" s="1">
        <v>769415.63</v>
      </c>
      <c r="AA46" s="1">
        <v>777336.37</v>
      </c>
      <c r="AB46" s="1">
        <v>841965.25800000003</v>
      </c>
      <c r="AC46" s="1">
        <v>830679.39199999999</v>
      </c>
    </row>
    <row r="47" spans="1:29">
      <c r="A47" s="1" t="s">
        <v>99</v>
      </c>
      <c r="F47" s="42">
        <v>183773.329</v>
      </c>
      <c r="I47" s="1">
        <v>246830.584</v>
      </c>
      <c r="K47" s="1">
        <v>225503.36919000006</v>
      </c>
      <c r="L47" s="1">
        <v>266510.77500000002</v>
      </c>
      <c r="M47" s="1">
        <v>301249.402</v>
      </c>
      <c r="N47" s="1">
        <v>304392.95500000002</v>
      </c>
      <c r="O47" s="1">
        <v>307852.70899999997</v>
      </c>
      <c r="P47" s="1">
        <v>329457.35200000001</v>
      </c>
      <c r="Q47" s="1">
        <v>333888.17300000001</v>
      </c>
      <c r="R47" s="1">
        <v>357914.32500000001</v>
      </c>
      <c r="S47" s="1">
        <v>369265.50699999998</v>
      </c>
      <c r="T47" s="1">
        <v>395872</v>
      </c>
      <c r="U47" s="1">
        <v>403164.24599999998</v>
      </c>
      <c r="V47" s="1">
        <v>495856.489</v>
      </c>
      <c r="W47" s="1">
        <v>503196</v>
      </c>
      <c r="X47" s="1">
        <v>491451.5</v>
      </c>
      <c r="Y47" s="1">
        <v>385522.94400000002</v>
      </c>
      <c r="Z47" s="1">
        <v>388561.00400000002</v>
      </c>
      <c r="AA47" s="1">
        <v>377402</v>
      </c>
      <c r="AB47" s="1">
        <v>495793.08600000001</v>
      </c>
      <c r="AC47" s="1">
        <v>512017.13699999999</v>
      </c>
    </row>
    <row r="48" spans="1:29">
      <c r="A48" s="1" t="s">
        <v>59</v>
      </c>
      <c r="F48" s="42">
        <v>101784.731</v>
      </c>
      <c r="I48" s="1">
        <v>46236.953999999998</v>
      </c>
      <c r="K48" s="1">
        <v>153979.80900000001</v>
      </c>
      <c r="L48" s="1">
        <v>80230.45</v>
      </c>
      <c r="M48" s="1">
        <v>110207.39</v>
      </c>
      <c r="N48" s="1">
        <v>83187.914000000004</v>
      </c>
      <c r="O48" s="1">
        <v>84837.614000000001</v>
      </c>
      <c r="P48" s="1">
        <v>90961.864000000001</v>
      </c>
      <c r="Q48" s="1">
        <v>97254.962</v>
      </c>
      <c r="R48" s="1">
        <v>103585.56200000001</v>
      </c>
      <c r="S48" s="1">
        <v>108642.86</v>
      </c>
      <c r="T48" s="1">
        <v>122668.242</v>
      </c>
      <c r="U48" s="1">
        <v>143209.747</v>
      </c>
      <c r="V48" s="1">
        <v>165002.36499999999</v>
      </c>
      <c r="W48" s="1">
        <v>277461.33799999999</v>
      </c>
      <c r="X48" s="1">
        <v>270963.13199999998</v>
      </c>
      <c r="Y48" s="1">
        <v>283325.46299999999</v>
      </c>
      <c r="Z48" s="1">
        <v>345042.96299999999</v>
      </c>
      <c r="AA48" s="1">
        <v>331683.80900000001</v>
      </c>
      <c r="AB48" s="1">
        <v>319810.88099999999</v>
      </c>
      <c r="AC48" s="1">
        <v>332578.26899999997</v>
      </c>
    </row>
    <row r="49" spans="1:29">
      <c r="A49" s="1" t="s">
        <v>101</v>
      </c>
      <c r="F49" s="42">
        <v>34481.987999999998</v>
      </c>
      <c r="I49" s="1">
        <v>37730.470999999998</v>
      </c>
      <c r="K49" s="1">
        <v>64568.985999999997</v>
      </c>
      <c r="L49" s="1">
        <v>74765.971999999994</v>
      </c>
      <c r="M49" s="1">
        <v>78566.195999999996</v>
      </c>
      <c r="N49" s="1">
        <v>82830.638999999996</v>
      </c>
      <c r="O49" s="1">
        <v>88375.061000000002</v>
      </c>
      <c r="P49" s="1">
        <v>93490.627999999997</v>
      </c>
      <c r="Q49" s="1">
        <v>97207.805999999997</v>
      </c>
      <c r="R49" s="1">
        <v>104131.564</v>
      </c>
      <c r="S49" s="1">
        <v>107786.912</v>
      </c>
      <c r="T49" s="1">
        <v>112587.946</v>
      </c>
      <c r="U49" s="1">
        <v>120371.962</v>
      </c>
      <c r="V49" s="1">
        <v>154214.149</v>
      </c>
      <c r="W49" s="1">
        <v>157193.196</v>
      </c>
      <c r="X49" s="1">
        <v>171976.92</v>
      </c>
      <c r="Y49" s="1">
        <v>147749.67800000001</v>
      </c>
      <c r="Z49" s="1">
        <v>152101.742</v>
      </c>
      <c r="AA49" s="1">
        <v>154417.27499999999</v>
      </c>
      <c r="AB49" s="1">
        <v>191654.50399999999</v>
      </c>
      <c r="AC49" s="1">
        <v>190664.17600000001</v>
      </c>
    </row>
    <row r="50" spans="1:29">
      <c r="A50" s="1" t="s">
        <v>107</v>
      </c>
      <c r="F50" s="42">
        <v>21089.936000000002</v>
      </c>
      <c r="I50" s="1">
        <v>24551.841</v>
      </c>
      <c r="K50" s="1">
        <v>28228.95827000001</v>
      </c>
      <c r="L50" s="1">
        <v>30777.440999999999</v>
      </c>
      <c r="M50" s="1">
        <v>27746.148000000001</v>
      </c>
      <c r="N50" s="1">
        <v>31554.424999999999</v>
      </c>
      <c r="O50" s="1">
        <v>32805.851999999999</v>
      </c>
      <c r="P50" s="1">
        <v>31529.074000000001</v>
      </c>
      <c r="Q50" s="1">
        <v>33876.928999999996</v>
      </c>
      <c r="R50" s="1">
        <v>36087.972000000002</v>
      </c>
      <c r="S50" s="1">
        <v>37640.783000000003</v>
      </c>
      <c r="T50" s="1">
        <v>28291.246999999999</v>
      </c>
      <c r="U50" s="1">
        <v>47690.635000000002</v>
      </c>
      <c r="V50" s="1">
        <v>54843.442999999999</v>
      </c>
      <c r="W50" s="1">
        <v>60741.17</v>
      </c>
      <c r="X50" s="1">
        <v>64310.322</v>
      </c>
      <c r="Y50" s="1">
        <v>66169.956000000006</v>
      </c>
      <c r="Z50" s="1">
        <v>73593.491999999998</v>
      </c>
      <c r="AA50" s="1">
        <v>78956.510999999999</v>
      </c>
      <c r="AB50" s="1">
        <v>78653.313999999998</v>
      </c>
      <c r="AC50" s="1">
        <v>73249.770999999993</v>
      </c>
    </row>
    <row r="51" spans="1:29">
      <c r="A51" s="1" t="s">
        <v>108</v>
      </c>
      <c r="F51" s="42">
        <v>233728.465</v>
      </c>
      <c r="I51" s="1">
        <v>272607.99200000003</v>
      </c>
      <c r="K51" s="1">
        <v>286594.93699999998</v>
      </c>
      <c r="L51" s="1">
        <v>355040.04700000002</v>
      </c>
      <c r="M51" s="1">
        <v>386628.03200000001</v>
      </c>
      <c r="N51" s="1">
        <v>361128.00599999999</v>
      </c>
      <c r="O51" s="1">
        <v>397663.21</v>
      </c>
      <c r="P51" s="1">
        <v>404244.72200000001</v>
      </c>
      <c r="Q51" s="1">
        <v>426609.63199999998</v>
      </c>
      <c r="R51" s="1">
        <v>447332.17099999997</v>
      </c>
      <c r="S51" s="1">
        <v>462645.67300000001</v>
      </c>
      <c r="T51" s="1">
        <v>496698.76899999997</v>
      </c>
      <c r="U51" s="1">
        <v>660413.902</v>
      </c>
      <c r="V51" s="1">
        <v>753205.55700000003</v>
      </c>
      <c r="W51" s="1">
        <v>817283.00399999996</v>
      </c>
      <c r="X51" s="1">
        <v>821774.04099999997</v>
      </c>
      <c r="Y51" s="1">
        <v>773320.58100000001</v>
      </c>
      <c r="Z51" s="1">
        <v>767444.11399999994</v>
      </c>
      <c r="AA51" s="1">
        <v>748479.45700000005</v>
      </c>
      <c r="AB51" s="1">
        <v>787650.45799999998</v>
      </c>
      <c r="AC51" s="1">
        <v>811049.95499999996</v>
      </c>
    </row>
    <row r="52" spans="1:29">
      <c r="A52" s="1" t="s">
        <v>112</v>
      </c>
      <c r="F52" s="42">
        <v>405.07100000000003</v>
      </c>
      <c r="I52" s="1">
        <v>419.58600000000001</v>
      </c>
      <c r="K52" s="1">
        <v>15859.379319999993</v>
      </c>
      <c r="L52" s="1">
        <v>16740.52</v>
      </c>
      <c r="M52" s="1">
        <v>17475.307000000001</v>
      </c>
      <c r="N52" s="1">
        <v>20447.999</v>
      </c>
      <c r="O52" s="1">
        <v>18403.73</v>
      </c>
      <c r="P52" s="1">
        <v>19675.476999999999</v>
      </c>
      <c r="Q52" s="1">
        <v>19768.716</v>
      </c>
      <c r="R52" s="1">
        <v>21014.758999999998</v>
      </c>
      <c r="S52" s="1">
        <v>22279.794000000002</v>
      </c>
      <c r="T52" s="1">
        <v>23444.453000000001</v>
      </c>
      <c r="U52" s="1">
        <v>31549.53</v>
      </c>
      <c r="V52" s="1">
        <v>28664.623</v>
      </c>
      <c r="W52" s="1">
        <v>30193.202000000001</v>
      </c>
      <c r="X52" s="1">
        <v>29035.062000000002</v>
      </c>
      <c r="Y52" s="1">
        <v>40540.542999999998</v>
      </c>
      <c r="Z52" s="1">
        <v>45784.341</v>
      </c>
      <c r="AA52" s="1">
        <v>52318.879000000001</v>
      </c>
      <c r="AB52" s="1">
        <v>47305.065000000002</v>
      </c>
      <c r="AC52" s="1">
        <v>48657.735000000001</v>
      </c>
    </row>
    <row r="53" spans="1:29">
      <c r="A53" s="24" t="s">
        <v>116</v>
      </c>
      <c r="B53" s="24"/>
      <c r="C53" s="24"/>
      <c r="D53" s="24"/>
      <c r="E53" s="24"/>
      <c r="F53" s="45">
        <v>314893.99599999998</v>
      </c>
      <c r="G53" s="24"/>
      <c r="H53" s="24"/>
      <c r="I53" s="24">
        <v>364200.83600000001</v>
      </c>
      <c r="J53" s="24"/>
      <c r="K53" s="24">
        <v>396465.28</v>
      </c>
      <c r="L53" s="24">
        <v>447440.88099999999</v>
      </c>
      <c r="M53" s="24">
        <v>486164.29599999997</v>
      </c>
      <c r="N53" s="24">
        <v>517249.22399999999</v>
      </c>
      <c r="O53" s="24">
        <v>553764.97100000002</v>
      </c>
      <c r="P53" s="24">
        <v>576903.25</v>
      </c>
      <c r="Q53" s="24">
        <v>603347.47699999996</v>
      </c>
      <c r="R53" s="24">
        <v>625417.36899999995</v>
      </c>
      <c r="S53" s="24">
        <v>577998.16200000001</v>
      </c>
      <c r="T53" s="24">
        <v>617405.41299999994</v>
      </c>
      <c r="U53" s="24">
        <v>661782.26500000001</v>
      </c>
      <c r="V53" s="24">
        <v>856592.73300000001</v>
      </c>
      <c r="W53" s="24">
        <v>876358.30599999998</v>
      </c>
      <c r="X53" s="24">
        <v>866501.57799999998</v>
      </c>
      <c r="Y53" s="24">
        <v>200785.16800000001</v>
      </c>
      <c r="Z53" s="24">
        <v>209431.196</v>
      </c>
      <c r="AA53" s="24">
        <v>191618.58300000001</v>
      </c>
      <c r="AB53" s="24">
        <v>919121.79299999995</v>
      </c>
      <c r="AC53" s="24">
        <v>878071.42799999996</v>
      </c>
    </row>
    <row r="54" spans="1:29">
      <c r="A54" s="7" t="s">
        <v>122</v>
      </c>
      <c r="B54" s="48">
        <f>SUM(B56:B64)</f>
        <v>0</v>
      </c>
      <c r="C54" s="48">
        <f t="shared" ref="C54:AC54" si="12">SUM(C56:C64)</f>
        <v>0</v>
      </c>
      <c r="D54" s="48">
        <f t="shared" si="12"/>
        <v>0</v>
      </c>
      <c r="E54" s="48">
        <f t="shared" si="12"/>
        <v>0</v>
      </c>
      <c r="F54" s="48">
        <f t="shared" si="12"/>
        <v>1090631.0999999999</v>
      </c>
      <c r="G54" s="48">
        <f t="shared" si="12"/>
        <v>0</v>
      </c>
      <c r="H54" s="48">
        <f t="shared" si="12"/>
        <v>0</v>
      </c>
      <c r="I54" s="48">
        <f t="shared" si="12"/>
        <v>1289542.652</v>
      </c>
      <c r="J54" s="48">
        <f t="shared" si="12"/>
        <v>0</v>
      </c>
      <c r="K54" s="48">
        <f t="shared" si="12"/>
        <v>1400649.3936600003</v>
      </c>
      <c r="L54" s="48">
        <f t="shared" si="12"/>
        <v>1453504.23</v>
      </c>
      <c r="M54" s="48">
        <f t="shared" si="12"/>
        <v>1631540.8370000001</v>
      </c>
      <c r="N54" s="48">
        <f t="shared" si="12"/>
        <v>1720411.817</v>
      </c>
      <c r="O54" s="48">
        <f t="shared" si="12"/>
        <v>1831363.2820000001</v>
      </c>
      <c r="P54" s="48">
        <f t="shared" si="12"/>
        <v>1915398.7609999999</v>
      </c>
      <c r="Q54" s="48">
        <f t="shared" si="12"/>
        <v>2009843.8689999999</v>
      </c>
      <c r="R54" s="48">
        <f t="shared" si="12"/>
        <v>2102969.0579999997</v>
      </c>
      <c r="S54" s="48">
        <f t="shared" si="12"/>
        <v>2229676.4720000001</v>
      </c>
      <c r="T54" s="48">
        <f t="shared" si="12"/>
        <v>2382685.7719999999</v>
      </c>
      <c r="U54" s="48">
        <f t="shared" si="12"/>
        <v>2589008.852</v>
      </c>
      <c r="V54" s="48">
        <f t="shared" si="12"/>
        <v>3103573.2390000005</v>
      </c>
      <c r="W54" s="48">
        <f t="shared" si="12"/>
        <v>3226297.3480000002</v>
      </c>
      <c r="X54" s="48">
        <v>3291638.9649999999</v>
      </c>
      <c r="Y54" s="48">
        <f t="shared" si="12"/>
        <v>3440986.7650000001</v>
      </c>
      <c r="Z54" s="48">
        <f t="shared" si="12"/>
        <v>3519664.449</v>
      </c>
      <c r="AA54" s="48">
        <f t="shared" si="12"/>
        <v>3664271.7450000006</v>
      </c>
      <c r="AB54" s="48">
        <f t="shared" si="12"/>
        <v>3555780.41</v>
      </c>
      <c r="AC54" s="48">
        <f t="shared" si="12"/>
        <v>3525807.3769999994</v>
      </c>
    </row>
    <row r="55" spans="1:29">
      <c r="A55" s="7" t="s">
        <v>119</v>
      </c>
      <c r="X55" s="1">
        <v>0</v>
      </c>
    </row>
    <row r="56" spans="1:29">
      <c r="A56" s="1" t="s">
        <v>89</v>
      </c>
      <c r="F56" s="42">
        <v>49412.841999999997</v>
      </c>
      <c r="I56" s="1">
        <v>58962.112999999998</v>
      </c>
      <c r="K56" s="1">
        <v>83335.948329999985</v>
      </c>
      <c r="L56" s="1">
        <v>87765.286999999997</v>
      </c>
      <c r="M56" s="1">
        <v>94660.827999999994</v>
      </c>
      <c r="N56" s="1">
        <v>100712.27</v>
      </c>
      <c r="O56" s="1">
        <v>103097.17600000001</v>
      </c>
      <c r="P56" s="1">
        <v>101407.276</v>
      </c>
      <c r="Q56" s="1">
        <v>118367.399</v>
      </c>
      <c r="R56" s="1">
        <v>124507.632</v>
      </c>
      <c r="S56" s="1">
        <v>133068.823</v>
      </c>
      <c r="T56" s="1">
        <v>144852.386</v>
      </c>
      <c r="U56" s="1">
        <v>161525.11499999999</v>
      </c>
      <c r="V56" s="1">
        <v>194663.03400000001</v>
      </c>
      <c r="W56" s="1">
        <v>211564.69200000001</v>
      </c>
      <c r="X56" s="1">
        <v>211069.83600000001</v>
      </c>
      <c r="Y56" s="1">
        <v>219369.27100000001</v>
      </c>
      <c r="Z56" s="1">
        <v>234846.25200000001</v>
      </c>
      <c r="AA56" s="1">
        <v>243049.70300000001</v>
      </c>
      <c r="AB56" s="1">
        <v>212289.51</v>
      </c>
      <c r="AC56" s="1">
        <v>209839.745</v>
      </c>
    </row>
    <row r="57" spans="1:29">
      <c r="A57" s="1" t="s">
        <v>96</v>
      </c>
      <c r="F57" s="42">
        <v>17683.107</v>
      </c>
      <c r="I57" s="1">
        <v>20781.531999999999</v>
      </c>
      <c r="K57" s="1">
        <v>23521.345000000001</v>
      </c>
      <c r="L57" s="1">
        <v>27983.918000000001</v>
      </c>
      <c r="M57" s="1">
        <v>30472.985000000001</v>
      </c>
      <c r="N57" s="1">
        <v>31366.920999999998</v>
      </c>
      <c r="O57" s="1">
        <v>34005.048000000003</v>
      </c>
      <c r="P57" s="1">
        <v>36971.523000000001</v>
      </c>
      <c r="Q57" s="1">
        <v>39774.830999999998</v>
      </c>
      <c r="R57" s="1">
        <v>40630.296999999999</v>
      </c>
      <c r="S57" s="1">
        <v>42880.79</v>
      </c>
      <c r="T57" s="1">
        <v>43178.892999999996</v>
      </c>
      <c r="U57" s="1">
        <v>57479.932000000001</v>
      </c>
      <c r="V57" s="1">
        <v>57763.93</v>
      </c>
      <c r="W57" s="1">
        <v>62070.847000000002</v>
      </c>
      <c r="X57" s="1">
        <v>61254.724999999999</v>
      </c>
      <c r="Y57" s="1">
        <v>62389.608</v>
      </c>
      <c r="Z57" s="1">
        <v>67581.281000000003</v>
      </c>
      <c r="AA57" s="1">
        <v>70026.384000000005</v>
      </c>
      <c r="AB57" s="1">
        <v>66476.956999999995</v>
      </c>
      <c r="AC57" s="1">
        <v>63420.936999999998</v>
      </c>
    </row>
    <row r="58" spans="1:29" s="24" customFormat="1">
      <c r="A58" s="1" t="s">
        <v>97</v>
      </c>
      <c r="B58" s="1"/>
      <c r="C58" s="1"/>
      <c r="D58" s="1"/>
      <c r="E58" s="1"/>
      <c r="F58" s="42">
        <v>104722.3</v>
      </c>
      <c r="G58" s="1"/>
      <c r="H58" s="1"/>
      <c r="I58" s="1">
        <v>134477.58499999999</v>
      </c>
      <c r="J58" s="1"/>
      <c r="K58" s="1">
        <v>157097.56099999999</v>
      </c>
      <c r="L58" s="1">
        <v>185030.31099999999</v>
      </c>
      <c r="M58" s="1">
        <v>219459.834</v>
      </c>
      <c r="N58" s="1">
        <v>213596.864</v>
      </c>
      <c r="O58" s="1">
        <v>199580.842</v>
      </c>
      <c r="P58" s="1">
        <v>205493.54800000001</v>
      </c>
      <c r="Q58" s="1">
        <v>208554.981</v>
      </c>
      <c r="R58" s="1">
        <v>225019.61300000001</v>
      </c>
      <c r="S58" s="1">
        <v>238655.43599999999</v>
      </c>
      <c r="T58" s="1">
        <v>261050.45</v>
      </c>
      <c r="U58" s="1">
        <v>259079.27799999999</v>
      </c>
      <c r="V58" s="1">
        <v>319785.44500000001</v>
      </c>
      <c r="W58" s="1">
        <v>341617.86200000002</v>
      </c>
      <c r="X58" s="1">
        <v>352423.00099999999</v>
      </c>
      <c r="Y58" s="1">
        <v>368391.08899999998</v>
      </c>
      <c r="Z58" s="1">
        <v>389799.64799999999</v>
      </c>
      <c r="AA58" s="1">
        <v>388504.06199999998</v>
      </c>
      <c r="AB58" s="1">
        <v>383525.18300000002</v>
      </c>
      <c r="AC58" s="1">
        <v>378726.94400000002</v>
      </c>
    </row>
    <row r="59" spans="1:29">
      <c r="A59" s="1" t="s">
        <v>103</v>
      </c>
      <c r="F59" s="42">
        <v>17233.212</v>
      </c>
      <c r="I59" s="1">
        <v>16997.055</v>
      </c>
      <c r="K59" s="1">
        <v>23273.657640000001</v>
      </c>
      <c r="L59" s="1">
        <v>19792.912</v>
      </c>
      <c r="M59" s="1">
        <v>20523.641</v>
      </c>
      <c r="N59" s="1">
        <v>21391.457999999999</v>
      </c>
      <c r="O59" s="1">
        <v>23881.579000000002</v>
      </c>
      <c r="P59" s="1">
        <v>23745.313999999998</v>
      </c>
      <c r="Q59" s="1">
        <v>24962.393</v>
      </c>
      <c r="R59" s="1">
        <v>21005.517</v>
      </c>
      <c r="S59" s="1">
        <v>28021.42</v>
      </c>
      <c r="T59" s="1">
        <v>28668.252</v>
      </c>
      <c r="U59" s="1">
        <v>31271.59</v>
      </c>
      <c r="V59" s="1">
        <v>35685.302000000003</v>
      </c>
      <c r="W59" s="1">
        <v>39436.303</v>
      </c>
      <c r="X59" s="1">
        <v>49567.972000000002</v>
      </c>
      <c r="Y59" s="1">
        <v>43030.370999999999</v>
      </c>
      <c r="Z59" s="1">
        <v>45477.023000000001</v>
      </c>
      <c r="AA59" s="1">
        <v>57154.534</v>
      </c>
      <c r="AB59" s="1">
        <v>43315.218999999997</v>
      </c>
      <c r="AC59" s="1">
        <v>50009.052000000003</v>
      </c>
    </row>
    <row r="60" spans="1:29">
      <c r="A60" s="1" t="s">
        <v>104</v>
      </c>
      <c r="F60" s="42">
        <v>194304.054</v>
      </c>
      <c r="I60" s="1">
        <v>227469.52</v>
      </c>
      <c r="K60" s="1">
        <v>238524.878</v>
      </c>
      <c r="L60" s="1">
        <v>250782.84599999999</v>
      </c>
      <c r="M60" s="1">
        <v>267420.87300000002</v>
      </c>
      <c r="N60" s="1">
        <v>281658.522</v>
      </c>
      <c r="O60" s="1">
        <v>301447.15399999998</v>
      </c>
      <c r="P60" s="1">
        <v>317390.85499999998</v>
      </c>
      <c r="Q60" s="1">
        <v>330312.14199999999</v>
      </c>
      <c r="R60" s="1">
        <v>347434.348</v>
      </c>
      <c r="S60" s="1">
        <v>356481.65299999999</v>
      </c>
      <c r="T60" s="1">
        <v>387798.91399999999</v>
      </c>
      <c r="U60" s="1">
        <v>415681.68300000002</v>
      </c>
      <c r="V60" s="1">
        <v>515040.913</v>
      </c>
      <c r="W60" s="1">
        <v>531878.42500000005</v>
      </c>
      <c r="X60" s="1">
        <v>543125.41099999996</v>
      </c>
      <c r="Y60" s="1">
        <v>554374.97600000002</v>
      </c>
      <c r="Z60" s="1">
        <v>554507.95799999998</v>
      </c>
      <c r="AA60" s="1">
        <v>547084.11100000003</v>
      </c>
      <c r="AB60" s="1">
        <v>501671.24900000001</v>
      </c>
      <c r="AC60" s="1">
        <v>518289.43099999998</v>
      </c>
    </row>
    <row r="61" spans="1:29">
      <c r="A61" s="1" t="s">
        <v>106</v>
      </c>
      <c r="F61" s="42">
        <v>487227.57299999997</v>
      </c>
      <c r="I61" s="1">
        <v>581568.28700000001</v>
      </c>
      <c r="K61" s="1">
        <v>623030.728</v>
      </c>
      <c r="L61" s="1">
        <v>603569.03799999994</v>
      </c>
      <c r="M61" s="1">
        <v>704968.978</v>
      </c>
      <c r="N61" s="1">
        <v>748150.59900000005</v>
      </c>
      <c r="O61" s="1">
        <v>820491.54200000002</v>
      </c>
      <c r="P61" s="1">
        <v>864616.31700000004</v>
      </c>
      <c r="Q61" s="1">
        <v>909667.745</v>
      </c>
      <c r="R61" s="1">
        <v>952299.38399999996</v>
      </c>
      <c r="S61" s="1">
        <v>1021127.238</v>
      </c>
      <c r="T61" s="1">
        <v>1069664.7949999999</v>
      </c>
      <c r="U61" s="1">
        <v>1167399.0830000001</v>
      </c>
      <c r="V61" s="1">
        <v>1423684.942</v>
      </c>
      <c r="W61" s="1">
        <v>1462048.6270000001</v>
      </c>
      <c r="X61" s="1">
        <v>1490753.692</v>
      </c>
      <c r="Y61" s="1">
        <v>1582422.578</v>
      </c>
      <c r="Z61" s="1">
        <v>1609709.622</v>
      </c>
      <c r="AA61" s="1">
        <v>1743374.321</v>
      </c>
      <c r="AB61" s="1">
        <v>1761352.865</v>
      </c>
      <c r="AC61" s="1">
        <v>1720539.656</v>
      </c>
    </row>
    <row r="62" spans="1:29">
      <c r="A62" s="1" t="s">
        <v>110</v>
      </c>
      <c r="F62" s="42">
        <v>189795.18299999999</v>
      </c>
      <c r="I62" s="1">
        <v>218494.06</v>
      </c>
      <c r="K62" s="1">
        <v>220743.32769000006</v>
      </c>
      <c r="L62" s="1">
        <v>243797.09</v>
      </c>
      <c r="M62" s="1">
        <v>256872.54300000001</v>
      </c>
      <c r="N62" s="1">
        <v>284118.67499999999</v>
      </c>
      <c r="O62" s="1">
        <v>306399.44099999999</v>
      </c>
      <c r="P62" s="1">
        <v>321177.38</v>
      </c>
      <c r="Q62" s="1">
        <v>332087.47600000002</v>
      </c>
      <c r="R62" s="1">
        <v>344111.57500000001</v>
      </c>
      <c r="S62" s="1">
        <v>358044.76400000002</v>
      </c>
      <c r="T62" s="1">
        <v>394840.62400000001</v>
      </c>
      <c r="U62" s="1">
        <v>422247.72899999999</v>
      </c>
      <c r="V62" s="1">
        <v>492319.22600000002</v>
      </c>
      <c r="W62" s="1">
        <v>510767.86499999999</v>
      </c>
      <c r="X62" s="1">
        <v>513705.09299999999</v>
      </c>
      <c r="Y62" s="1">
        <v>519769.31099999999</v>
      </c>
      <c r="Z62" s="1">
        <v>524431.42000000004</v>
      </c>
      <c r="AA62" s="1">
        <v>523263.20199999999</v>
      </c>
      <c r="AB62" s="1">
        <v>515536.94300000003</v>
      </c>
      <c r="AC62" s="1">
        <v>511261.79300000001</v>
      </c>
    </row>
    <row r="63" spans="1:29">
      <c r="A63" s="1" t="s">
        <v>111</v>
      </c>
      <c r="F63" s="42">
        <v>24314.412</v>
      </c>
      <c r="I63" s="1">
        <v>28587.844000000001</v>
      </c>
      <c r="K63" s="1">
        <v>28488.353999999999</v>
      </c>
      <c r="L63" s="1">
        <v>31541.017</v>
      </c>
      <c r="M63" s="1">
        <v>33397.446000000004</v>
      </c>
      <c r="N63" s="1">
        <v>35445.68</v>
      </c>
      <c r="O63" s="1">
        <v>37125.086000000003</v>
      </c>
      <c r="P63" s="1">
        <v>38536.175999999999</v>
      </c>
      <c r="Q63" s="1">
        <v>39748.023999999998</v>
      </c>
      <c r="R63" s="1">
        <v>41232.447</v>
      </c>
      <c r="S63" s="1">
        <v>42852.129000000001</v>
      </c>
      <c r="T63" s="1">
        <v>44799.339</v>
      </c>
      <c r="U63" s="1">
        <v>52659.567999999999</v>
      </c>
      <c r="V63" s="1">
        <v>53944.85</v>
      </c>
      <c r="W63" s="1">
        <v>55386.31</v>
      </c>
      <c r="X63" s="1">
        <v>58185.84</v>
      </c>
      <c r="Y63" s="1">
        <v>58935.978000000003</v>
      </c>
      <c r="Z63" s="1">
        <v>60537.938000000002</v>
      </c>
      <c r="AA63" s="1">
        <v>59583.356</v>
      </c>
      <c r="AB63" s="1">
        <v>60940.868999999999</v>
      </c>
      <c r="AC63" s="1">
        <v>63075.826000000001</v>
      </c>
    </row>
    <row r="64" spans="1:29">
      <c r="A64" s="24" t="s">
        <v>114</v>
      </c>
      <c r="B64" s="24"/>
      <c r="C64" s="24"/>
      <c r="D64" s="24"/>
      <c r="E64" s="24"/>
      <c r="F64" s="45">
        <v>5938.4170000000004</v>
      </c>
      <c r="G64" s="24"/>
      <c r="H64" s="24"/>
      <c r="I64" s="24">
        <v>2204.6559999999999</v>
      </c>
      <c r="J64" s="24"/>
      <c r="K64" s="24">
        <v>2633.5940000000001</v>
      </c>
      <c r="L64" s="24">
        <v>3241.8110000000001</v>
      </c>
      <c r="M64" s="24">
        <v>3763.7089999999998</v>
      </c>
      <c r="N64" s="24">
        <v>3970.828</v>
      </c>
      <c r="O64" s="24">
        <v>5335.4139999999998</v>
      </c>
      <c r="P64" s="24">
        <v>6060.3720000000003</v>
      </c>
      <c r="Q64" s="24">
        <v>6368.8779999999997</v>
      </c>
      <c r="R64" s="24">
        <v>6728.2449999999999</v>
      </c>
      <c r="S64" s="24">
        <v>8544.2189999999991</v>
      </c>
      <c r="T64" s="24">
        <v>7832.1189999999997</v>
      </c>
      <c r="U64" s="24">
        <v>21664.874</v>
      </c>
      <c r="V64" s="24">
        <v>10685.597</v>
      </c>
      <c r="W64" s="24">
        <v>11526.416999999999</v>
      </c>
      <c r="X64" s="1">
        <v>11553.395</v>
      </c>
      <c r="Y64" s="24">
        <v>32303.582999999999</v>
      </c>
      <c r="Z64" s="24">
        <v>32773.307000000001</v>
      </c>
      <c r="AA64" s="24">
        <v>32232.072</v>
      </c>
      <c r="AB64" s="24">
        <v>10671.615</v>
      </c>
      <c r="AC64" s="24">
        <v>10643.993</v>
      </c>
    </row>
    <row r="65" spans="1:29">
      <c r="A65" s="46" t="s">
        <v>90</v>
      </c>
      <c r="B65" s="46"/>
      <c r="C65" s="46"/>
      <c r="D65" s="46"/>
      <c r="E65" s="46"/>
      <c r="F65" s="47">
        <v>0</v>
      </c>
      <c r="G65" s="46"/>
      <c r="H65" s="46"/>
      <c r="I65" s="46">
        <v>0</v>
      </c>
      <c r="J65" s="46"/>
      <c r="K65" s="46">
        <v>0</v>
      </c>
      <c r="L65" s="46">
        <v>0</v>
      </c>
      <c r="M65" s="46">
        <v>0</v>
      </c>
      <c r="N65" s="46">
        <v>0</v>
      </c>
      <c r="O65" s="46">
        <v>0</v>
      </c>
      <c r="P65" s="46">
        <v>0</v>
      </c>
      <c r="Q65" s="46">
        <v>0</v>
      </c>
      <c r="R65" s="46">
        <v>0</v>
      </c>
      <c r="S65" s="46">
        <v>0</v>
      </c>
      <c r="T65" s="46">
        <v>0</v>
      </c>
      <c r="U65" s="46">
        <v>0</v>
      </c>
      <c r="V65" s="46">
        <v>0</v>
      </c>
      <c r="W65" s="46">
        <v>0</v>
      </c>
      <c r="X65" s="46">
        <v>0</v>
      </c>
      <c r="Y65" s="24"/>
      <c r="Z65" s="24"/>
      <c r="AA65" s="24"/>
      <c r="AB65" s="24"/>
      <c r="AC65" s="24"/>
    </row>
    <row r="66" spans="1:29">
      <c r="F66" s="15"/>
    </row>
    <row r="67" spans="1:29">
      <c r="A67" s="1" t="s">
        <v>18</v>
      </c>
      <c r="F67" s="1" t="s">
        <v>63</v>
      </c>
      <c r="I67" s="1" t="s">
        <v>78</v>
      </c>
      <c r="J67" s="1" t="s">
        <v>76</v>
      </c>
      <c r="K67" s="1" t="s">
        <v>66</v>
      </c>
      <c r="L67" s="1" t="s">
        <v>69</v>
      </c>
      <c r="O67" s="1" t="s">
        <v>78</v>
      </c>
      <c r="P67" s="1" t="s">
        <v>78</v>
      </c>
      <c r="Q67" s="1" t="s">
        <v>78</v>
      </c>
      <c r="R67" s="1" t="s">
        <v>78</v>
      </c>
    </row>
    <row r="68" spans="1:29">
      <c r="F68" s="1" t="s">
        <v>64</v>
      </c>
      <c r="I68" s="1" t="s">
        <v>79</v>
      </c>
      <c r="J68" s="1" t="s">
        <v>72</v>
      </c>
      <c r="K68" s="1" t="s">
        <v>67</v>
      </c>
      <c r="L68" s="1" t="s">
        <v>70</v>
      </c>
      <c r="O68" s="1" t="s">
        <v>79</v>
      </c>
      <c r="P68" s="1" t="s">
        <v>79</v>
      </c>
      <c r="Q68" s="1" t="s">
        <v>79</v>
      </c>
      <c r="R68" s="1" t="s">
        <v>79</v>
      </c>
    </row>
    <row r="69" spans="1:29">
      <c r="F69" s="1" t="s">
        <v>65</v>
      </c>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indexed="62"/>
  </sheetPr>
  <dimension ref="A1:AC70"/>
  <sheetViews>
    <sheetView showZeros="0" zoomScale="80" zoomScaleNormal="80" workbookViewId="0">
      <pane xSplit="1" ySplit="5" topLeftCell="S6" activePane="bottomRight" state="frozen"/>
      <selection activeCell="B52" sqref="B52"/>
      <selection pane="topRight" activeCell="B52" sqref="B52"/>
      <selection pane="bottomLeft" activeCell="B52" sqref="B52"/>
      <selection pane="bottomRight" activeCell="AA54" sqref="AA54:AC54"/>
    </sheetView>
  </sheetViews>
  <sheetFormatPr defaultColWidth="9.7109375" defaultRowHeight="12.75"/>
  <cols>
    <col min="1" max="1" width="23.42578125" style="44" customWidth="1"/>
    <col min="2" max="23" width="12.42578125" style="1" customWidth="1"/>
    <col min="24" max="36" width="11.7109375" style="1" customWidth="1"/>
    <col min="37" max="16384" width="9.7109375" style="1"/>
  </cols>
  <sheetData>
    <row r="1" spans="1:29">
      <c r="A1" s="7" t="s">
        <v>39</v>
      </c>
      <c r="B1"/>
      <c r="C1"/>
      <c r="D1"/>
      <c r="E1"/>
      <c r="F1"/>
      <c r="G1"/>
      <c r="H1"/>
      <c r="I1"/>
      <c r="AB1" s="1">
        <v>1000</v>
      </c>
    </row>
    <row r="2" spans="1:29">
      <c r="A2" s="7"/>
      <c r="B2" s="9"/>
      <c r="C2" s="9"/>
      <c r="D2" s="9"/>
      <c r="E2" s="9"/>
      <c r="F2" s="9"/>
    </row>
    <row r="3" spans="1:29">
      <c r="A3" s="7" t="s">
        <v>19</v>
      </c>
      <c r="B3" s="9"/>
      <c r="C3" s="9"/>
      <c r="D3" s="9"/>
      <c r="E3" s="9"/>
      <c r="F3" s="9"/>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c r="W5" s="8" t="s">
        <v>1</v>
      </c>
      <c r="X5" s="8" t="s">
        <v>1</v>
      </c>
      <c r="Y5" s="8" t="s">
        <v>1</v>
      </c>
      <c r="Z5" s="8" t="s">
        <v>1</v>
      </c>
      <c r="AA5" s="8" t="s">
        <v>1</v>
      </c>
      <c r="AB5" s="8" t="s">
        <v>1</v>
      </c>
      <c r="AC5" s="8" t="s">
        <v>1</v>
      </c>
    </row>
    <row r="6" spans="1:29">
      <c r="A6" s="24" t="s">
        <v>118</v>
      </c>
      <c r="B6" s="24">
        <f>2749380+1791963</f>
        <v>4541343</v>
      </c>
      <c r="C6" s="24">
        <f>3101874+2001726</f>
        <v>5103600</v>
      </c>
      <c r="D6" s="24">
        <f>3437662+2257346</f>
        <v>5695008</v>
      </c>
      <c r="E6" s="24">
        <v>9283751.2449999992</v>
      </c>
      <c r="F6" s="49">
        <f>+F7+F25+F40+F54+F65</f>
        <v>9637943.1569999978</v>
      </c>
      <c r="G6" s="24">
        <v>10485243.239</v>
      </c>
      <c r="H6" s="24">
        <v>11063974.324999999</v>
      </c>
      <c r="I6" s="49">
        <f>+I7+I25+I40+I54+I65</f>
        <v>11460773.595000001</v>
      </c>
      <c r="J6" s="24">
        <v>11942646.738</v>
      </c>
      <c r="K6" s="49">
        <f t="shared" ref="K6:U6" si="0">+K7+K25+K40+K54+K65</f>
        <v>12626144.356939999</v>
      </c>
      <c r="L6" s="49">
        <f t="shared" si="0"/>
        <v>15634564.102000002</v>
      </c>
      <c r="M6" s="49">
        <f t="shared" si="0"/>
        <v>17308248.903999999</v>
      </c>
      <c r="N6" s="49">
        <f t="shared" si="0"/>
        <v>17673075.224999998</v>
      </c>
      <c r="O6" s="49">
        <f t="shared" si="0"/>
        <v>18675471.768999998</v>
      </c>
      <c r="P6" s="49">
        <f t="shared" si="0"/>
        <v>19795203.394000001</v>
      </c>
      <c r="Q6" s="49">
        <f t="shared" si="0"/>
        <v>21229458.116</v>
      </c>
      <c r="R6" s="49">
        <f t="shared" si="0"/>
        <v>21650201.184</v>
      </c>
      <c r="S6" s="49">
        <f t="shared" si="0"/>
        <v>22434301.75</v>
      </c>
      <c r="T6" s="49">
        <f t="shared" si="0"/>
        <v>24370966.057</v>
      </c>
      <c r="U6" s="49">
        <f t="shared" si="0"/>
        <v>22874644.149999999</v>
      </c>
      <c r="V6" s="49">
        <f t="shared" ref="V6:W6" si="1">+V7+V25+V40+V54+V65</f>
        <v>30018967.910999998</v>
      </c>
      <c r="W6" s="49">
        <f t="shared" si="1"/>
        <v>31578626.638</v>
      </c>
      <c r="X6" s="49">
        <f t="shared" ref="X6:Y6" si="2">+X7+X25+X40+X54+X65</f>
        <v>32043001.243000001</v>
      </c>
      <c r="Y6" s="49">
        <f t="shared" si="2"/>
        <v>31225314.852999996</v>
      </c>
      <c r="Z6" s="49">
        <f t="shared" ref="Z6:AA6" si="3">+Z7+Z25+Z40+Z54+Z65</f>
        <v>31373305.208999999</v>
      </c>
      <c r="AA6" s="49">
        <f t="shared" si="3"/>
        <v>32161312.611000001</v>
      </c>
      <c r="AB6" s="49">
        <f t="shared" ref="AB6:AC6" si="4">+AB7+AB25+AB40+AB54+AB65</f>
        <v>33793719.932000004</v>
      </c>
      <c r="AC6" s="49">
        <f t="shared" si="4"/>
        <v>34899457.701000005</v>
      </c>
    </row>
    <row r="7" spans="1:29">
      <c r="A7" s="1" t="s">
        <v>56</v>
      </c>
      <c r="B7" s="48">
        <f>SUM(B8:B24)</f>
        <v>1413288</v>
      </c>
      <c r="C7" s="48">
        <f t="shared" ref="C7:U7" si="5">SUM(C8:C24)</f>
        <v>1595395</v>
      </c>
      <c r="D7" s="48">
        <f t="shared" si="5"/>
        <v>1848737</v>
      </c>
      <c r="E7" s="48">
        <f t="shared" si="5"/>
        <v>3137071.4910000004</v>
      </c>
      <c r="F7" s="48">
        <f t="shared" si="5"/>
        <v>3236137.1540000001</v>
      </c>
      <c r="G7" s="48">
        <f t="shared" si="5"/>
        <v>3480283.6359999999</v>
      </c>
      <c r="H7" s="48">
        <f t="shared" si="5"/>
        <v>3701515.7280000001</v>
      </c>
      <c r="I7" s="48">
        <f t="shared" si="5"/>
        <v>3968187.0759999994</v>
      </c>
      <c r="J7" s="48">
        <f t="shared" si="5"/>
        <v>4136179.0819999999</v>
      </c>
      <c r="K7" s="48">
        <f t="shared" si="5"/>
        <v>4398070.9647400007</v>
      </c>
      <c r="L7" s="48">
        <f t="shared" si="5"/>
        <v>5539274.9970000014</v>
      </c>
      <c r="M7" s="48">
        <f t="shared" si="5"/>
        <v>6080345.8509999998</v>
      </c>
      <c r="N7" s="48">
        <f t="shared" si="5"/>
        <v>6522877.0189999994</v>
      </c>
      <c r="O7" s="48">
        <f t="shared" si="5"/>
        <v>7131521.2239999985</v>
      </c>
      <c r="P7" s="48">
        <f t="shared" si="5"/>
        <v>7563551.2029999997</v>
      </c>
      <c r="Q7" s="48">
        <f t="shared" si="5"/>
        <v>8054763.694000002</v>
      </c>
      <c r="R7" s="48">
        <f t="shared" si="5"/>
        <v>8045998.5349999992</v>
      </c>
      <c r="S7" s="48">
        <f t="shared" si="5"/>
        <v>8456172.3890000004</v>
      </c>
      <c r="T7" s="48">
        <f t="shared" si="5"/>
        <v>9425475.7510000002</v>
      </c>
      <c r="U7" s="48">
        <f t="shared" si="5"/>
        <v>8149839.6109999996</v>
      </c>
      <c r="V7" s="48">
        <f t="shared" ref="V7:W7" si="6">SUM(V8:V24)</f>
        <v>11362958.989999998</v>
      </c>
      <c r="W7" s="48">
        <f t="shared" si="6"/>
        <v>11859037.968999999</v>
      </c>
      <c r="X7" s="48">
        <f t="shared" ref="X7:Y7" si="7">SUM(X8:X24)</f>
        <v>11999352.439999999</v>
      </c>
      <c r="Y7" s="48">
        <f t="shared" si="7"/>
        <v>11179582.465</v>
      </c>
      <c r="Z7" s="48">
        <f t="shared" ref="Z7:AA7" si="8">SUM(Z8:Z24)</f>
        <v>11444945.659</v>
      </c>
      <c r="AA7" s="48">
        <f t="shared" si="8"/>
        <v>11851460.266000004</v>
      </c>
      <c r="AB7" s="48">
        <f t="shared" ref="AB7:AC7" si="9">SUM(AB8:AB24)</f>
        <v>12988595.720999999</v>
      </c>
      <c r="AC7" s="48">
        <f t="shared" si="9"/>
        <v>13561436.638999999</v>
      </c>
    </row>
    <row r="8" spans="1:29">
      <c r="A8" s="7" t="s">
        <v>119</v>
      </c>
    </row>
    <row r="9" spans="1:29">
      <c r="A9" s="1" t="s">
        <v>3</v>
      </c>
      <c r="B9" s="1">
        <f>30777+46461</f>
        <v>77238</v>
      </c>
      <c r="C9" s="1">
        <f>45218+55055</f>
        <v>100273</v>
      </c>
      <c r="D9" s="1">
        <f>56124+64533</f>
        <v>120657</v>
      </c>
      <c r="E9" s="1">
        <v>210748.49600000001</v>
      </c>
      <c r="F9" s="42">
        <v>215139.20300000001</v>
      </c>
      <c r="G9" s="1">
        <v>236454.33499999999</v>
      </c>
      <c r="H9" s="1">
        <v>239082.65100000001</v>
      </c>
      <c r="I9" s="1">
        <v>262417.89299999998</v>
      </c>
      <c r="J9" s="1">
        <v>271652.00199999998</v>
      </c>
      <c r="K9" s="1">
        <v>287680.663</v>
      </c>
      <c r="L9" s="1">
        <v>330622.54399999999</v>
      </c>
      <c r="M9" s="1">
        <v>367822.54300000001</v>
      </c>
      <c r="N9" s="1">
        <v>356868.70600000001</v>
      </c>
      <c r="O9" s="1">
        <v>391308.28899999999</v>
      </c>
      <c r="P9" s="1">
        <v>425018.23100000003</v>
      </c>
      <c r="Q9" s="1">
        <v>435761.49300000002</v>
      </c>
      <c r="R9" s="1">
        <v>461661.935</v>
      </c>
      <c r="S9" s="1">
        <v>461362.652</v>
      </c>
      <c r="T9" s="1">
        <v>586199.44299999997</v>
      </c>
      <c r="U9" s="1">
        <v>580100.59499999997</v>
      </c>
      <c r="V9" s="1">
        <v>646415.34</v>
      </c>
      <c r="W9" s="1">
        <v>680173.64199999999</v>
      </c>
      <c r="X9" s="1">
        <v>579176.24399999995</v>
      </c>
      <c r="Y9" s="1">
        <v>580285.31599999999</v>
      </c>
      <c r="Z9" s="1">
        <v>572633.67099999997</v>
      </c>
      <c r="AA9" s="1">
        <v>572636.55900000001</v>
      </c>
      <c r="AB9" s="1">
        <v>577938.61899999995</v>
      </c>
      <c r="AC9" s="1">
        <v>652800.73199999996</v>
      </c>
    </row>
    <row r="10" spans="1:29">
      <c r="A10" s="1" t="s">
        <v>4</v>
      </c>
      <c r="B10" s="1">
        <f>27891+4640</f>
        <v>32531</v>
      </c>
      <c r="C10" s="1">
        <f>33144+5869</f>
        <v>39013</v>
      </c>
      <c r="D10" s="1">
        <f>36336+7301</f>
        <v>43637</v>
      </c>
      <c r="E10" s="1">
        <v>68900.631999999998</v>
      </c>
      <c r="F10" s="42">
        <v>73756.876000000004</v>
      </c>
      <c r="G10" s="1">
        <v>83472.122000000003</v>
      </c>
      <c r="H10" s="1">
        <v>88418.567999999999</v>
      </c>
      <c r="I10" s="1">
        <v>97190.07</v>
      </c>
      <c r="J10" s="1">
        <v>105613.663</v>
      </c>
      <c r="K10" s="1">
        <v>112061.821</v>
      </c>
      <c r="L10" s="1">
        <v>121735.493</v>
      </c>
      <c r="M10" s="1">
        <v>133525.71299999999</v>
      </c>
      <c r="N10" s="1">
        <v>139109.16800000001</v>
      </c>
      <c r="O10" s="1">
        <v>157344.98699999999</v>
      </c>
      <c r="P10" s="1">
        <v>179718.908</v>
      </c>
      <c r="Q10" s="1">
        <v>194268.96900000001</v>
      </c>
      <c r="R10" s="1">
        <v>200085.12100000001</v>
      </c>
      <c r="S10" s="1">
        <v>202525.46299999999</v>
      </c>
      <c r="T10" s="1">
        <v>228731.965</v>
      </c>
      <c r="U10" s="1">
        <v>136072.93100000001</v>
      </c>
      <c r="V10" s="1">
        <v>275177.26899999997</v>
      </c>
      <c r="W10" s="1">
        <v>290313.32699999999</v>
      </c>
      <c r="X10" s="1">
        <v>282668.16800000001</v>
      </c>
      <c r="Y10" s="1">
        <v>304427.09999999998</v>
      </c>
      <c r="Z10" s="1">
        <v>296723.94</v>
      </c>
      <c r="AA10" s="1">
        <v>295665.38900000002</v>
      </c>
      <c r="AB10" s="1">
        <v>300603.03600000002</v>
      </c>
      <c r="AC10" s="1">
        <v>311030.75400000002</v>
      </c>
    </row>
    <row r="11" spans="1:29">
      <c r="A11" s="1" t="s">
        <v>52</v>
      </c>
      <c r="D11" s="1">
        <f>18860+863</f>
        <v>19723</v>
      </c>
      <c r="E11" s="1">
        <v>33426.968000000001</v>
      </c>
      <c r="F11" s="42">
        <v>35795.970999999998</v>
      </c>
      <c r="I11" s="1">
        <v>42458.78</v>
      </c>
      <c r="J11" s="1">
        <v>44381.016000000003</v>
      </c>
      <c r="K11" s="1">
        <v>48350.985000000001</v>
      </c>
      <c r="L11" s="1">
        <v>56265.944000000003</v>
      </c>
      <c r="M11" s="1">
        <v>67155.542000000001</v>
      </c>
      <c r="N11" s="1">
        <v>70199.728000000003</v>
      </c>
      <c r="O11" s="1">
        <v>81453.349000000002</v>
      </c>
      <c r="P11" s="1">
        <v>88749.577000000005</v>
      </c>
      <c r="Q11" s="1">
        <f>5451.584+86798.055</f>
        <v>92249.638999999996</v>
      </c>
      <c r="R11" s="1">
        <v>106429.06299999999</v>
      </c>
      <c r="S11" s="1">
        <v>111288.93799999999</v>
      </c>
      <c r="T11" s="1">
        <v>114883.961</v>
      </c>
      <c r="U11" s="1">
        <v>119674.12300000001</v>
      </c>
      <c r="V11" s="1">
        <v>134726.18700000001</v>
      </c>
      <c r="W11" s="1">
        <v>142710.329</v>
      </c>
      <c r="X11" s="1">
        <v>148288.97399999999</v>
      </c>
      <c r="Y11" s="1">
        <v>14480.472</v>
      </c>
      <c r="Z11" s="1">
        <v>150000.73000000001</v>
      </c>
      <c r="AA11" s="1">
        <v>149921.66099999999</v>
      </c>
      <c r="AB11" s="1">
        <v>151044.932</v>
      </c>
      <c r="AC11" s="1">
        <v>12667.804</v>
      </c>
    </row>
    <row r="12" spans="1:29">
      <c r="A12" s="1" t="s">
        <v>5</v>
      </c>
      <c r="B12" s="1">
        <f>126895+27835</f>
        <v>154730</v>
      </c>
      <c r="C12" s="1">
        <f>146628+35299</f>
        <v>181927</v>
      </c>
      <c r="D12" s="1">
        <f>171822+43196</f>
        <v>215018</v>
      </c>
      <c r="E12" s="1">
        <v>378672.66399999999</v>
      </c>
      <c r="F12" s="42">
        <v>373593.21</v>
      </c>
      <c r="G12" s="1">
        <v>400904.71100000001</v>
      </c>
      <c r="H12" s="1">
        <v>421924.12900000002</v>
      </c>
      <c r="I12" s="1">
        <v>474978.92599999998</v>
      </c>
      <c r="J12" s="1">
        <v>480280.95600000001</v>
      </c>
      <c r="K12" s="1">
        <v>499967.11800000002</v>
      </c>
      <c r="L12" s="1">
        <v>608149.60600000003</v>
      </c>
      <c r="M12" s="1">
        <v>696083.12600000005</v>
      </c>
      <c r="N12" s="1">
        <v>721189.598</v>
      </c>
      <c r="O12" s="1">
        <v>797724.745</v>
      </c>
      <c r="P12" s="1">
        <v>871514.745</v>
      </c>
      <c r="Q12" s="1">
        <v>925451.15</v>
      </c>
      <c r="R12" s="1">
        <v>959605.82400000002</v>
      </c>
      <c r="S12" s="1">
        <v>1035188.559</v>
      </c>
      <c r="T12" s="1">
        <v>1045264.85</v>
      </c>
      <c r="U12" s="1">
        <v>1090070.7150000001</v>
      </c>
      <c r="V12" s="1">
        <v>1247174.6680000001</v>
      </c>
      <c r="W12" s="1">
        <v>1317391.1000000001</v>
      </c>
      <c r="X12" s="1">
        <v>1339739.7660000001</v>
      </c>
      <c r="Y12" s="1">
        <v>1357351.496</v>
      </c>
      <c r="Z12" s="1">
        <v>1394863.166</v>
      </c>
      <c r="AA12" s="1">
        <v>1442348.2690000001</v>
      </c>
      <c r="AB12" s="1">
        <v>1516676.0079999999</v>
      </c>
      <c r="AC12" s="1">
        <v>1588131.344</v>
      </c>
    </row>
    <row r="13" spans="1:29">
      <c r="A13" s="1" t="s">
        <v>6</v>
      </c>
      <c r="B13" s="1">
        <f>59883+84145</f>
        <v>144028</v>
      </c>
      <c r="C13" s="1">
        <f>65998+91488</f>
        <v>157486</v>
      </c>
      <c r="D13" s="1">
        <f>74999+108605</f>
        <v>183604</v>
      </c>
      <c r="E13" s="1">
        <v>302875.788</v>
      </c>
      <c r="F13" s="42">
        <v>306532.75900000002</v>
      </c>
      <c r="G13" s="1">
        <v>312471.239</v>
      </c>
      <c r="H13" s="1">
        <v>346923.67800000001</v>
      </c>
      <c r="I13" s="1">
        <v>371477.05200000003</v>
      </c>
      <c r="J13" s="1">
        <v>396656.43800000002</v>
      </c>
      <c r="K13" s="1">
        <v>435471.09499999997</v>
      </c>
      <c r="L13" s="1">
        <v>543326.37100000004</v>
      </c>
      <c r="M13" s="1">
        <v>560120.13500000001</v>
      </c>
      <c r="N13" s="1">
        <v>584467.47100000002</v>
      </c>
      <c r="O13" s="1">
        <v>670072.99899999995</v>
      </c>
      <c r="P13" s="1">
        <v>704225.73100000003</v>
      </c>
      <c r="Q13" s="1">
        <v>708358.31299999997</v>
      </c>
      <c r="R13" s="1">
        <v>733326.46699999995</v>
      </c>
      <c r="S13" s="1">
        <v>748271.64599999995</v>
      </c>
      <c r="T13" s="1">
        <v>843582.48499999999</v>
      </c>
      <c r="U13" s="1">
        <v>856822.61199999996</v>
      </c>
      <c r="V13" s="1">
        <v>1025741.2389999999</v>
      </c>
      <c r="W13" s="1">
        <v>1097394.7560000001</v>
      </c>
      <c r="X13" s="1">
        <v>1193768.8929999999</v>
      </c>
      <c r="Y13" s="1">
        <v>1251911.388</v>
      </c>
      <c r="Z13" s="1">
        <v>1297199.5460000001</v>
      </c>
      <c r="AA13" s="1">
        <v>1353817.567</v>
      </c>
      <c r="AB13" s="1">
        <v>1413124.9739999999</v>
      </c>
      <c r="AC13" s="1">
        <v>1521984.007</v>
      </c>
    </row>
    <row r="14" spans="1:29">
      <c r="A14" s="1" t="s">
        <v>7</v>
      </c>
      <c r="B14" s="1">
        <f>53455+2154</f>
        <v>55609</v>
      </c>
      <c r="C14" s="1">
        <f>54010+2502</f>
        <v>56512</v>
      </c>
      <c r="D14" s="1">
        <f>60196+3422</f>
        <v>63618</v>
      </c>
      <c r="E14" s="1">
        <v>99920.353000000003</v>
      </c>
      <c r="F14" s="42">
        <v>111065.795</v>
      </c>
      <c r="G14" s="1">
        <v>115155.54700000001</v>
      </c>
      <c r="H14" s="1">
        <v>123210.58900000001</v>
      </c>
      <c r="I14" s="1">
        <v>131966.88699999999</v>
      </c>
      <c r="J14" s="1">
        <v>145254.47200000001</v>
      </c>
      <c r="K14" s="1">
        <v>154760.986</v>
      </c>
      <c r="L14" s="1">
        <v>212108.93900000001</v>
      </c>
      <c r="M14" s="1">
        <v>237564.492</v>
      </c>
      <c r="N14" s="1">
        <v>250342.04699999999</v>
      </c>
      <c r="O14" s="1">
        <v>285045.83199999999</v>
      </c>
      <c r="P14" s="1">
        <v>331341.66200000001</v>
      </c>
      <c r="Q14" s="1">
        <v>359203.14299999998</v>
      </c>
      <c r="R14" s="1">
        <v>378990.09600000002</v>
      </c>
      <c r="S14" s="1">
        <v>404393.10800000001</v>
      </c>
      <c r="T14" s="1">
        <v>414657.125</v>
      </c>
      <c r="U14" s="1">
        <v>387037.78399999999</v>
      </c>
      <c r="V14" s="1">
        <v>470316.56300000002</v>
      </c>
      <c r="W14" s="1">
        <v>487394.63400000002</v>
      </c>
      <c r="X14" s="1">
        <v>484731.83</v>
      </c>
      <c r="Y14" s="1">
        <v>448109.01</v>
      </c>
      <c r="Z14" s="1">
        <v>435857.10200000001</v>
      </c>
      <c r="AA14" s="1">
        <v>456262.35399999999</v>
      </c>
      <c r="AB14" s="1">
        <v>472508.20699999999</v>
      </c>
      <c r="AC14" s="1">
        <v>490036.99099999998</v>
      </c>
    </row>
    <row r="15" spans="1:29">
      <c r="A15" s="1" t="s">
        <v>8</v>
      </c>
      <c r="B15" s="1">
        <f>54985+24000</f>
        <v>78985</v>
      </c>
      <c r="C15" s="1">
        <f>65781+26752</f>
        <v>92533</v>
      </c>
      <c r="D15" s="1">
        <f>65570+32336</f>
        <v>97906</v>
      </c>
      <c r="E15" s="1">
        <v>177226.30499999999</v>
      </c>
      <c r="F15" s="42">
        <v>182727.22</v>
      </c>
      <c r="G15" s="1">
        <v>190880.505</v>
      </c>
      <c r="H15" s="1">
        <v>195868.524</v>
      </c>
      <c r="I15" s="1">
        <v>207373.01</v>
      </c>
      <c r="J15" s="1">
        <v>223014.391</v>
      </c>
      <c r="K15" s="1">
        <v>235441.478</v>
      </c>
      <c r="L15" s="1">
        <v>277449.69500000001</v>
      </c>
      <c r="M15" s="1">
        <v>302960.484</v>
      </c>
      <c r="N15" s="1">
        <v>302751.23200000002</v>
      </c>
      <c r="O15" s="1">
        <v>340292.85499999998</v>
      </c>
      <c r="P15" s="1">
        <v>380307.63</v>
      </c>
      <c r="Q15" s="1">
        <v>403310.24</v>
      </c>
      <c r="R15" s="1">
        <v>376014.02</v>
      </c>
      <c r="S15" s="1">
        <v>400847.22399999999</v>
      </c>
      <c r="T15" s="1">
        <v>482036.77399999998</v>
      </c>
      <c r="U15" s="1">
        <v>404149.84</v>
      </c>
      <c r="V15" s="1">
        <v>512986.64600000001</v>
      </c>
      <c r="W15" s="1">
        <v>513521.65299999999</v>
      </c>
      <c r="X15" s="1">
        <v>506831.32900000003</v>
      </c>
      <c r="Y15" s="1">
        <v>502435.60399999999</v>
      </c>
      <c r="Z15" s="1">
        <v>469965.44300000003</v>
      </c>
      <c r="AA15" s="1">
        <v>460909.27799999999</v>
      </c>
      <c r="AB15" s="1">
        <v>452896.821</v>
      </c>
      <c r="AC15" s="1">
        <v>472533.11900000001</v>
      </c>
    </row>
    <row r="16" spans="1:29">
      <c r="A16" s="1" t="s">
        <v>9</v>
      </c>
      <c r="B16" s="1">
        <v>90829</v>
      </c>
      <c r="C16" s="1">
        <f>0+88330</f>
        <v>88330</v>
      </c>
      <c r="D16" s="1">
        <f>0+98440</f>
        <v>98440</v>
      </c>
      <c r="E16" s="1">
        <v>208148.61300000001</v>
      </c>
      <c r="F16" s="42">
        <v>180916.44099999999</v>
      </c>
      <c r="G16" s="1">
        <v>235062.06</v>
      </c>
      <c r="H16" s="1">
        <v>255213.01199999999</v>
      </c>
      <c r="I16" s="1">
        <v>245494.49400000001</v>
      </c>
      <c r="J16" s="1">
        <v>287457.25199999998</v>
      </c>
      <c r="K16" s="1">
        <v>346129.64883999998</v>
      </c>
      <c r="L16" s="1">
        <v>497341.86499999999</v>
      </c>
      <c r="M16" s="1">
        <v>435633.74300000002</v>
      </c>
      <c r="N16" s="1">
        <v>507334.03</v>
      </c>
      <c r="O16" s="1">
        <v>517792.52799999999</v>
      </c>
      <c r="P16" s="1">
        <v>526688.82299999997</v>
      </c>
      <c r="Q16" s="1">
        <v>591976.46699999995</v>
      </c>
      <c r="R16" s="1">
        <v>661696.48899999994</v>
      </c>
      <c r="S16" s="1">
        <v>694610.10400000005</v>
      </c>
      <c r="T16" s="1">
        <v>806281.95499999996</v>
      </c>
      <c r="U16" s="1">
        <v>471127.00900000002</v>
      </c>
      <c r="V16" s="1">
        <v>953641.321</v>
      </c>
      <c r="W16" s="1">
        <v>1027941.8639999999</v>
      </c>
      <c r="X16" s="1">
        <v>1000431.6409999999</v>
      </c>
      <c r="Y16" s="1">
        <v>1000797.226</v>
      </c>
      <c r="Z16" s="1">
        <v>999557.50199999998</v>
      </c>
      <c r="AA16" s="1">
        <v>1005959.769</v>
      </c>
      <c r="AB16" s="1">
        <v>998951.87399999995</v>
      </c>
      <c r="AC16" s="1">
        <v>1046108.601</v>
      </c>
    </row>
    <row r="17" spans="1:29">
      <c r="A17" s="1" t="s">
        <v>10</v>
      </c>
      <c r="B17" s="1">
        <f>4764+47320</f>
        <v>52084</v>
      </c>
      <c r="C17" s="1">
        <f>5938+52393</f>
        <v>58331</v>
      </c>
      <c r="D17" s="1">
        <f>6343+56687</f>
        <v>63030</v>
      </c>
      <c r="E17" s="1">
        <v>100670.77499999999</v>
      </c>
      <c r="F17" s="42">
        <v>98942.528000000006</v>
      </c>
      <c r="G17" s="1">
        <v>107474.383</v>
      </c>
      <c r="H17" s="1">
        <v>120161.86599999999</v>
      </c>
      <c r="I17" s="1">
        <v>133625.079</v>
      </c>
      <c r="J17" s="1">
        <v>131391.91099999999</v>
      </c>
      <c r="K17" s="1">
        <v>134280.82199999999</v>
      </c>
      <c r="L17" s="1">
        <v>202364.693</v>
      </c>
      <c r="M17" s="1">
        <v>240663.516</v>
      </c>
      <c r="N17" s="1">
        <v>253881.83499999999</v>
      </c>
      <c r="O17" s="1">
        <v>267101.23300000001</v>
      </c>
      <c r="P17" s="1">
        <v>269527.48200000002</v>
      </c>
      <c r="Q17" s="1">
        <v>275100.70600000001</v>
      </c>
      <c r="R17" s="1">
        <v>282965.81199999998</v>
      </c>
      <c r="S17" s="1">
        <v>310974.571</v>
      </c>
      <c r="T17" s="1">
        <v>339844.27899999998</v>
      </c>
      <c r="U17" s="1">
        <v>318022.951</v>
      </c>
      <c r="V17" s="1">
        <v>371972.34</v>
      </c>
      <c r="W17" s="1">
        <v>361805.62300000002</v>
      </c>
      <c r="X17" s="1">
        <v>354702.12300000002</v>
      </c>
      <c r="Y17" s="1">
        <v>320266.84899999999</v>
      </c>
      <c r="Z17" s="1">
        <v>313834.88400000002</v>
      </c>
      <c r="AA17" s="1">
        <v>321244.36900000001</v>
      </c>
      <c r="AB17" s="1">
        <v>366294.51699999999</v>
      </c>
      <c r="AC17" s="1">
        <v>407111.95199999999</v>
      </c>
    </row>
    <row r="18" spans="1:29">
      <c r="A18" s="1" t="s">
        <v>11</v>
      </c>
      <c r="B18" s="1">
        <f>59021+71430</f>
        <v>130451</v>
      </c>
      <c r="C18" s="1">
        <f>72164+81438</f>
        <v>153602</v>
      </c>
      <c r="D18" s="1">
        <f>63494+89239</f>
        <v>152733</v>
      </c>
      <c r="E18" s="1">
        <v>243411.07500000001</v>
      </c>
      <c r="F18" s="42">
        <v>258634.228</v>
      </c>
      <c r="G18" s="1">
        <v>287173.804</v>
      </c>
      <c r="H18" s="1">
        <v>308859.13099999999</v>
      </c>
      <c r="I18" s="1">
        <v>341099.33600000001</v>
      </c>
      <c r="J18" s="1">
        <v>344859.516</v>
      </c>
      <c r="K18" s="1">
        <v>344619.91399999999</v>
      </c>
      <c r="L18" s="1">
        <v>408405.80900000001</v>
      </c>
      <c r="M18" s="1">
        <v>453780.37599999999</v>
      </c>
      <c r="N18" s="1">
        <v>465652.924</v>
      </c>
      <c r="O18" s="1">
        <v>487465.21600000001</v>
      </c>
      <c r="P18" s="1">
        <v>514936.038</v>
      </c>
      <c r="Q18" s="1">
        <v>545436.19400000002</v>
      </c>
      <c r="R18" s="1">
        <v>574276.98499999999</v>
      </c>
      <c r="S18" s="1">
        <v>618489.13899999997</v>
      </c>
      <c r="T18" s="1">
        <v>679720.32700000005</v>
      </c>
      <c r="U18" s="1">
        <v>730612.88899999997</v>
      </c>
      <c r="V18" s="1">
        <v>845546.46699999995</v>
      </c>
      <c r="W18" s="1">
        <v>894667.76399999997</v>
      </c>
      <c r="X18" s="1">
        <v>909582.12</v>
      </c>
      <c r="Y18" s="1">
        <v>999587.65099999995</v>
      </c>
      <c r="Z18" s="1">
        <v>1022642.255</v>
      </c>
      <c r="AA18" s="1">
        <v>1213514.1310000001</v>
      </c>
      <c r="AB18" s="1">
        <v>1058173.912</v>
      </c>
      <c r="AC18" s="1">
        <v>1132702.371</v>
      </c>
    </row>
    <row r="19" spans="1:29">
      <c r="A19" s="1" t="s">
        <v>12</v>
      </c>
      <c r="B19" s="1">
        <v>58318</v>
      </c>
      <c r="C19" s="1">
        <f>0+62323</f>
        <v>62323</v>
      </c>
      <c r="D19" s="1">
        <f>0+71775</f>
        <v>71775</v>
      </c>
      <c r="E19" s="1">
        <v>104597.73299999999</v>
      </c>
      <c r="F19" s="42">
        <v>109097.337</v>
      </c>
      <c r="G19" s="1">
        <v>114768.103</v>
      </c>
      <c r="H19" s="1">
        <v>118660.109</v>
      </c>
      <c r="I19" s="1">
        <v>112877.266</v>
      </c>
      <c r="J19" s="1">
        <v>119640.962</v>
      </c>
      <c r="K19" s="1">
        <v>130771.85400000001</v>
      </c>
      <c r="L19" s="1">
        <v>171198.38699999999</v>
      </c>
      <c r="M19" s="1">
        <v>163138.291</v>
      </c>
      <c r="N19" s="1">
        <v>173994.20300000001</v>
      </c>
      <c r="O19" s="1">
        <v>178501.008</v>
      </c>
      <c r="P19" s="1">
        <v>187077.595</v>
      </c>
      <c r="Q19" s="1">
        <v>196817.41399999999</v>
      </c>
      <c r="R19" s="1">
        <v>206315.242</v>
      </c>
      <c r="S19" s="1">
        <v>212033.46599999999</v>
      </c>
      <c r="T19" s="1">
        <v>237215.37700000001</v>
      </c>
      <c r="U19" s="1">
        <v>202598.99100000001</v>
      </c>
      <c r="V19" s="1">
        <v>310341.86700000003</v>
      </c>
      <c r="W19" s="1">
        <v>327267.43699999998</v>
      </c>
      <c r="X19" s="1">
        <v>333787.78600000002</v>
      </c>
      <c r="Y19" s="1">
        <v>348061.38500000001</v>
      </c>
      <c r="Z19" s="1">
        <v>347825.217</v>
      </c>
      <c r="AA19" s="1">
        <v>348399.23499999999</v>
      </c>
      <c r="AB19" s="1">
        <v>367273.79599999997</v>
      </c>
      <c r="AC19" s="1">
        <v>372372.69699999999</v>
      </c>
    </row>
    <row r="20" spans="1:29">
      <c r="A20" s="1" t="s">
        <v>13</v>
      </c>
      <c r="B20" s="1">
        <f>37156+11574</f>
        <v>48730</v>
      </c>
      <c r="C20" s="1">
        <f>43803+14508</f>
        <v>58311</v>
      </c>
      <c r="D20" s="1">
        <f>50778+17045</f>
        <v>67823</v>
      </c>
      <c r="E20" s="1">
        <v>111329.122</v>
      </c>
      <c r="F20" s="42">
        <v>120215.63099999999</v>
      </c>
      <c r="G20" s="1">
        <v>134051.69500000001</v>
      </c>
      <c r="H20" s="1">
        <v>149670.46</v>
      </c>
      <c r="I20" s="1">
        <v>169541.40900000001</v>
      </c>
      <c r="J20" s="1">
        <v>170896.27</v>
      </c>
      <c r="K20" s="1">
        <v>173064.06099999999</v>
      </c>
      <c r="L20" s="1">
        <v>251027.18</v>
      </c>
      <c r="M20" s="1">
        <v>264850.24099999998</v>
      </c>
      <c r="N20" s="1">
        <v>272156.31099999999</v>
      </c>
      <c r="O20" s="1">
        <v>292154.495</v>
      </c>
      <c r="P20" s="1">
        <v>309077.58199999999</v>
      </c>
      <c r="Q20" s="1">
        <v>320277.04599999997</v>
      </c>
      <c r="R20" s="1">
        <v>337222.59299999999</v>
      </c>
      <c r="S20" s="1">
        <v>357175.76500000001</v>
      </c>
      <c r="T20" s="1">
        <v>400656.63500000001</v>
      </c>
      <c r="U20" s="1">
        <v>267191.20699999999</v>
      </c>
      <c r="V20" s="1">
        <v>474599.80599999998</v>
      </c>
      <c r="W20" s="1">
        <v>510497.70199999999</v>
      </c>
      <c r="X20" s="1">
        <v>516893.272</v>
      </c>
      <c r="Y20" s="1">
        <v>536889.44099999999</v>
      </c>
      <c r="Z20" s="1">
        <v>536000.24899999995</v>
      </c>
      <c r="AA20" s="1">
        <v>545853.95200000005</v>
      </c>
      <c r="AB20" s="1">
        <v>563899.00600000005</v>
      </c>
      <c r="AC20" s="1">
        <v>591210.88199999998</v>
      </c>
    </row>
    <row r="21" spans="1:29" s="11" customFormat="1">
      <c r="A21" s="1" t="s">
        <v>14</v>
      </c>
      <c r="B21" s="1">
        <f>20537+17961</f>
        <v>38498</v>
      </c>
      <c r="C21" s="1">
        <f>28302+23957</f>
        <v>52259</v>
      </c>
      <c r="D21" s="1">
        <f>49081+30130</f>
        <v>79211</v>
      </c>
      <c r="E21" s="1">
        <v>129650.12699999999</v>
      </c>
      <c r="F21" s="42">
        <v>135714.41800000001</v>
      </c>
      <c r="G21" s="1">
        <v>149642.141</v>
      </c>
      <c r="H21" s="1">
        <v>161337.50700000001</v>
      </c>
      <c r="I21" s="1">
        <v>163383.84299999999</v>
      </c>
      <c r="J21" s="1">
        <v>162269.02299999999</v>
      </c>
      <c r="K21" s="1">
        <v>169801.234</v>
      </c>
      <c r="L21" s="1">
        <v>197796.21100000001</v>
      </c>
      <c r="M21" s="1">
        <v>215701.76199999999</v>
      </c>
      <c r="N21" s="1">
        <v>233028.69</v>
      </c>
      <c r="O21" s="1">
        <v>268766.33899999998</v>
      </c>
      <c r="P21" s="1">
        <v>264641.65399999998</v>
      </c>
      <c r="Q21" s="1">
        <v>285877.55599999998</v>
      </c>
      <c r="R21" s="1">
        <v>269651.04700000002</v>
      </c>
      <c r="S21" s="1">
        <v>272785.97200000001</v>
      </c>
      <c r="T21" s="1">
        <v>283313.71899999998</v>
      </c>
      <c r="U21" s="1">
        <v>282317.24300000002</v>
      </c>
      <c r="V21" s="1">
        <v>364623.74699999997</v>
      </c>
      <c r="W21" s="1">
        <v>380004.32</v>
      </c>
      <c r="X21" s="1">
        <v>392122.45199999999</v>
      </c>
      <c r="Y21" s="1">
        <v>392819.288</v>
      </c>
      <c r="Z21" s="1">
        <v>394476.217</v>
      </c>
      <c r="AA21" s="1">
        <v>374906.02799999999</v>
      </c>
      <c r="AB21" s="1">
        <v>385724.40700000001</v>
      </c>
      <c r="AC21" s="1">
        <v>398317.70500000002</v>
      </c>
    </row>
    <row r="22" spans="1:29">
      <c r="A22" s="1" t="s">
        <v>15</v>
      </c>
      <c r="B22" s="1">
        <f>191144+132149</f>
        <v>323293</v>
      </c>
      <c r="C22" s="1">
        <f>203470+144384</f>
        <v>347854</v>
      </c>
      <c r="D22" s="1">
        <f>230794+169814</f>
        <v>400608</v>
      </c>
      <c r="E22" s="1">
        <v>666803.71600000001</v>
      </c>
      <c r="F22" s="42">
        <v>729613.98100000003</v>
      </c>
      <c r="G22" s="1">
        <v>787973.93500000006</v>
      </c>
      <c r="H22" s="1">
        <v>815808.60699999996</v>
      </c>
      <c r="I22" s="1">
        <v>852842.255</v>
      </c>
      <c r="J22" s="1">
        <v>889268.75600000005</v>
      </c>
      <c r="K22" s="1">
        <v>933884.86499999999</v>
      </c>
      <c r="L22" s="1">
        <v>1189122.74</v>
      </c>
      <c r="M22" s="1">
        <v>1414257.6240000001</v>
      </c>
      <c r="N22" s="1">
        <v>1598941.1669999999</v>
      </c>
      <c r="O22" s="1">
        <v>1704534.0260000001</v>
      </c>
      <c r="P22" s="1">
        <v>1771423.075</v>
      </c>
      <c r="Q22" s="1">
        <v>1920631.5649999999</v>
      </c>
      <c r="R22" s="1">
        <v>1720860.1340000001</v>
      </c>
      <c r="S22" s="1">
        <v>1811283.523</v>
      </c>
      <c r="T22" s="1">
        <v>2045858.72</v>
      </c>
      <c r="U22" s="1">
        <v>1356026.294</v>
      </c>
      <c r="V22" s="1">
        <v>2638381.59</v>
      </c>
      <c r="W22" s="1">
        <v>2667850.9380000001</v>
      </c>
      <c r="X22" s="1">
        <v>2760457.5010000002</v>
      </c>
      <c r="Y22" s="1">
        <v>1890536.179</v>
      </c>
      <c r="Z22" s="1">
        <v>1977800.2590000001</v>
      </c>
      <c r="AA22" s="1">
        <v>2069652.926</v>
      </c>
      <c r="AB22" s="1">
        <v>3096876.1809999999</v>
      </c>
      <c r="AC22" s="1">
        <v>3235480.9249999998</v>
      </c>
    </row>
    <row r="23" spans="1:29">
      <c r="A23" s="1" t="s">
        <v>16</v>
      </c>
      <c r="B23" s="1">
        <f>57553+49596</f>
        <v>107149</v>
      </c>
      <c r="C23" s="1">
        <f>63274+60106</f>
        <v>123380</v>
      </c>
      <c r="D23" s="1">
        <f>74395+72231</f>
        <v>146626</v>
      </c>
      <c r="E23" s="1">
        <v>247383.95499999999</v>
      </c>
      <c r="F23" s="42">
        <v>255443.655</v>
      </c>
      <c r="G23" s="1">
        <v>272383.39199999999</v>
      </c>
      <c r="H23" s="1">
        <v>293452.25199999998</v>
      </c>
      <c r="I23" s="1">
        <v>302904.68599999999</v>
      </c>
      <c r="J23" s="1">
        <v>301609.087</v>
      </c>
      <c r="K23" s="1">
        <v>328060.05599999998</v>
      </c>
      <c r="L23" s="1">
        <v>399790.04800000001</v>
      </c>
      <c r="M23" s="1">
        <v>443868.10600000003</v>
      </c>
      <c r="N23" s="1">
        <v>507945.13900000002</v>
      </c>
      <c r="O23" s="1">
        <v>597605.47900000005</v>
      </c>
      <c r="P23" s="1">
        <v>636311.85</v>
      </c>
      <c r="Q23" s="1">
        <v>683340.11499999999</v>
      </c>
      <c r="R23" s="1">
        <v>653794.39599999995</v>
      </c>
      <c r="S23" s="1">
        <v>679791.35199999996</v>
      </c>
      <c r="T23" s="1">
        <v>765012.38199999998</v>
      </c>
      <c r="U23" s="1">
        <v>796000.00100000005</v>
      </c>
      <c r="V23" s="1">
        <v>901550.76100000006</v>
      </c>
      <c r="W23" s="1">
        <v>963415.90500000003</v>
      </c>
      <c r="X23" s="1">
        <v>1006423.144</v>
      </c>
      <c r="Y23" s="1">
        <v>1053807.7609999999</v>
      </c>
      <c r="Z23" s="1">
        <v>1061869.652</v>
      </c>
      <c r="AA23" s="1">
        <v>1063351.308</v>
      </c>
      <c r="AB23" s="1">
        <v>1114917.254</v>
      </c>
      <c r="AC23" s="1">
        <v>1172779.02</v>
      </c>
    </row>
    <row r="24" spans="1:29">
      <c r="A24" s="24" t="s">
        <v>17</v>
      </c>
      <c r="B24" s="24">
        <f>19844+971</f>
        <v>20815</v>
      </c>
      <c r="C24" s="24">
        <f>22049+1212</f>
        <v>23261</v>
      </c>
      <c r="D24" s="24">
        <f>23054+1274</f>
        <v>24328</v>
      </c>
      <c r="E24" s="24">
        <v>53305.169000000002</v>
      </c>
      <c r="F24" s="45">
        <v>48947.900999999998</v>
      </c>
      <c r="G24" s="24">
        <v>52415.663999999997</v>
      </c>
      <c r="H24" s="24">
        <v>62924.644999999997</v>
      </c>
      <c r="I24" s="24">
        <v>58556.09</v>
      </c>
      <c r="J24" s="24">
        <v>61933.366999999998</v>
      </c>
      <c r="K24" s="24">
        <v>63724.363899999997</v>
      </c>
      <c r="L24" s="24">
        <v>72569.471999999994</v>
      </c>
      <c r="M24" s="24">
        <v>83220.157000000007</v>
      </c>
      <c r="N24" s="24">
        <v>85014.77</v>
      </c>
      <c r="O24" s="24">
        <v>94357.843999999997</v>
      </c>
      <c r="P24" s="24">
        <v>102990.62</v>
      </c>
      <c r="Q24" s="24">
        <v>116703.68399999999</v>
      </c>
      <c r="R24" s="24">
        <v>123103.311</v>
      </c>
      <c r="S24" s="24">
        <v>135150.90700000001</v>
      </c>
      <c r="T24" s="24">
        <v>152215.75399999999</v>
      </c>
      <c r="U24" s="24">
        <v>152014.42600000001</v>
      </c>
      <c r="V24" s="24">
        <v>189763.179</v>
      </c>
      <c r="W24" s="24">
        <v>196686.97500000001</v>
      </c>
      <c r="X24" s="24">
        <v>189747.19699999999</v>
      </c>
      <c r="Y24" s="24">
        <v>177816.299</v>
      </c>
      <c r="Z24" s="24">
        <v>173695.826</v>
      </c>
      <c r="AA24" s="24">
        <v>177017.47099999999</v>
      </c>
      <c r="AB24" s="24">
        <v>151692.177</v>
      </c>
      <c r="AC24" s="24">
        <v>156167.73499999999</v>
      </c>
    </row>
    <row r="25" spans="1:29">
      <c r="A25" s="7" t="s">
        <v>120</v>
      </c>
      <c r="B25" s="48">
        <f>SUM(B27:B39)</f>
        <v>0</v>
      </c>
      <c r="C25" s="48">
        <f t="shared" ref="C25:AC25" si="10">SUM(C27:C39)</f>
        <v>0</v>
      </c>
      <c r="D25" s="48">
        <f t="shared" si="10"/>
        <v>0</v>
      </c>
      <c r="E25" s="48">
        <f t="shared" si="10"/>
        <v>0</v>
      </c>
      <c r="F25" s="48">
        <f t="shared" si="10"/>
        <v>2768310.648</v>
      </c>
      <c r="G25" s="48">
        <f t="shared" si="10"/>
        <v>0</v>
      </c>
      <c r="H25" s="48">
        <f t="shared" si="10"/>
        <v>0</v>
      </c>
      <c r="I25" s="48">
        <f t="shared" si="10"/>
        <v>3301537.9060000004</v>
      </c>
      <c r="J25" s="48">
        <f t="shared" si="10"/>
        <v>0</v>
      </c>
      <c r="K25" s="48">
        <f t="shared" si="10"/>
        <v>3583397.7870599991</v>
      </c>
      <c r="L25" s="48">
        <f t="shared" si="10"/>
        <v>4584626.7919999994</v>
      </c>
      <c r="M25" s="48">
        <f t="shared" si="10"/>
        <v>5025331.9470000006</v>
      </c>
      <c r="N25" s="48">
        <f t="shared" si="10"/>
        <v>5158309.5199999996</v>
      </c>
      <c r="O25" s="48">
        <f t="shared" si="10"/>
        <v>5625359.0140000014</v>
      </c>
      <c r="P25" s="48">
        <f t="shared" si="10"/>
        <v>5848730.6270000003</v>
      </c>
      <c r="Q25" s="48">
        <f t="shared" si="10"/>
        <v>6308745.75</v>
      </c>
      <c r="R25" s="48">
        <f t="shared" si="10"/>
        <v>6546618.0959999999</v>
      </c>
      <c r="S25" s="48">
        <f t="shared" si="10"/>
        <v>6824886.4900000002</v>
      </c>
      <c r="T25" s="48">
        <f t="shared" si="10"/>
        <v>7189273.6050000014</v>
      </c>
      <c r="U25" s="48">
        <f t="shared" si="10"/>
        <v>6808016.9960000003</v>
      </c>
      <c r="V25" s="48">
        <f t="shared" si="10"/>
        <v>8996009.6009999998</v>
      </c>
      <c r="W25" s="48">
        <f t="shared" si="10"/>
        <v>9601670.4060000014</v>
      </c>
      <c r="X25" s="48">
        <f t="shared" si="10"/>
        <v>9834535.3389999978</v>
      </c>
      <c r="Y25" s="48">
        <f t="shared" si="10"/>
        <v>9875109.0299999993</v>
      </c>
      <c r="Z25" s="48">
        <f t="shared" si="10"/>
        <v>9878142.909</v>
      </c>
      <c r="AA25" s="48">
        <f t="shared" si="10"/>
        <v>9963203.4230000004</v>
      </c>
      <c r="AB25" s="48">
        <f t="shared" si="10"/>
        <v>10230832.412</v>
      </c>
      <c r="AC25" s="48">
        <f t="shared" si="10"/>
        <v>10531701.004000001</v>
      </c>
    </row>
    <row r="26" spans="1:29">
      <c r="A26" s="7" t="s">
        <v>119</v>
      </c>
      <c r="Y26" s="1">
        <v>0</v>
      </c>
      <c r="AB26" s="1">
        <v>0</v>
      </c>
      <c r="AC26" s="1">
        <v>0</v>
      </c>
    </row>
    <row r="27" spans="1:29">
      <c r="A27" s="1" t="s">
        <v>85</v>
      </c>
      <c r="F27" s="42">
        <v>65568.633000000002</v>
      </c>
      <c r="I27" s="1">
        <v>74405.868000000002</v>
      </c>
      <c r="K27" s="1">
        <v>62653.860999999997</v>
      </c>
      <c r="L27" s="1">
        <v>80698.206000000006</v>
      </c>
      <c r="M27" s="1">
        <v>93776.994999999995</v>
      </c>
      <c r="N27" s="1">
        <v>104211.63099999999</v>
      </c>
      <c r="O27" s="1">
        <v>107615.23299999999</v>
      </c>
      <c r="P27" s="1">
        <v>112013</v>
      </c>
      <c r="Q27" s="1">
        <v>118922.371</v>
      </c>
      <c r="R27" s="1">
        <v>126278.80899999999</v>
      </c>
      <c r="S27" s="1">
        <v>131282.57399999999</v>
      </c>
      <c r="T27" s="1">
        <v>121842.719</v>
      </c>
      <c r="U27" s="1">
        <v>155921.53099999999</v>
      </c>
      <c r="V27" s="1">
        <v>161868.62599999999</v>
      </c>
      <c r="W27" s="1">
        <v>169864.209</v>
      </c>
      <c r="X27" s="1">
        <v>165154.63500000001</v>
      </c>
      <c r="Y27" s="1">
        <v>163939.90100000001</v>
      </c>
      <c r="Z27" s="1">
        <v>161376.114</v>
      </c>
      <c r="AA27" s="1">
        <v>158423.28099999999</v>
      </c>
      <c r="AB27" s="1">
        <v>170277.04</v>
      </c>
      <c r="AC27" s="1">
        <v>163135.242</v>
      </c>
    </row>
    <row r="28" spans="1:29">
      <c r="A28" s="1" t="s">
        <v>86</v>
      </c>
      <c r="F28" s="42">
        <v>209222.11300000001</v>
      </c>
      <c r="I28" s="1">
        <v>266678.21999999997</v>
      </c>
      <c r="K28" s="1">
        <v>256400.56200000001</v>
      </c>
      <c r="L28" s="1">
        <v>320977.41399999999</v>
      </c>
      <c r="M28" s="1">
        <v>341789.87</v>
      </c>
      <c r="N28" s="1">
        <v>340764.44900000002</v>
      </c>
      <c r="O28" s="1">
        <v>419703.53200000001</v>
      </c>
      <c r="P28" s="1">
        <v>444771.65</v>
      </c>
      <c r="Q28" s="1">
        <v>485037.43800000002</v>
      </c>
      <c r="R28" s="1">
        <v>500984.016</v>
      </c>
      <c r="S28" s="1">
        <v>517332.57699999999</v>
      </c>
      <c r="T28" s="1">
        <v>561646.78399999999</v>
      </c>
      <c r="U28" s="1">
        <v>587830.56299999997</v>
      </c>
      <c r="V28" s="1">
        <v>689167.348</v>
      </c>
      <c r="W28" s="1">
        <v>716840.65300000005</v>
      </c>
      <c r="X28" s="1">
        <v>736648.52</v>
      </c>
      <c r="Y28" s="1">
        <v>768961.098</v>
      </c>
      <c r="Z28" s="1">
        <v>749448.22699999996</v>
      </c>
      <c r="AA28" s="1">
        <v>785667.64399999997</v>
      </c>
      <c r="AB28" s="1">
        <v>750091.78300000005</v>
      </c>
      <c r="AC28" s="1">
        <v>768845.08900000004</v>
      </c>
    </row>
    <row r="29" spans="1:29">
      <c r="A29" s="1" t="s">
        <v>87</v>
      </c>
      <c r="F29" s="42">
        <v>1214505</v>
      </c>
      <c r="I29" s="1">
        <v>1407077</v>
      </c>
      <c r="K29" s="1">
        <v>1607344.402</v>
      </c>
      <c r="L29" s="1">
        <v>2128532.1690000002</v>
      </c>
      <c r="M29" s="1">
        <v>2363973.503</v>
      </c>
      <c r="N29" s="1">
        <v>2337939.9610000001</v>
      </c>
      <c r="O29" s="1">
        <v>2540518.6690000002</v>
      </c>
      <c r="P29" s="1">
        <v>2704979.298</v>
      </c>
      <c r="Q29" s="1">
        <v>2827109.4890000001</v>
      </c>
      <c r="R29" s="1">
        <v>2952003.344</v>
      </c>
      <c r="S29" s="1">
        <v>3078898.9920000001</v>
      </c>
      <c r="T29" s="1">
        <v>3252115.9870000002</v>
      </c>
      <c r="U29" s="1">
        <v>2813503.59</v>
      </c>
      <c r="V29" s="1">
        <v>4198149.2709999997</v>
      </c>
      <c r="W29" s="1">
        <v>4423490.8710000003</v>
      </c>
      <c r="X29" s="1">
        <v>4627819.1289999997</v>
      </c>
      <c r="Y29" s="1">
        <v>4646225.7929999996</v>
      </c>
      <c r="Z29" s="1">
        <v>4705523.1749999998</v>
      </c>
      <c r="AA29" s="1">
        <v>4876640.3930000002</v>
      </c>
      <c r="AB29" s="1">
        <v>5041590.7949999999</v>
      </c>
      <c r="AC29" s="1">
        <v>5214916.8859999999</v>
      </c>
    </row>
    <row r="30" spans="1:29">
      <c r="A30" s="1" t="s">
        <v>88</v>
      </c>
      <c r="F30" s="42">
        <v>224490.46299999999</v>
      </c>
      <c r="I30" s="1">
        <v>291990.95799999998</v>
      </c>
      <c r="K30" s="1">
        <v>324282.51694999996</v>
      </c>
      <c r="L30" s="1">
        <v>416814.33100000001</v>
      </c>
      <c r="M30" s="1">
        <v>468870.18300000002</v>
      </c>
      <c r="N30" s="1">
        <v>445063.34</v>
      </c>
      <c r="O30" s="1">
        <v>469118.978</v>
      </c>
      <c r="P30" s="1">
        <v>343501.538</v>
      </c>
      <c r="Q30" s="1">
        <v>542739.51100000006</v>
      </c>
      <c r="R30" s="1">
        <v>558598.60600000003</v>
      </c>
      <c r="S30" s="1">
        <v>587698.18500000006</v>
      </c>
      <c r="T30" s="1">
        <v>598681.77899999998</v>
      </c>
      <c r="U30" s="1">
        <v>601119.33499999996</v>
      </c>
      <c r="V30" s="1">
        <v>770753.40300000005</v>
      </c>
      <c r="W30" s="1">
        <v>840970.39800000004</v>
      </c>
      <c r="X30" s="1">
        <v>893607.89599999995</v>
      </c>
      <c r="Y30" s="1">
        <v>884226.05700000003</v>
      </c>
      <c r="Z30" s="1">
        <v>884041.11499999999</v>
      </c>
      <c r="AA30" s="1">
        <v>938028.62899999996</v>
      </c>
      <c r="AB30" s="1">
        <v>958443.85900000005</v>
      </c>
      <c r="AC30" s="1">
        <v>1034625.5159999999</v>
      </c>
    </row>
    <row r="31" spans="1:29">
      <c r="A31" s="1" t="s">
        <v>91</v>
      </c>
      <c r="F31" s="42">
        <v>120550.61</v>
      </c>
      <c r="I31" s="1">
        <v>129594.36</v>
      </c>
      <c r="K31" s="1">
        <v>127534.12699999999</v>
      </c>
      <c r="L31" s="1">
        <v>151409.065</v>
      </c>
      <c r="M31" s="1">
        <v>155254.07699999999</v>
      </c>
      <c r="N31" s="1">
        <v>171000.12700000001</v>
      </c>
      <c r="O31" s="1">
        <v>198695.35800000001</v>
      </c>
      <c r="P31" s="1">
        <v>216052.473</v>
      </c>
      <c r="Q31" s="1">
        <v>235467.951</v>
      </c>
      <c r="R31" s="1">
        <v>248044.09099999999</v>
      </c>
      <c r="S31" s="1">
        <v>255786.948</v>
      </c>
      <c r="T31" s="1">
        <v>265150.46500000003</v>
      </c>
      <c r="U31" s="1">
        <v>290587.97499999998</v>
      </c>
      <c r="V31" s="1">
        <v>336881.78</v>
      </c>
      <c r="W31" s="1">
        <v>345031.31199999998</v>
      </c>
      <c r="X31" s="1">
        <v>358127.93</v>
      </c>
      <c r="Y31" s="1">
        <v>361396.85100000002</v>
      </c>
      <c r="Z31" s="1">
        <v>349735.58600000001</v>
      </c>
      <c r="AA31" s="1">
        <v>261021.61199999999</v>
      </c>
      <c r="AB31" s="1">
        <v>271023.71500000003</v>
      </c>
      <c r="AC31" s="1">
        <v>255756.628</v>
      </c>
    </row>
    <row r="32" spans="1:29">
      <c r="A32" s="1" t="s">
        <v>92</v>
      </c>
      <c r="F32" s="42">
        <v>46794.124000000003</v>
      </c>
      <c r="I32" s="1">
        <v>55950.277999999998</v>
      </c>
      <c r="K32" s="1">
        <v>57626.296000000002</v>
      </c>
      <c r="L32" s="1">
        <v>64149.315000000002</v>
      </c>
      <c r="M32" s="1">
        <v>70791.108999999997</v>
      </c>
      <c r="N32" s="1">
        <v>74342.035999999993</v>
      </c>
      <c r="O32" s="1">
        <v>87252.081000000006</v>
      </c>
      <c r="P32" s="1">
        <v>94553.842999999993</v>
      </c>
      <c r="Q32" s="1">
        <v>100338.54700000001</v>
      </c>
      <c r="R32" s="1">
        <v>94705.847999999998</v>
      </c>
      <c r="S32" s="1">
        <v>96384.232999999993</v>
      </c>
      <c r="T32" s="1">
        <v>94228.138999999996</v>
      </c>
      <c r="U32" s="1">
        <v>90914.694000000003</v>
      </c>
      <c r="V32" s="1">
        <v>116316.439</v>
      </c>
      <c r="W32" s="1">
        <v>128186.497</v>
      </c>
      <c r="X32" s="1">
        <v>132508.054</v>
      </c>
      <c r="Y32" s="1">
        <v>126131.198</v>
      </c>
      <c r="Z32" s="1">
        <v>121178.19</v>
      </c>
      <c r="AA32" s="1">
        <v>124154.166</v>
      </c>
      <c r="AB32" s="1">
        <v>126924.317</v>
      </c>
      <c r="AC32" s="1">
        <v>130606.58900000001</v>
      </c>
    </row>
    <row r="33" spans="1:29">
      <c r="A33" s="1" t="s">
        <v>100</v>
      </c>
      <c r="F33" s="42">
        <v>37544.661999999997</v>
      </c>
      <c r="I33" s="1">
        <v>51895.18</v>
      </c>
      <c r="K33" s="1">
        <v>63216.101999999999</v>
      </c>
      <c r="L33" s="1">
        <v>96873.26</v>
      </c>
      <c r="M33" s="1">
        <v>90669.396999999997</v>
      </c>
      <c r="N33" s="1">
        <v>100515.924</v>
      </c>
      <c r="O33" s="1">
        <v>112807.982</v>
      </c>
      <c r="P33" s="1">
        <v>125907.55</v>
      </c>
      <c r="Q33" s="1">
        <v>142183.47500000001</v>
      </c>
      <c r="R33" s="1">
        <v>146185.07</v>
      </c>
      <c r="S33" s="1">
        <v>146197.28099999999</v>
      </c>
      <c r="T33" s="1">
        <v>154845.41699999999</v>
      </c>
      <c r="U33" s="1">
        <v>180170.37100000001</v>
      </c>
      <c r="V33" s="1">
        <v>193234.247</v>
      </c>
      <c r="W33" s="1">
        <v>189696.72500000001</v>
      </c>
      <c r="X33" s="1">
        <v>186368.476</v>
      </c>
      <c r="Y33" s="1">
        <v>181140.277</v>
      </c>
      <c r="Z33" s="1">
        <v>176508.951</v>
      </c>
      <c r="AA33" s="1">
        <v>172825.03599999999</v>
      </c>
      <c r="AB33" s="1">
        <v>179036.981</v>
      </c>
      <c r="AC33" s="1">
        <v>202814.80300000001</v>
      </c>
    </row>
    <row r="34" spans="1:29">
      <c r="A34" s="1" t="s">
        <v>102</v>
      </c>
      <c r="F34" s="42">
        <v>34173.033000000003</v>
      </c>
      <c r="I34" s="1">
        <v>45605.440999999999</v>
      </c>
      <c r="K34" s="1">
        <v>47216.88</v>
      </c>
      <c r="L34" s="1">
        <v>57081.542000000001</v>
      </c>
      <c r="M34" s="1">
        <v>67363.432000000001</v>
      </c>
      <c r="N34" s="1">
        <v>69587.171000000002</v>
      </c>
      <c r="O34" s="1">
        <v>84864.778000000006</v>
      </c>
      <c r="P34" s="1">
        <v>92109.411999999997</v>
      </c>
      <c r="Q34" s="1">
        <v>99463.361000000004</v>
      </c>
      <c r="R34" s="1">
        <v>110644.636</v>
      </c>
      <c r="S34" s="1">
        <v>117690.00599999999</v>
      </c>
      <c r="T34" s="1">
        <v>121650.72</v>
      </c>
      <c r="U34" s="1">
        <v>110748.334</v>
      </c>
      <c r="V34" s="1">
        <v>121574.58500000001</v>
      </c>
      <c r="W34" s="1">
        <v>115372.126</v>
      </c>
      <c r="X34" s="1">
        <v>105793.852</v>
      </c>
      <c r="Y34" s="1">
        <v>116496.397</v>
      </c>
      <c r="Z34" s="1">
        <v>125685.78200000001</v>
      </c>
      <c r="AA34" s="1">
        <v>112980.65</v>
      </c>
      <c r="AB34" s="1">
        <v>116439.00199999999</v>
      </c>
      <c r="AC34" s="1">
        <v>133939.962</v>
      </c>
    </row>
    <row r="35" spans="1:29">
      <c r="A35" s="1" t="s">
        <v>105</v>
      </c>
      <c r="F35" s="42">
        <v>162912.80499999999</v>
      </c>
      <c r="I35" s="1">
        <v>202256.739</v>
      </c>
      <c r="K35" s="1">
        <v>190214.15911000001</v>
      </c>
      <c r="L35" s="1">
        <v>209288.679</v>
      </c>
      <c r="M35" s="1">
        <v>258500.00399999999</v>
      </c>
      <c r="N35" s="1">
        <v>245207.255</v>
      </c>
      <c r="O35" s="1">
        <v>255773.32199999999</v>
      </c>
      <c r="P35" s="1">
        <v>288258.65500000003</v>
      </c>
      <c r="Q35" s="1">
        <v>288715.50699999998</v>
      </c>
      <c r="R35" s="1">
        <v>299111.897</v>
      </c>
      <c r="S35" s="1">
        <v>345598.09399999998</v>
      </c>
      <c r="T35" s="1">
        <v>337557.68900000001</v>
      </c>
      <c r="U35" s="1">
        <v>383744.81900000002</v>
      </c>
      <c r="V35" s="1">
        <v>420714.12400000001</v>
      </c>
      <c r="W35" s="1">
        <v>430278.35399999999</v>
      </c>
      <c r="X35" s="1">
        <v>400979.98599999998</v>
      </c>
      <c r="Y35" s="1">
        <v>397332.50099999999</v>
      </c>
      <c r="Z35" s="1">
        <v>389892.21399999998</v>
      </c>
      <c r="AA35" s="1">
        <v>386405.39</v>
      </c>
      <c r="AB35" s="1">
        <v>366042.68199999997</v>
      </c>
      <c r="AC35" s="1">
        <v>366219.745</v>
      </c>
    </row>
    <row r="36" spans="1:29">
      <c r="A36" s="1" t="s">
        <v>109</v>
      </c>
      <c r="F36" s="42">
        <v>150794.976</v>
      </c>
      <c r="I36" s="1">
        <v>191241.77299999999</v>
      </c>
      <c r="K36" s="1">
        <v>213491.35500000001</v>
      </c>
      <c r="L36" s="1">
        <v>260341.08600000001</v>
      </c>
      <c r="M36" s="1">
        <v>275527.98200000002</v>
      </c>
      <c r="N36" s="1">
        <v>340484.86599999998</v>
      </c>
      <c r="O36" s="1">
        <v>336734.08</v>
      </c>
      <c r="P36" s="1">
        <v>373405.67200000002</v>
      </c>
      <c r="Q36" s="1">
        <v>390238.63199999998</v>
      </c>
      <c r="R36" s="1">
        <v>409853.61300000001</v>
      </c>
      <c r="S36" s="1">
        <v>434491.21</v>
      </c>
      <c r="T36" s="1">
        <v>475656.82400000002</v>
      </c>
      <c r="U36" s="1">
        <v>328174.20199999999</v>
      </c>
      <c r="V36" s="1">
        <v>600416.88899999997</v>
      </c>
      <c r="W36" s="1">
        <v>594448.11499999999</v>
      </c>
      <c r="X36" s="1">
        <v>590254.10499999998</v>
      </c>
      <c r="Y36" s="1">
        <v>584150.19200000004</v>
      </c>
      <c r="Z36" s="1">
        <v>575500.46900000004</v>
      </c>
      <c r="AA36" s="1">
        <v>544814.67099999997</v>
      </c>
      <c r="AB36" s="1">
        <v>611420.875</v>
      </c>
      <c r="AC36" s="1">
        <v>590967.40700000001</v>
      </c>
    </row>
    <row r="37" spans="1:29">
      <c r="A37" s="1" t="s">
        <v>113</v>
      </c>
      <c r="F37" s="42">
        <v>156558.823</v>
      </c>
      <c r="I37" s="1">
        <v>165310.43400000001</v>
      </c>
      <c r="K37" s="1">
        <v>191289.91899999999</v>
      </c>
      <c r="L37" s="1">
        <v>234681.81</v>
      </c>
      <c r="M37" s="1">
        <v>251800.008</v>
      </c>
      <c r="N37" s="1">
        <v>315945.21000000002</v>
      </c>
      <c r="O37" s="1">
        <v>338827.43400000001</v>
      </c>
      <c r="P37" s="1">
        <v>318387.01199999999</v>
      </c>
      <c r="Q37" s="1">
        <v>315354.11900000001</v>
      </c>
      <c r="R37" s="1">
        <v>317252.69</v>
      </c>
      <c r="S37" s="1">
        <v>324755.02899999998</v>
      </c>
      <c r="T37" s="1">
        <v>343262.07900000003</v>
      </c>
      <c r="U37" s="1">
        <v>364533.48100000003</v>
      </c>
      <c r="V37" s="1">
        <v>367591.64500000002</v>
      </c>
      <c r="W37" s="1">
        <v>403630.83600000001</v>
      </c>
      <c r="X37" s="1">
        <v>421048.27500000002</v>
      </c>
      <c r="Y37" s="1">
        <v>430634.61900000001</v>
      </c>
      <c r="Z37" s="1">
        <v>417020.67099999997</v>
      </c>
      <c r="AA37" s="1">
        <v>424647.69</v>
      </c>
      <c r="AB37" s="1">
        <v>442736.902</v>
      </c>
      <c r="AC37" s="1">
        <v>477729.83500000002</v>
      </c>
    </row>
    <row r="38" spans="1:29">
      <c r="A38" s="1" t="s">
        <v>115</v>
      </c>
      <c r="F38" s="42">
        <v>321037.69099999999</v>
      </c>
      <c r="I38" s="1">
        <v>381085.68</v>
      </c>
      <c r="K38" s="1">
        <v>406939.45699999999</v>
      </c>
      <c r="L38" s="1">
        <v>527351.60499999998</v>
      </c>
      <c r="M38" s="1">
        <v>554539.45499999996</v>
      </c>
      <c r="N38" s="1">
        <v>581502.00399999996</v>
      </c>
      <c r="O38" s="1">
        <v>639191.62800000003</v>
      </c>
      <c r="P38" s="1">
        <v>697164.20600000001</v>
      </c>
      <c r="Q38" s="1">
        <v>721030.79599999997</v>
      </c>
      <c r="R38" s="1">
        <v>743565.16299999994</v>
      </c>
      <c r="S38" s="1">
        <v>747912.098</v>
      </c>
      <c r="T38" s="1">
        <v>816099.554</v>
      </c>
      <c r="U38" s="1">
        <v>846858.451</v>
      </c>
      <c r="V38" s="1">
        <v>943839.64800000004</v>
      </c>
      <c r="W38" s="1">
        <v>1158116.7990000001</v>
      </c>
      <c r="X38" s="1">
        <v>1125988.8160000001</v>
      </c>
      <c r="Y38" s="1">
        <v>1128799.7590000001</v>
      </c>
      <c r="Z38" s="1">
        <v>1139339.1100000001</v>
      </c>
      <c r="AA38" s="1">
        <v>1092045.1000000001</v>
      </c>
      <c r="AB38" s="1">
        <v>1116425.358</v>
      </c>
      <c r="AC38" s="1">
        <v>1114219.655</v>
      </c>
    </row>
    <row r="39" spans="1:29">
      <c r="A39" s="24" t="s">
        <v>117</v>
      </c>
      <c r="B39" s="24"/>
      <c r="C39" s="24"/>
      <c r="D39" s="24"/>
      <c r="E39" s="24"/>
      <c r="F39" s="45">
        <v>24157.715</v>
      </c>
      <c r="G39" s="24"/>
      <c r="H39" s="24"/>
      <c r="I39" s="24">
        <v>38445.974999999999</v>
      </c>
      <c r="J39" s="24"/>
      <c r="K39" s="24">
        <v>35188.15</v>
      </c>
      <c r="L39" s="24">
        <v>36428.31</v>
      </c>
      <c r="M39" s="24">
        <v>32475.932000000001</v>
      </c>
      <c r="N39" s="24">
        <v>31745.545999999998</v>
      </c>
      <c r="O39" s="24">
        <v>34255.938999999998</v>
      </c>
      <c r="P39" s="24">
        <v>37626.317999999999</v>
      </c>
      <c r="Q39" s="24">
        <v>42144.553</v>
      </c>
      <c r="R39" s="24">
        <v>39390.313000000002</v>
      </c>
      <c r="S39" s="24">
        <v>40859.262999999999</v>
      </c>
      <c r="T39" s="24">
        <v>46535.449000000001</v>
      </c>
      <c r="U39" s="24">
        <v>53909.65</v>
      </c>
      <c r="V39" s="24">
        <v>75501.596000000005</v>
      </c>
      <c r="W39" s="24">
        <v>85743.510999999999</v>
      </c>
      <c r="X39" s="24">
        <v>90235.664999999994</v>
      </c>
      <c r="Y39" s="24">
        <v>85674.387000000002</v>
      </c>
      <c r="Z39" s="24">
        <v>82893.304999999993</v>
      </c>
      <c r="AA39" s="24">
        <v>85549.160999999993</v>
      </c>
      <c r="AB39" s="24">
        <v>80379.103000000003</v>
      </c>
      <c r="AC39" s="24">
        <v>77923.646999999997</v>
      </c>
    </row>
    <row r="40" spans="1:29">
      <c r="A40" s="7" t="s">
        <v>121</v>
      </c>
      <c r="B40" s="48">
        <f>SUM(B42:B53)</f>
        <v>0</v>
      </c>
      <c r="C40" s="48">
        <f t="shared" ref="C40:AC40" si="11">SUM(C42:C53)</f>
        <v>0</v>
      </c>
      <c r="D40" s="48">
        <f t="shared" si="11"/>
        <v>0</v>
      </c>
      <c r="E40" s="48">
        <f t="shared" si="11"/>
        <v>0</v>
      </c>
      <c r="F40" s="48">
        <f t="shared" si="11"/>
        <v>2544444.9879999999</v>
      </c>
      <c r="G40" s="48">
        <f t="shared" si="11"/>
        <v>0</v>
      </c>
      <c r="H40" s="48">
        <f t="shared" si="11"/>
        <v>0</v>
      </c>
      <c r="I40" s="48">
        <f t="shared" si="11"/>
        <v>2900762.9980000006</v>
      </c>
      <c r="J40" s="48">
        <f t="shared" si="11"/>
        <v>0</v>
      </c>
      <c r="K40" s="48">
        <f t="shared" si="11"/>
        <v>3119706.1309799999</v>
      </c>
      <c r="L40" s="48">
        <f t="shared" si="11"/>
        <v>3786808.8649999998</v>
      </c>
      <c r="M40" s="48">
        <f t="shared" si="11"/>
        <v>4293382.6869999999</v>
      </c>
      <c r="N40" s="48">
        <f t="shared" si="11"/>
        <v>4292901.0290000001</v>
      </c>
      <c r="O40" s="48">
        <f t="shared" si="11"/>
        <v>4613582.9799999995</v>
      </c>
      <c r="P40" s="48">
        <f t="shared" si="11"/>
        <v>4911272.6880000001</v>
      </c>
      <c r="Q40" s="48">
        <f t="shared" si="11"/>
        <v>5148622.2500000009</v>
      </c>
      <c r="R40" s="48">
        <f t="shared" si="11"/>
        <v>5344265.0309999995</v>
      </c>
      <c r="S40" s="48">
        <f t="shared" si="11"/>
        <v>5396913.3970000008</v>
      </c>
      <c r="T40" s="48">
        <f t="shared" si="11"/>
        <v>5921295.5330000008</v>
      </c>
      <c r="U40" s="48">
        <f t="shared" si="11"/>
        <v>6270834.0470000003</v>
      </c>
      <c r="V40" s="48">
        <f t="shared" si="11"/>
        <v>7284053.6379999993</v>
      </c>
      <c r="W40" s="48">
        <f t="shared" si="11"/>
        <v>7608817.307000001</v>
      </c>
      <c r="X40" s="48">
        <f t="shared" si="11"/>
        <v>7684026.9909999995</v>
      </c>
      <c r="Y40" s="48">
        <f t="shared" si="11"/>
        <v>7772857.5199999996</v>
      </c>
      <c r="Z40" s="48">
        <f t="shared" si="11"/>
        <v>7577869.3860000009</v>
      </c>
      <c r="AA40" s="48">
        <f t="shared" si="11"/>
        <v>7733846.0800000001</v>
      </c>
      <c r="AB40" s="48">
        <f t="shared" si="11"/>
        <v>7867788.6950000003</v>
      </c>
      <c r="AC40" s="48">
        <f t="shared" si="11"/>
        <v>8231111.4479999999</v>
      </c>
    </row>
    <row r="41" spans="1:29">
      <c r="A41" s="7" t="s">
        <v>119</v>
      </c>
      <c r="X41" s="1">
        <v>0</v>
      </c>
      <c r="Y41" s="1">
        <v>0</v>
      </c>
      <c r="AB41" s="1">
        <v>0</v>
      </c>
      <c r="AC41" s="1">
        <v>0</v>
      </c>
    </row>
    <row r="42" spans="1:29">
      <c r="A42" s="1" t="s">
        <v>93</v>
      </c>
      <c r="F42" s="42">
        <v>329225.44400000002</v>
      </c>
      <c r="I42" s="1">
        <v>339818.59</v>
      </c>
      <c r="K42" s="1">
        <v>381801.23200000002</v>
      </c>
      <c r="L42" s="1">
        <v>476347.50099999999</v>
      </c>
      <c r="M42" s="1">
        <v>532359.35699999996</v>
      </c>
      <c r="N42" s="1">
        <v>553697.85</v>
      </c>
      <c r="O42" s="1">
        <v>602526.95400000003</v>
      </c>
      <c r="P42" s="1">
        <v>637107.75800000003</v>
      </c>
      <c r="Q42" s="1">
        <v>641211.02</v>
      </c>
      <c r="R42" s="1">
        <v>660379.69400000002</v>
      </c>
      <c r="S42" s="1">
        <v>662663.16399999999</v>
      </c>
      <c r="T42" s="1">
        <v>669025.04799999995</v>
      </c>
      <c r="U42" s="1">
        <v>736024.723</v>
      </c>
      <c r="V42" s="1">
        <v>876983.64800000004</v>
      </c>
      <c r="W42" s="1">
        <v>894956.31499999994</v>
      </c>
      <c r="X42" s="1">
        <v>922890.20700000005</v>
      </c>
      <c r="Y42" s="1">
        <v>957889.86</v>
      </c>
      <c r="Z42" s="1">
        <v>928243.29099999997</v>
      </c>
      <c r="AA42" s="1">
        <v>940151.83299999998</v>
      </c>
      <c r="AB42" s="1">
        <v>921133.16099999996</v>
      </c>
      <c r="AC42" s="1">
        <v>976922.46600000001</v>
      </c>
    </row>
    <row r="43" spans="1:29">
      <c r="A43" s="1" t="s">
        <v>58</v>
      </c>
      <c r="F43" s="42">
        <v>195199.136</v>
      </c>
      <c r="I43" s="1">
        <v>226661.299</v>
      </c>
      <c r="K43" s="1">
        <v>250158.29300000001</v>
      </c>
      <c r="L43" s="1">
        <v>294149.42099999997</v>
      </c>
      <c r="M43" s="1">
        <v>329603.06900000002</v>
      </c>
      <c r="N43" s="1">
        <v>328641.23499999999</v>
      </c>
      <c r="O43" s="1">
        <v>396850.85100000002</v>
      </c>
      <c r="P43" s="1">
        <v>423595.55699999997</v>
      </c>
      <c r="Q43" s="1">
        <v>454993.35600000003</v>
      </c>
      <c r="R43" s="1">
        <v>472504.31400000001</v>
      </c>
      <c r="S43" s="1">
        <v>431793.11599999998</v>
      </c>
      <c r="T43" s="1">
        <v>454076.48200000002</v>
      </c>
      <c r="U43" s="1">
        <v>481786.902</v>
      </c>
      <c r="V43" s="1">
        <v>545440.19900000002</v>
      </c>
      <c r="W43" s="1">
        <v>599054.86699999997</v>
      </c>
      <c r="X43" s="1">
        <v>591721.18299999996</v>
      </c>
      <c r="Y43" s="1">
        <v>590923.81499999994</v>
      </c>
      <c r="Z43" s="1">
        <v>582018.30299999996</v>
      </c>
      <c r="AA43" s="1">
        <v>567495.01</v>
      </c>
      <c r="AB43" s="1">
        <v>601440.84299999999</v>
      </c>
      <c r="AC43" s="1">
        <v>628581.71900000004</v>
      </c>
    </row>
    <row r="44" spans="1:29">
      <c r="A44" s="1" t="s">
        <v>94</v>
      </c>
      <c r="F44" s="42">
        <v>191000.136</v>
      </c>
      <c r="I44" s="1">
        <v>239459.196</v>
      </c>
      <c r="K44" s="1">
        <v>254121.43</v>
      </c>
      <c r="L44" s="1">
        <v>303085.61200000002</v>
      </c>
      <c r="M44" s="1">
        <v>321020.02</v>
      </c>
      <c r="N44" s="1">
        <v>385531.033</v>
      </c>
      <c r="O44" s="1">
        <v>330361.66499999998</v>
      </c>
      <c r="P44" s="1">
        <v>371070.13400000002</v>
      </c>
      <c r="Q44" s="1">
        <v>381751.14500000002</v>
      </c>
      <c r="R44" s="1">
        <v>402259.245</v>
      </c>
      <c r="S44" s="1">
        <v>397901.951</v>
      </c>
      <c r="T44" s="1">
        <v>430734.22700000001</v>
      </c>
      <c r="U44" s="1">
        <v>455533.06300000002</v>
      </c>
      <c r="V44" s="1">
        <v>556111.77500000002</v>
      </c>
      <c r="W44" s="1">
        <v>568584.75600000005</v>
      </c>
      <c r="X44" s="1">
        <v>537237.36199999996</v>
      </c>
      <c r="Y44" s="1">
        <v>544540.92299999995</v>
      </c>
      <c r="Z44" s="1">
        <v>554849.723</v>
      </c>
      <c r="AA44" s="1">
        <v>552173.94299999997</v>
      </c>
      <c r="AB44" s="1">
        <v>592453.30200000003</v>
      </c>
      <c r="AC44" s="1">
        <v>617215.821</v>
      </c>
    </row>
    <row r="45" spans="1:29">
      <c r="A45" s="1" t="s">
        <v>95</v>
      </c>
      <c r="F45" s="42">
        <v>128330.245</v>
      </c>
      <c r="I45" s="1">
        <v>163328.842</v>
      </c>
      <c r="K45" s="1">
        <v>180134.13640000002</v>
      </c>
      <c r="L45" s="1">
        <v>253277.79199999999</v>
      </c>
      <c r="M45" s="1">
        <v>280802.304</v>
      </c>
      <c r="N45" s="1">
        <v>245152.22200000001</v>
      </c>
      <c r="O45" s="1">
        <v>261903.40100000001</v>
      </c>
      <c r="P45" s="1">
        <v>290319.99699999997</v>
      </c>
      <c r="Q45" s="1">
        <v>314993.88199999998</v>
      </c>
      <c r="R45" s="1">
        <v>324379.88199999998</v>
      </c>
      <c r="S45" s="1">
        <v>318781.451</v>
      </c>
      <c r="T45" s="1">
        <v>340236.64500000002</v>
      </c>
      <c r="U45" s="1">
        <v>363889.31599999999</v>
      </c>
      <c r="V45" s="1">
        <v>460850.3</v>
      </c>
      <c r="W45" s="1">
        <v>482989.55800000002</v>
      </c>
      <c r="X45" s="1">
        <v>519956.29</v>
      </c>
      <c r="Y45" s="1">
        <v>529767.97600000002</v>
      </c>
      <c r="Z45" s="1">
        <v>521152.908</v>
      </c>
      <c r="AA45" s="1">
        <v>518495.77399999998</v>
      </c>
      <c r="AB45" s="1">
        <v>522736.951</v>
      </c>
      <c r="AC45" s="1">
        <v>530419.446</v>
      </c>
    </row>
    <row r="46" spans="1:29">
      <c r="A46" s="1" t="s">
        <v>98</v>
      </c>
      <c r="F46" s="42">
        <v>505132.40500000003</v>
      </c>
      <c r="I46" s="1">
        <v>582322.61499999999</v>
      </c>
      <c r="K46" s="1">
        <v>637397.45799999998</v>
      </c>
      <c r="L46" s="1">
        <v>731727.44200000004</v>
      </c>
      <c r="M46" s="1">
        <v>801945.83100000001</v>
      </c>
      <c r="N46" s="1">
        <v>844383.22400000005</v>
      </c>
      <c r="O46" s="1">
        <v>933435.26199999999</v>
      </c>
      <c r="P46" s="1">
        <v>944905.19299999997</v>
      </c>
      <c r="Q46" s="1">
        <v>987349.96799999999</v>
      </c>
      <c r="R46" s="1">
        <v>999395.85699999996</v>
      </c>
      <c r="S46" s="1">
        <v>1023259.333</v>
      </c>
      <c r="T46" s="1">
        <v>1281857.889</v>
      </c>
      <c r="U46" s="1">
        <v>1314024.675</v>
      </c>
      <c r="V46" s="1">
        <v>1400104.4369999999</v>
      </c>
      <c r="W46" s="1">
        <v>1503290.578</v>
      </c>
      <c r="X46" s="1">
        <v>1521970.6359999999</v>
      </c>
      <c r="Y46" s="1">
        <v>1561196.9650000001</v>
      </c>
      <c r="Z46" s="1">
        <v>1501654.2409999999</v>
      </c>
      <c r="AA46" s="1">
        <v>1501242.862</v>
      </c>
      <c r="AB46" s="1">
        <v>1519752.7760000001</v>
      </c>
      <c r="AC46" s="1">
        <v>1621253.9110000001</v>
      </c>
    </row>
    <row r="47" spans="1:29">
      <c r="A47" s="1" t="s">
        <v>99</v>
      </c>
      <c r="F47" s="42">
        <v>283574.96100000001</v>
      </c>
      <c r="I47" s="1">
        <v>312156.24300000002</v>
      </c>
      <c r="K47" s="1">
        <v>319827.147</v>
      </c>
      <c r="L47" s="1">
        <v>377387.96100000001</v>
      </c>
      <c r="M47" s="1">
        <v>363532.77600000001</v>
      </c>
      <c r="N47" s="1">
        <v>405499.95400000003</v>
      </c>
      <c r="O47" s="1">
        <v>416842.26299999998</v>
      </c>
      <c r="P47" s="1">
        <v>426860.20799999998</v>
      </c>
      <c r="Q47" s="1">
        <v>469471.51799999998</v>
      </c>
      <c r="R47" s="1">
        <v>483917.83</v>
      </c>
      <c r="S47" s="1">
        <v>519692.609</v>
      </c>
      <c r="T47" s="1">
        <v>573594.25100000005</v>
      </c>
      <c r="U47" s="1">
        <v>700581.005</v>
      </c>
      <c r="V47" s="1">
        <v>762657.71200000006</v>
      </c>
      <c r="W47" s="1">
        <v>763803.98600000003</v>
      </c>
      <c r="X47" s="1">
        <v>772160.54599999997</v>
      </c>
      <c r="Y47" s="1">
        <v>799567.33100000001</v>
      </c>
      <c r="Z47" s="1">
        <v>827839.76199999999</v>
      </c>
      <c r="AA47" s="1">
        <v>852140.32900000003</v>
      </c>
      <c r="AB47" s="1">
        <v>847006.35699999996</v>
      </c>
      <c r="AC47" s="1">
        <v>876833.69400000002</v>
      </c>
    </row>
    <row r="48" spans="1:29">
      <c r="A48" s="1" t="s">
        <v>59</v>
      </c>
      <c r="F48" s="42">
        <v>107414.38</v>
      </c>
      <c r="I48" s="1">
        <v>126678.272</v>
      </c>
      <c r="K48" s="1">
        <v>137553.42000000001</v>
      </c>
      <c r="L48" s="1">
        <v>168006.66800000001</v>
      </c>
      <c r="M48" s="1">
        <v>351651.83</v>
      </c>
      <c r="N48" s="1">
        <v>179372.326</v>
      </c>
      <c r="O48" s="1">
        <v>184783.269</v>
      </c>
      <c r="P48" s="1">
        <v>213995.31299999999</v>
      </c>
      <c r="Q48" s="1">
        <v>215195.802</v>
      </c>
      <c r="R48" s="1">
        <v>227049.465</v>
      </c>
      <c r="S48" s="1">
        <v>227457.70800000001</v>
      </c>
      <c r="T48" s="1">
        <v>253799.174</v>
      </c>
      <c r="U48" s="1">
        <v>260740.03700000001</v>
      </c>
      <c r="V48" s="1">
        <v>268150.75400000002</v>
      </c>
      <c r="W48" s="1">
        <v>262127.16</v>
      </c>
      <c r="X48" s="1">
        <v>251622.98</v>
      </c>
      <c r="Y48" s="1">
        <v>251407.24299999999</v>
      </c>
      <c r="Z48" s="1">
        <v>244163.71100000001</v>
      </c>
      <c r="AA48" s="1">
        <v>237733.77600000001</v>
      </c>
      <c r="AB48" s="1">
        <v>236331.766</v>
      </c>
      <c r="AC48" s="1">
        <v>236338.79500000001</v>
      </c>
    </row>
    <row r="49" spans="1:29">
      <c r="A49" s="1" t="s">
        <v>101</v>
      </c>
      <c r="F49" s="42">
        <v>94850.816000000006</v>
      </c>
      <c r="I49" s="1">
        <v>109190.435</v>
      </c>
      <c r="K49" s="1">
        <v>114646.61</v>
      </c>
      <c r="L49" s="1">
        <v>131004.24400000001</v>
      </c>
      <c r="M49" s="1">
        <v>143504.34599999999</v>
      </c>
      <c r="N49" s="1">
        <v>158530.06099999999</v>
      </c>
      <c r="O49" s="1">
        <v>176059.747</v>
      </c>
      <c r="P49" s="1">
        <v>196251.32199999999</v>
      </c>
      <c r="Q49" s="1">
        <v>206751.139</v>
      </c>
      <c r="R49" s="1">
        <v>217868.198</v>
      </c>
      <c r="S49" s="1">
        <v>228012.541</v>
      </c>
      <c r="T49" s="1">
        <v>228137.342</v>
      </c>
      <c r="U49" s="1">
        <v>155019.128</v>
      </c>
      <c r="V49" s="1">
        <v>301264.16499999998</v>
      </c>
      <c r="W49" s="1">
        <v>322194.24099999998</v>
      </c>
      <c r="X49" s="1">
        <v>321784.67300000001</v>
      </c>
      <c r="Y49" s="1">
        <v>327830.43800000002</v>
      </c>
      <c r="Z49" s="1">
        <v>334323.48700000002</v>
      </c>
      <c r="AA49" s="1">
        <v>345887.94</v>
      </c>
      <c r="AB49" s="1">
        <v>345779.86700000003</v>
      </c>
      <c r="AC49" s="1">
        <v>368310.609</v>
      </c>
    </row>
    <row r="50" spans="1:29">
      <c r="A50" s="1" t="s">
        <v>107</v>
      </c>
      <c r="F50" s="42">
        <v>49836.455999999998</v>
      </c>
      <c r="I50" s="1">
        <v>55590.961000000003</v>
      </c>
      <c r="K50" s="1">
        <v>58361.474999999999</v>
      </c>
      <c r="L50" s="1">
        <v>60501.843999999997</v>
      </c>
      <c r="M50" s="1">
        <v>67560.519</v>
      </c>
      <c r="N50" s="1">
        <v>74845.615999999995</v>
      </c>
      <c r="O50" s="1">
        <v>92013.373000000007</v>
      </c>
      <c r="P50" s="1">
        <v>101731.629</v>
      </c>
      <c r="Q50" s="1">
        <v>103508.962</v>
      </c>
      <c r="R50" s="1">
        <v>110040.519</v>
      </c>
      <c r="S50" s="1">
        <v>116690.59299999999</v>
      </c>
      <c r="T50" s="1">
        <v>123620.132</v>
      </c>
      <c r="U50" s="1">
        <v>132739.46799999999</v>
      </c>
      <c r="V50" s="1">
        <v>149288.19200000001</v>
      </c>
      <c r="W50" s="1">
        <v>159525.973</v>
      </c>
      <c r="X50" s="1">
        <v>169888.36799999999</v>
      </c>
      <c r="Y50" s="1">
        <v>157114.07399999999</v>
      </c>
      <c r="Z50" s="1">
        <v>155987.52299999999</v>
      </c>
      <c r="AA50" s="1">
        <v>157343.568</v>
      </c>
      <c r="AB50" s="1">
        <v>164659.02499999999</v>
      </c>
      <c r="AC50" s="1">
        <v>161971.65900000001</v>
      </c>
    </row>
    <row r="51" spans="1:29">
      <c r="A51" s="1" t="s">
        <v>108</v>
      </c>
      <c r="F51" s="42">
        <v>286339.13799999998</v>
      </c>
      <c r="I51" s="1">
        <v>319564.527</v>
      </c>
      <c r="K51" s="1">
        <v>346981.62599999999</v>
      </c>
      <c r="L51" s="1">
        <v>428972.45699999999</v>
      </c>
      <c r="M51" s="1">
        <v>487841.78100000002</v>
      </c>
      <c r="N51" s="1">
        <v>520468.56400000001</v>
      </c>
      <c r="O51" s="1">
        <v>565502.94299999997</v>
      </c>
      <c r="P51" s="1">
        <v>607014.61199999996</v>
      </c>
      <c r="Q51" s="1">
        <v>638988.02</v>
      </c>
      <c r="R51" s="1">
        <v>687351.46499999997</v>
      </c>
      <c r="S51" s="1">
        <v>696290.451</v>
      </c>
      <c r="T51" s="1">
        <v>745541.478</v>
      </c>
      <c r="U51" s="1">
        <v>798170.47199999995</v>
      </c>
      <c r="V51" s="1">
        <v>914926.25800000003</v>
      </c>
      <c r="W51" s="1">
        <v>955382.15099999995</v>
      </c>
      <c r="X51" s="1">
        <v>966867.79799999995</v>
      </c>
      <c r="Y51" s="1">
        <v>956845.05500000005</v>
      </c>
      <c r="Z51" s="1">
        <v>961322.17700000003</v>
      </c>
      <c r="AA51" s="1">
        <v>935433.92700000003</v>
      </c>
      <c r="AB51" s="1">
        <v>952535.20600000001</v>
      </c>
      <c r="AC51" s="1">
        <v>1021662.068</v>
      </c>
    </row>
    <row r="52" spans="1:29">
      <c r="A52" s="1" t="s">
        <v>112</v>
      </c>
      <c r="F52" s="42">
        <v>23264.330999999998</v>
      </c>
      <c r="I52" s="1">
        <v>25532.352999999999</v>
      </c>
      <c r="K52" s="1">
        <v>25543.208579999999</v>
      </c>
      <c r="L52" s="1">
        <v>31522.269</v>
      </c>
      <c r="M52" s="1">
        <v>34704.851999999999</v>
      </c>
      <c r="N52" s="1">
        <v>35689.942000000003</v>
      </c>
      <c r="O52" s="1">
        <v>43545.498</v>
      </c>
      <c r="P52" s="1">
        <v>47876.548999999999</v>
      </c>
      <c r="Q52" s="1">
        <v>51649.186999999998</v>
      </c>
      <c r="R52" s="1">
        <v>56437.557000000001</v>
      </c>
      <c r="S52" s="1">
        <v>56036.120999999999</v>
      </c>
      <c r="T52" s="1">
        <v>65819.614000000001</v>
      </c>
      <c r="U52" s="1">
        <v>73656.468999999997</v>
      </c>
      <c r="V52" s="1">
        <v>102768.16499999999</v>
      </c>
      <c r="W52" s="1">
        <v>105727.325</v>
      </c>
      <c r="X52" s="1">
        <v>102996.777</v>
      </c>
      <c r="Y52" s="1">
        <v>93452.686000000002</v>
      </c>
      <c r="Z52" s="1">
        <v>89318.178</v>
      </c>
      <c r="AA52" s="1">
        <v>88079.326000000001</v>
      </c>
      <c r="AB52" s="1">
        <v>91392.745999999999</v>
      </c>
      <c r="AC52" s="1">
        <v>94645.811000000002</v>
      </c>
    </row>
    <row r="53" spans="1:29">
      <c r="A53" s="24" t="s">
        <v>116</v>
      </c>
      <c r="B53" s="24"/>
      <c r="C53" s="24"/>
      <c r="D53" s="24"/>
      <c r="E53" s="24"/>
      <c r="F53" s="45">
        <v>350277.54</v>
      </c>
      <c r="G53" s="24"/>
      <c r="H53" s="24"/>
      <c r="I53" s="24">
        <v>400459.66499999998</v>
      </c>
      <c r="J53" s="24"/>
      <c r="K53" s="24">
        <v>413180.09499999997</v>
      </c>
      <c r="L53" s="24">
        <v>530825.65399999998</v>
      </c>
      <c r="M53" s="24">
        <v>578856.00199999998</v>
      </c>
      <c r="N53" s="24">
        <v>561089.00199999998</v>
      </c>
      <c r="O53" s="24">
        <v>609757.75399999996</v>
      </c>
      <c r="P53" s="24">
        <v>650544.41599999997</v>
      </c>
      <c r="Q53" s="24">
        <v>682758.25100000005</v>
      </c>
      <c r="R53" s="24">
        <v>702681.005</v>
      </c>
      <c r="S53" s="24">
        <v>718334.35900000005</v>
      </c>
      <c r="T53" s="24">
        <v>754853.25100000005</v>
      </c>
      <c r="U53" s="24">
        <v>798668.78899999999</v>
      </c>
      <c r="V53" s="24">
        <v>945508.03300000005</v>
      </c>
      <c r="W53" s="24">
        <v>991180.397</v>
      </c>
      <c r="X53" s="24">
        <v>1004930.171</v>
      </c>
      <c r="Y53" s="24">
        <v>1002321.154</v>
      </c>
      <c r="Z53" s="24">
        <v>876996.08200000005</v>
      </c>
      <c r="AA53" s="24">
        <v>1037667.792</v>
      </c>
      <c r="AB53" s="24">
        <v>1072566.6950000001</v>
      </c>
      <c r="AC53" s="24">
        <v>1096955.449</v>
      </c>
    </row>
    <row r="54" spans="1:29">
      <c r="A54" s="7" t="s">
        <v>122</v>
      </c>
      <c r="B54" s="48">
        <f>SUM(B56:B64)</f>
        <v>0</v>
      </c>
      <c r="C54" s="48">
        <f t="shared" ref="C54:AC54" si="12">SUM(C56:C64)</f>
        <v>0</v>
      </c>
      <c r="D54" s="48">
        <f t="shared" si="12"/>
        <v>0</v>
      </c>
      <c r="E54" s="48">
        <f t="shared" si="12"/>
        <v>0</v>
      </c>
      <c r="F54" s="48">
        <f t="shared" si="12"/>
        <v>1082753.3339999998</v>
      </c>
      <c r="G54" s="48">
        <f t="shared" si="12"/>
        <v>0</v>
      </c>
      <c r="H54" s="48">
        <f t="shared" si="12"/>
        <v>0</v>
      </c>
      <c r="I54" s="48">
        <f t="shared" si="12"/>
        <v>1285226.9659999998</v>
      </c>
      <c r="J54" s="48">
        <f t="shared" si="12"/>
        <v>0</v>
      </c>
      <c r="K54" s="48">
        <f t="shared" si="12"/>
        <v>1519397.2250000001</v>
      </c>
      <c r="L54" s="48">
        <f t="shared" si="12"/>
        <v>1721683.9010000001</v>
      </c>
      <c r="M54" s="48">
        <f t="shared" si="12"/>
        <v>1906561.0969999998</v>
      </c>
      <c r="N54" s="48">
        <f t="shared" si="12"/>
        <v>1695247.7790000001</v>
      </c>
      <c r="O54" s="48">
        <f t="shared" si="12"/>
        <v>1301409.395</v>
      </c>
      <c r="P54" s="48">
        <f t="shared" si="12"/>
        <v>1468789.7010000001</v>
      </c>
      <c r="Q54" s="48">
        <f t="shared" si="12"/>
        <v>1713462.656</v>
      </c>
      <c r="R54" s="48">
        <f t="shared" si="12"/>
        <v>1709080.3529999999</v>
      </c>
      <c r="S54" s="48">
        <f t="shared" si="12"/>
        <v>1752718.0489999999</v>
      </c>
      <c r="T54" s="48">
        <f t="shared" si="12"/>
        <v>1829791.7919999999</v>
      </c>
      <c r="U54" s="48">
        <f t="shared" si="12"/>
        <v>1640513.7350000001</v>
      </c>
      <c r="V54" s="48">
        <f t="shared" si="12"/>
        <v>2370639.682</v>
      </c>
      <c r="W54" s="48">
        <f t="shared" si="12"/>
        <v>2502107.4780000001</v>
      </c>
      <c r="X54" s="48">
        <f t="shared" si="12"/>
        <v>2517531.7260000003</v>
      </c>
      <c r="Y54" s="48">
        <f t="shared" si="12"/>
        <v>2391220.659</v>
      </c>
      <c r="Z54" s="48">
        <f t="shared" si="12"/>
        <v>2467697.86</v>
      </c>
      <c r="AA54" s="48">
        <f t="shared" si="12"/>
        <v>2607892.8450000002</v>
      </c>
      <c r="AB54" s="48">
        <f t="shared" si="12"/>
        <v>2700811.733</v>
      </c>
      <c r="AC54" s="48">
        <f t="shared" si="12"/>
        <v>2569803.432</v>
      </c>
    </row>
    <row r="55" spans="1:29">
      <c r="A55" s="7" t="s">
        <v>119</v>
      </c>
      <c r="X55" s="1">
        <v>0</v>
      </c>
      <c r="Y55" s="1">
        <v>0</v>
      </c>
      <c r="AB55" s="1">
        <v>0</v>
      </c>
      <c r="AC55" s="1">
        <v>0</v>
      </c>
    </row>
    <row r="56" spans="1:29">
      <c r="A56" s="1" t="s">
        <v>89</v>
      </c>
      <c r="F56" s="42">
        <v>83026.646999999997</v>
      </c>
      <c r="I56" s="1">
        <v>101072.802</v>
      </c>
      <c r="K56" s="1">
        <v>91914.067999999999</v>
      </c>
      <c r="L56" s="1">
        <v>106054.988</v>
      </c>
      <c r="M56" s="1">
        <v>108102.795</v>
      </c>
      <c r="N56" s="1">
        <v>113785.008</v>
      </c>
      <c r="O56" s="1">
        <v>108681.673</v>
      </c>
      <c r="P56" s="1">
        <v>121958.855</v>
      </c>
      <c r="Q56" s="1">
        <v>129128.086</v>
      </c>
      <c r="R56" s="1">
        <v>119381.107</v>
      </c>
      <c r="S56" s="1">
        <v>125117.717</v>
      </c>
      <c r="T56" s="1">
        <v>142405.93400000001</v>
      </c>
      <c r="U56" s="1">
        <v>160919.65299999999</v>
      </c>
      <c r="V56" s="1">
        <v>169353.51500000001</v>
      </c>
      <c r="W56" s="1">
        <v>172926.579</v>
      </c>
      <c r="X56" s="1">
        <v>167885.53400000001</v>
      </c>
      <c r="Y56" s="1">
        <v>182982.58</v>
      </c>
      <c r="Z56" s="1">
        <v>183988.008</v>
      </c>
      <c r="AA56" s="1">
        <v>175406.152</v>
      </c>
      <c r="AB56" s="1">
        <v>183137.111</v>
      </c>
      <c r="AC56" s="1">
        <v>177695.603</v>
      </c>
    </row>
    <row r="57" spans="1:29">
      <c r="A57" s="1" t="s">
        <v>96</v>
      </c>
      <c r="F57" s="42">
        <v>23090.460999999999</v>
      </c>
      <c r="I57" s="1">
        <v>29750.280999999999</v>
      </c>
      <c r="K57" s="1">
        <v>30036.249</v>
      </c>
      <c r="L57" s="1">
        <v>46852.608</v>
      </c>
      <c r="M57" s="1">
        <v>55601.446000000004</v>
      </c>
      <c r="N57" s="1">
        <v>57185.021000000001</v>
      </c>
      <c r="O57" s="1">
        <v>63344.646000000001</v>
      </c>
      <c r="P57" s="1">
        <v>72280.37</v>
      </c>
      <c r="Q57" s="1">
        <v>73307.907000000007</v>
      </c>
      <c r="R57" s="1">
        <v>71805.165999999997</v>
      </c>
      <c r="S57" s="1">
        <v>71527.061000000002</v>
      </c>
      <c r="T57" s="1">
        <v>75127.146999999997</v>
      </c>
      <c r="U57" s="1">
        <v>73245.724000000002</v>
      </c>
      <c r="V57" s="1">
        <v>84611.466</v>
      </c>
      <c r="W57" s="1">
        <v>89882.273000000001</v>
      </c>
      <c r="X57" s="1">
        <v>83195.652000000002</v>
      </c>
      <c r="Y57" s="1">
        <v>79230.054999999993</v>
      </c>
      <c r="Z57" s="1">
        <v>83282.978000000003</v>
      </c>
      <c r="AA57" s="1">
        <v>76122.822</v>
      </c>
      <c r="AB57" s="1">
        <v>78356.350999999995</v>
      </c>
      <c r="AC57" s="1">
        <v>86594.373000000007</v>
      </c>
    </row>
    <row r="58" spans="1:29" s="11" customFormat="1">
      <c r="A58" s="1" t="s">
        <v>97</v>
      </c>
      <c r="B58" s="1"/>
      <c r="C58" s="1"/>
      <c r="D58" s="1"/>
      <c r="E58" s="1"/>
      <c r="F58" s="42">
        <v>119804.572</v>
      </c>
      <c r="G58" s="1"/>
      <c r="H58" s="1"/>
      <c r="I58" s="1">
        <v>135421.53</v>
      </c>
      <c r="J58" s="1"/>
      <c r="K58" s="1">
        <v>151842.16699999999</v>
      </c>
      <c r="L58" s="1">
        <v>191826.13200000001</v>
      </c>
      <c r="M58" s="1">
        <v>214284.09</v>
      </c>
      <c r="N58" s="1">
        <v>243266.62100000001</v>
      </c>
      <c r="O58" s="1">
        <v>274418.022</v>
      </c>
      <c r="P58" s="1">
        <v>283207.31599999999</v>
      </c>
      <c r="Q58" s="1">
        <v>301553.78000000003</v>
      </c>
      <c r="R58" s="1">
        <v>316207.47399999999</v>
      </c>
      <c r="S58" s="1">
        <v>320112.79599999997</v>
      </c>
      <c r="T58" s="1">
        <v>342925.467</v>
      </c>
      <c r="U58" s="1">
        <v>180593.269</v>
      </c>
      <c r="V58" s="1">
        <v>468639.44400000002</v>
      </c>
      <c r="W58" s="1">
        <v>485937.99800000002</v>
      </c>
      <c r="X58" s="1">
        <v>484377.29599999997</v>
      </c>
      <c r="Y58" s="1">
        <v>478296.99699999997</v>
      </c>
      <c r="Z58" s="1">
        <v>478893.13900000002</v>
      </c>
      <c r="AA58" s="1">
        <v>517112.41600000003</v>
      </c>
      <c r="AB58" s="1">
        <v>510306.19699999999</v>
      </c>
      <c r="AC58" s="1">
        <v>527534.85699999996</v>
      </c>
    </row>
    <row r="59" spans="1:29">
      <c r="A59" s="1" t="s">
        <v>103</v>
      </c>
      <c r="F59" s="42">
        <v>40925.197</v>
      </c>
      <c r="I59" s="1">
        <v>44837.406000000003</v>
      </c>
      <c r="K59" s="1">
        <v>50124.805999999997</v>
      </c>
      <c r="L59" s="1">
        <v>67694.911999999997</v>
      </c>
      <c r="M59" s="1">
        <v>75736.039000000004</v>
      </c>
      <c r="N59" s="1">
        <v>78228.668000000005</v>
      </c>
      <c r="O59" s="1">
        <v>86298.994000000006</v>
      </c>
      <c r="P59" s="1">
        <v>97291.535999999993</v>
      </c>
      <c r="Q59" s="1">
        <v>92911.695999999996</v>
      </c>
      <c r="R59" s="1">
        <v>103090.90399999999</v>
      </c>
      <c r="S59" s="1">
        <v>102716.943</v>
      </c>
      <c r="T59" s="1">
        <v>111869.476</v>
      </c>
      <c r="U59" s="1">
        <v>111768.372</v>
      </c>
      <c r="V59" s="1">
        <v>117240.48</v>
      </c>
      <c r="W59" s="1">
        <v>141667.83199999999</v>
      </c>
      <c r="X59" s="1">
        <v>153128.56200000001</v>
      </c>
      <c r="Y59" s="1">
        <v>138980.261</v>
      </c>
      <c r="Z59" s="1">
        <v>124722.412</v>
      </c>
      <c r="AA59" s="1">
        <v>125887.56</v>
      </c>
      <c r="AB59" s="1">
        <v>123060.19899999999</v>
      </c>
      <c r="AC59" s="1">
        <v>121897.167</v>
      </c>
    </row>
    <row r="60" spans="1:29">
      <c r="A60" s="1" t="s">
        <v>104</v>
      </c>
      <c r="F60" s="42">
        <v>79331.442999999999</v>
      </c>
      <c r="I60" s="1">
        <v>98787.332999999999</v>
      </c>
      <c r="K60" s="1">
        <v>245198.55499999999</v>
      </c>
      <c r="L60" s="1">
        <v>142626.91500000001</v>
      </c>
      <c r="M60" s="1">
        <v>178323.13200000001</v>
      </c>
      <c r="N60" s="1">
        <v>190323.30799999999</v>
      </c>
      <c r="O60" s="1">
        <v>216017.31099999999</v>
      </c>
      <c r="P60" s="1">
        <v>242243.42600000001</v>
      </c>
      <c r="Q60" s="1">
        <v>488203.609</v>
      </c>
      <c r="R60" s="1">
        <v>494729.59899999999</v>
      </c>
      <c r="S60" s="1">
        <v>490934.18900000001</v>
      </c>
      <c r="T60" s="1">
        <v>534780.64199999999</v>
      </c>
      <c r="U60" s="1">
        <v>392062.64199999999</v>
      </c>
      <c r="V60" s="1">
        <v>628891.95499999996</v>
      </c>
      <c r="W60" s="1">
        <v>644931.16</v>
      </c>
      <c r="X60" s="1">
        <v>647360.74399999995</v>
      </c>
      <c r="Y60" s="1">
        <v>484237.20899999997</v>
      </c>
      <c r="Z60" s="1">
        <v>626632.16700000002</v>
      </c>
      <c r="AA60" s="1">
        <v>773491.451</v>
      </c>
      <c r="AB60" s="1">
        <v>743504.51399999997</v>
      </c>
      <c r="AC60" s="1">
        <v>644319.90099999995</v>
      </c>
    </row>
    <row r="61" spans="1:29">
      <c r="A61" s="1" t="s">
        <v>106</v>
      </c>
      <c r="F61" s="42">
        <v>293519.95500000002</v>
      </c>
      <c r="I61" s="1">
        <v>342903.29700000002</v>
      </c>
      <c r="K61" s="1">
        <v>394498.30699999997</v>
      </c>
      <c r="L61" s="1">
        <v>402438.09700000001</v>
      </c>
      <c r="M61" s="1">
        <v>475771.47700000001</v>
      </c>
      <c r="N61" s="1">
        <v>542244.62800000003</v>
      </c>
      <c r="O61" s="1">
        <v>435162.77399999998</v>
      </c>
      <c r="P61" s="1">
        <v>503935.44799999997</v>
      </c>
      <c r="Q61" s="1">
        <v>480969.28499999997</v>
      </c>
      <c r="R61" s="1">
        <v>446363.48700000002</v>
      </c>
      <c r="S61" s="1">
        <v>483116.86599999998</v>
      </c>
      <c r="T61" s="1">
        <v>455984.55800000002</v>
      </c>
      <c r="U61" s="1">
        <v>543542.40300000005</v>
      </c>
      <c r="V61" s="1">
        <v>678776.98400000005</v>
      </c>
      <c r="W61" s="1">
        <v>747585.65300000005</v>
      </c>
      <c r="X61" s="1">
        <v>759664.696</v>
      </c>
      <c r="Y61" s="1">
        <v>813420.69400000002</v>
      </c>
      <c r="Z61" s="1">
        <v>763137.34900000005</v>
      </c>
      <c r="AA61" s="1">
        <v>734336.04399999999</v>
      </c>
      <c r="AB61" s="1">
        <v>850107.13100000005</v>
      </c>
      <c r="AC61" s="1">
        <v>796528.75</v>
      </c>
    </row>
    <row r="62" spans="1:29">
      <c r="A62" s="1" t="s">
        <v>110</v>
      </c>
      <c r="F62" s="42">
        <v>374223.83199999999</v>
      </c>
      <c r="I62" s="1">
        <v>456230.94400000002</v>
      </c>
      <c r="K62" s="1">
        <v>473897.087</v>
      </c>
      <c r="L62" s="1">
        <v>668888.02</v>
      </c>
      <c r="M62" s="1">
        <v>688186.58900000004</v>
      </c>
      <c r="N62" s="1">
        <v>350047.25699999998</v>
      </c>
      <c r="O62" s="1">
        <v>6704.1239999999998</v>
      </c>
      <c r="P62" s="1">
        <v>8211.5360000000001</v>
      </c>
      <c r="Q62" s="1">
        <v>3955.9789999999998</v>
      </c>
      <c r="R62" s="1">
        <v>4751.1570000000002</v>
      </c>
      <c r="S62" s="1">
        <v>5913.9369999999999</v>
      </c>
      <c r="T62" s="1">
        <v>6498.741</v>
      </c>
      <c r="U62" s="1">
        <v>7296.4179999999997</v>
      </c>
      <c r="V62" s="1">
        <v>8473.15</v>
      </c>
      <c r="W62" s="1">
        <v>8484.9609999999993</v>
      </c>
      <c r="X62" s="1">
        <v>7885.7139999999999</v>
      </c>
      <c r="Y62" s="1">
        <v>6489.2030000000004</v>
      </c>
      <c r="Z62" s="1">
        <v>6149.9139999999998</v>
      </c>
      <c r="AA62" s="1">
        <v>6858.2039999999997</v>
      </c>
      <c r="AB62" s="1">
        <v>7477.6469999999999</v>
      </c>
      <c r="AC62" s="1">
        <v>7543.2979999999998</v>
      </c>
    </row>
    <row r="63" spans="1:29">
      <c r="A63" s="1" t="s">
        <v>111</v>
      </c>
      <c r="F63" s="42">
        <v>33751.362999999998</v>
      </c>
      <c r="I63" s="1">
        <v>37578.919000000002</v>
      </c>
      <c r="K63" s="1">
        <v>39258.284</v>
      </c>
      <c r="L63" s="1">
        <v>49667.127999999997</v>
      </c>
      <c r="M63" s="1">
        <v>55743.599000000002</v>
      </c>
      <c r="N63" s="1">
        <v>53823.923000000003</v>
      </c>
      <c r="O63" s="1">
        <v>63322.794999999998</v>
      </c>
      <c r="P63" s="1">
        <v>57443.553</v>
      </c>
      <c r="Q63" s="1">
        <v>61588.646999999997</v>
      </c>
      <c r="R63" s="1">
        <v>66178.872000000003</v>
      </c>
      <c r="S63" s="1">
        <v>72241.543000000005</v>
      </c>
      <c r="T63" s="1">
        <v>72157.447</v>
      </c>
      <c r="U63" s="1">
        <v>76233.039999999994</v>
      </c>
      <c r="V63" s="1">
        <v>101031.364</v>
      </c>
      <c r="W63" s="1">
        <v>96592.043999999994</v>
      </c>
      <c r="X63" s="1">
        <v>113396.019</v>
      </c>
      <c r="Y63" s="1">
        <v>109188.973</v>
      </c>
      <c r="Z63" s="1">
        <v>106695.015</v>
      </c>
      <c r="AA63" s="1">
        <v>99581.316999999995</v>
      </c>
      <c r="AB63" s="1">
        <v>104084.762</v>
      </c>
      <c r="AC63" s="1">
        <v>106616.845</v>
      </c>
    </row>
    <row r="64" spans="1:29">
      <c r="A64" s="24" t="s">
        <v>114</v>
      </c>
      <c r="B64" s="24"/>
      <c r="C64" s="24"/>
      <c r="D64" s="24"/>
      <c r="E64" s="24"/>
      <c r="F64" s="45">
        <v>35079.864000000001</v>
      </c>
      <c r="G64" s="24"/>
      <c r="H64" s="24"/>
      <c r="I64" s="24">
        <v>38644.453999999998</v>
      </c>
      <c r="J64" s="24"/>
      <c r="K64" s="24">
        <v>42627.701999999997</v>
      </c>
      <c r="L64" s="24">
        <v>45635.101000000002</v>
      </c>
      <c r="M64" s="24">
        <v>54811.93</v>
      </c>
      <c r="N64" s="24">
        <v>66343.345000000001</v>
      </c>
      <c r="O64" s="24">
        <v>47459.055999999997</v>
      </c>
      <c r="P64" s="24">
        <v>82217.660999999993</v>
      </c>
      <c r="Q64" s="24">
        <v>81843.667000000001</v>
      </c>
      <c r="R64" s="24">
        <v>86572.587</v>
      </c>
      <c r="S64" s="24">
        <v>81036.997000000003</v>
      </c>
      <c r="T64" s="24">
        <v>88042.38</v>
      </c>
      <c r="U64" s="24">
        <v>94852.214000000007</v>
      </c>
      <c r="V64" s="24">
        <v>113621.32399999999</v>
      </c>
      <c r="W64" s="24">
        <v>114098.978</v>
      </c>
      <c r="X64" s="24">
        <v>100637.50900000001</v>
      </c>
      <c r="Y64" s="24">
        <v>98394.687000000005</v>
      </c>
      <c r="Z64" s="24">
        <v>94196.877999999997</v>
      </c>
      <c r="AA64" s="24">
        <v>99096.879000000001</v>
      </c>
      <c r="AB64" s="24">
        <v>100777.821</v>
      </c>
      <c r="AC64" s="24">
        <v>101072.63800000001</v>
      </c>
    </row>
    <row r="65" spans="1:29">
      <c r="A65" s="46" t="s">
        <v>90</v>
      </c>
      <c r="B65" s="46"/>
      <c r="C65" s="46"/>
      <c r="D65" s="46"/>
      <c r="E65" s="46"/>
      <c r="F65" s="47">
        <v>6297.0330000000004</v>
      </c>
      <c r="G65" s="46"/>
      <c r="H65" s="46"/>
      <c r="I65" s="46">
        <v>5058.6490000000003</v>
      </c>
      <c r="J65" s="46"/>
      <c r="K65" s="46">
        <v>5572.2491600000003</v>
      </c>
      <c r="L65" s="46">
        <v>2169.547</v>
      </c>
      <c r="M65" s="46">
        <v>2627.3220000000001</v>
      </c>
      <c r="N65" s="46">
        <v>3739.8780000000002</v>
      </c>
      <c r="O65" s="46">
        <v>3599.1559999999999</v>
      </c>
      <c r="P65" s="46">
        <v>2859.1750000000002</v>
      </c>
      <c r="Q65" s="46">
        <v>3863.7660000000001</v>
      </c>
      <c r="R65" s="46">
        <v>4239.1689999999999</v>
      </c>
      <c r="S65" s="46">
        <v>3611.4250000000002</v>
      </c>
      <c r="T65" s="46">
        <v>5129.3760000000002</v>
      </c>
      <c r="U65" s="46">
        <v>5439.7610000000004</v>
      </c>
      <c r="V65" s="46">
        <v>5306</v>
      </c>
      <c r="W65" s="46">
        <v>6993.4780000000001</v>
      </c>
      <c r="X65" s="24">
        <v>7554.7470000000003</v>
      </c>
      <c r="Y65" s="24">
        <v>6545.1790000000001</v>
      </c>
      <c r="Z65" s="24">
        <v>4649.3950000000004</v>
      </c>
      <c r="AA65" s="24">
        <v>4909.9970000000003</v>
      </c>
      <c r="AB65" s="24">
        <v>5691.3710000000001</v>
      </c>
      <c r="AC65" s="24">
        <v>5405.1779999999999</v>
      </c>
    </row>
    <row r="67" spans="1:29">
      <c r="I67" s="20" t="s">
        <v>78</v>
      </c>
      <c r="J67" s="20" t="s">
        <v>76</v>
      </c>
      <c r="L67" s="1" t="s">
        <v>69</v>
      </c>
      <c r="O67" s="1" t="s">
        <v>78</v>
      </c>
      <c r="P67" s="1" t="s">
        <v>78</v>
      </c>
      <c r="Q67" s="1" t="s">
        <v>78</v>
      </c>
      <c r="R67" s="1" t="s">
        <v>78</v>
      </c>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4">
    <tabColor indexed="62"/>
  </sheetPr>
  <dimension ref="A1:AC70"/>
  <sheetViews>
    <sheetView showZeros="0" zoomScale="80" zoomScaleNormal="80" workbookViewId="0">
      <pane xSplit="1" ySplit="5" topLeftCell="Q6" activePane="bottomRight" state="frozen"/>
      <selection activeCell="B52" sqref="B52"/>
      <selection pane="topRight" activeCell="B52" sqref="B52"/>
      <selection pane="bottomLeft" activeCell="B52" sqref="B52"/>
      <selection pane="bottomRight" activeCell="AE32" sqref="AE32"/>
    </sheetView>
  </sheetViews>
  <sheetFormatPr defaultColWidth="9.7109375" defaultRowHeight="12.75"/>
  <cols>
    <col min="1" max="1" width="23.42578125" style="44" customWidth="1"/>
    <col min="2" max="23" width="12.42578125" style="1" customWidth="1"/>
    <col min="24" max="37" width="11.7109375" style="1" customWidth="1"/>
    <col min="38" max="16384" width="9.7109375" style="1"/>
  </cols>
  <sheetData>
    <row r="1" spans="1:29">
      <c r="A1" s="7" t="s">
        <v>39</v>
      </c>
      <c r="B1"/>
      <c r="C1"/>
      <c r="D1"/>
      <c r="E1"/>
      <c r="F1"/>
      <c r="G1"/>
      <c r="H1"/>
      <c r="I1"/>
      <c r="J1"/>
      <c r="K1"/>
      <c r="L1"/>
      <c r="M1"/>
      <c r="N1"/>
      <c r="O1"/>
      <c r="P1"/>
      <c r="Q1"/>
      <c r="R1"/>
      <c r="S1"/>
      <c r="T1"/>
      <c r="U1"/>
      <c r="V1"/>
      <c r="W1"/>
      <c r="AB1" s="1">
        <v>1000</v>
      </c>
    </row>
    <row r="2" spans="1:29">
      <c r="A2" s="7"/>
      <c r="B2" s="9"/>
      <c r="C2" s="9"/>
      <c r="D2" s="9"/>
      <c r="E2" s="9"/>
    </row>
    <row r="3" spans="1:29">
      <c r="A3" s="7" t="s">
        <v>19</v>
      </c>
      <c r="B3" s="9"/>
      <c r="C3" s="9"/>
      <c r="D3" s="9"/>
      <c r="E3" s="9"/>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2</v>
      </c>
      <c r="C5" s="8" t="s">
        <v>2</v>
      </c>
      <c r="D5" s="8" t="s">
        <v>2</v>
      </c>
      <c r="E5" s="8" t="s">
        <v>2</v>
      </c>
      <c r="F5" s="8" t="s">
        <v>2</v>
      </c>
      <c r="G5" s="8" t="s">
        <v>2</v>
      </c>
      <c r="H5" s="8" t="s">
        <v>2</v>
      </c>
      <c r="I5" s="8" t="s">
        <v>2</v>
      </c>
      <c r="J5" s="8" t="s">
        <v>2</v>
      </c>
      <c r="K5" s="8" t="s">
        <v>2</v>
      </c>
      <c r="L5" s="8" t="s">
        <v>2</v>
      </c>
      <c r="M5" s="8" t="s">
        <v>2</v>
      </c>
      <c r="N5" s="8" t="s">
        <v>2</v>
      </c>
      <c r="O5" s="8" t="s">
        <v>2</v>
      </c>
      <c r="P5" s="8" t="s">
        <v>2</v>
      </c>
      <c r="Q5" s="8" t="s">
        <v>2</v>
      </c>
      <c r="R5" s="8" t="s">
        <v>2</v>
      </c>
      <c r="S5" s="8" t="s">
        <v>2</v>
      </c>
      <c r="T5" s="8" t="s">
        <v>2</v>
      </c>
      <c r="U5" s="8" t="s">
        <v>2</v>
      </c>
      <c r="V5" s="8" t="s">
        <v>2</v>
      </c>
      <c r="W5" s="8" t="s">
        <v>2</v>
      </c>
      <c r="X5" s="8" t="s">
        <v>2</v>
      </c>
      <c r="Y5" s="8" t="s">
        <v>2</v>
      </c>
      <c r="Z5" s="8" t="s">
        <v>2</v>
      </c>
      <c r="AA5" s="8" t="s">
        <v>2</v>
      </c>
      <c r="AB5" s="8" t="s">
        <v>2</v>
      </c>
      <c r="AC5" s="8" t="s">
        <v>2</v>
      </c>
    </row>
    <row r="6" spans="1:29">
      <c r="A6" s="24" t="s">
        <v>118</v>
      </c>
      <c r="B6" s="24">
        <v>18189</v>
      </c>
      <c r="C6" s="24">
        <v>15591</v>
      </c>
      <c r="D6" s="24">
        <v>10136</v>
      </c>
      <c r="E6" s="24">
        <v>19390.402999999998</v>
      </c>
      <c r="F6" s="49">
        <f>+F7+F25+F40+F54+F65</f>
        <v>23345.152999999998</v>
      </c>
      <c r="G6" s="24">
        <v>27509.581999999999</v>
      </c>
      <c r="H6" s="24">
        <v>29560.142</v>
      </c>
      <c r="I6" s="49">
        <f>+I7+I25+I40+I54+I65</f>
        <v>26113.995999999999</v>
      </c>
      <c r="J6" s="24">
        <v>23579.591</v>
      </c>
      <c r="K6" s="49">
        <f t="shared" ref="K6:U6" si="0">+K7+K25+K40+K54+K65</f>
        <v>24729.763319999995</v>
      </c>
      <c r="L6" s="49">
        <f t="shared" si="0"/>
        <v>19087.635999999999</v>
      </c>
      <c r="M6" s="49">
        <f t="shared" si="0"/>
        <v>14330.182999999999</v>
      </c>
      <c r="N6" s="49">
        <f t="shared" si="0"/>
        <v>25237.376000000004</v>
      </c>
      <c r="O6" s="49">
        <f t="shared" si="0"/>
        <v>24220.089999999997</v>
      </c>
      <c r="P6" s="49">
        <f t="shared" si="0"/>
        <v>13849.078</v>
      </c>
      <c r="Q6" s="49">
        <f t="shared" si="0"/>
        <v>21237.095999999998</v>
      </c>
      <c r="R6" s="49">
        <f t="shared" si="0"/>
        <v>23485.154999999999</v>
      </c>
      <c r="S6" s="49">
        <f t="shared" si="0"/>
        <v>17141.681</v>
      </c>
      <c r="T6" s="49">
        <f t="shared" si="0"/>
        <v>18703.891</v>
      </c>
      <c r="U6" s="49">
        <f t="shared" si="0"/>
        <v>29904.638999999999</v>
      </c>
      <c r="V6" s="49">
        <f t="shared" ref="V6:W6" si="1">+V7+V25+V40+V54+V65</f>
        <v>26579.951000000001</v>
      </c>
      <c r="W6" s="49">
        <f t="shared" si="1"/>
        <v>26520.702000000001</v>
      </c>
      <c r="X6" s="49">
        <f t="shared" ref="X6:Y6" si="2">+X7+X25+X40+X54+X65</f>
        <v>24778.85</v>
      </c>
      <c r="Y6" s="49">
        <f t="shared" si="2"/>
        <v>25074.718000000004</v>
      </c>
      <c r="Z6" s="49">
        <f t="shared" ref="Z6:AA6" si="3">+Z7+Z25+Z40+Z54+Z65</f>
        <v>33629.784</v>
      </c>
      <c r="AA6" s="49">
        <f t="shared" si="3"/>
        <v>22886.705999999998</v>
      </c>
      <c r="AB6" s="49">
        <f t="shared" ref="AB6:AC6" si="4">+AB7+AB25+AB40+AB54+AB65</f>
        <v>31342.135000000002</v>
      </c>
      <c r="AC6" s="49">
        <f t="shared" si="4"/>
        <v>31009.900999999998</v>
      </c>
    </row>
    <row r="7" spans="1:29">
      <c r="A7" s="1" t="s">
        <v>56</v>
      </c>
      <c r="B7" s="48">
        <f>SUM(B8:B24)</f>
        <v>1700</v>
      </c>
      <c r="C7" s="48">
        <f t="shared" ref="C7:U7" si="5">SUM(C8:C24)</f>
        <v>584</v>
      </c>
      <c r="D7" s="48">
        <f t="shared" si="5"/>
        <v>690</v>
      </c>
      <c r="E7" s="48">
        <f t="shared" si="5"/>
        <v>2899.4279999999999</v>
      </c>
      <c r="F7" s="48">
        <f t="shared" si="5"/>
        <v>5575.2340000000004</v>
      </c>
      <c r="G7" s="48">
        <f t="shared" si="5"/>
        <v>5832.1370000000015</v>
      </c>
      <c r="H7" s="48">
        <f t="shared" si="5"/>
        <v>7807.1109999999999</v>
      </c>
      <c r="I7" s="48">
        <f t="shared" si="5"/>
        <v>5576.607</v>
      </c>
      <c r="J7" s="48">
        <f t="shared" si="5"/>
        <v>5294.88</v>
      </c>
      <c r="K7" s="48">
        <f t="shared" si="5"/>
        <v>3035.7930000000001</v>
      </c>
      <c r="L7" s="48">
        <f t="shared" si="5"/>
        <v>1443.7930000000001</v>
      </c>
      <c r="M7" s="48">
        <f t="shared" si="5"/>
        <v>1895.5819999999999</v>
      </c>
      <c r="N7" s="48">
        <f t="shared" si="5"/>
        <v>4125.0680000000002</v>
      </c>
      <c r="O7" s="48">
        <f t="shared" si="5"/>
        <v>2960.26</v>
      </c>
      <c r="P7" s="48">
        <f t="shared" si="5"/>
        <v>1659.1289999999999</v>
      </c>
      <c r="Q7" s="48">
        <f t="shared" si="5"/>
        <v>1571.8929999999998</v>
      </c>
      <c r="R7" s="48">
        <f t="shared" si="5"/>
        <v>1795.4399999999998</v>
      </c>
      <c r="S7" s="48">
        <f t="shared" si="5"/>
        <v>1394.7759999999998</v>
      </c>
      <c r="T7" s="48">
        <f t="shared" si="5"/>
        <v>1696.2259999999999</v>
      </c>
      <c r="U7" s="48">
        <f t="shared" si="5"/>
        <v>3393.9459999999999</v>
      </c>
      <c r="V7" s="48">
        <f t="shared" ref="V7:W7" si="6">SUM(V8:V24)</f>
        <v>3510.3519999999999</v>
      </c>
      <c r="W7" s="48">
        <f t="shared" si="6"/>
        <v>3177.4050000000002</v>
      </c>
      <c r="X7" s="48">
        <f t="shared" ref="X7:Y7" si="7">SUM(X8:X24)</f>
        <v>2274.7669999999998</v>
      </c>
      <c r="Y7" s="48">
        <f t="shared" si="7"/>
        <v>1781.94</v>
      </c>
      <c r="Z7" s="48">
        <f t="shared" ref="Z7:AA7" si="8">SUM(Z8:Z24)</f>
        <v>1836.6440000000002</v>
      </c>
      <c r="AA7" s="48">
        <f t="shared" si="8"/>
        <v>1083.8429999999998</v>
      </c>
      <c r="AB7" s="48">
        <f t="shared" ref="AB7:AC7" si="9">SUM(AB8:AB24)</f>
        <v>4346.3579999999993</v>
      </c>
      <c r="AC7" s="48">
        <f t="shared" si="9"/>
        <v>1515.5740000000001</v>
      </c>
    </row>
    <row r="8" spans="1:29">
      <c r="A8" s="7" t="s">
        <v>119</v>
      </c>
    </row>
    <row r="9" spans="1:29">
      <c r="A9" s="1" t="s">
        <v>3</v>
      </c>
      <c r="B9" s="1">
        <v>0</v>
      </c>
      <c r="C9" s="1">
        <v>53</v>
      </c>
      <c r="D9" s="1">
        <v>54</v>
      </c>
      <c r="E9" s="1">
        <v>1173.51</v>
      </c>
      <c r="F9" s="42">
        <v>3078.078</v>
      </c>
      <c r="G9" s="1">
        <v>3090.7440000000001</v>
      </c>
      <c r="H9" s="1">
        <v>5381.7290000000003</v>
      </c>
      <c r="I9" s="1">
        <v>0</v>
      </c>
      <c r="J9" s="1">
        <v>0</v>
      </c>
      <c r="K9" s="1">
        <v>0</v>
      </c>
      <c r="L9" s="1">
        <v>0</v>
      </c>
      <c r="M9" s="1">
        <v>0</v>
      </c>
      <c r="N9" s="1">
        <v>56.825000000000003</v>
      </c>
      <c r="P9" s="1">
        <v>0</v>
      </c>
      <c r="Q9" s="1">
        <v>0</v>
      </c>
      <c r="R9" s="1">
        <v>0</v>
      </c>
      <c r="S9" s="1">
        <v>0</v>
      </c>
      <c r="T9" s="1">
        <v>0</v>
      </c>
      <c r="U9" s="1">
        <v>0</v>
      </c>
      <c r="V9" s="1">
        <v>0</v>
      </c>
      <c r="W9" s="1">
        <v>0</v>
      </c>
      <c r="X9" s="1">
        <v>0</v>
      </c>
      <c r="Y9" s="1">
        <v>0</v>
      </c>
      <c r="Z9" s="1">
        <v>0</v>
      </c>
      <c r="AA9" s="1">
        <v>0</v>
      </c>
      <c r="AC9" s="1">
        <v>0</v>
      </c>
    </row>
    <row r="10" spans="1:29">
      <c r="A10" s="1" t="s">
        <v>4</v>
      </c>
      <c r="B10" s="1">
        <v>76</v>
      </c>
      <c r="C10" s="1">
        <v>0</v>
      </c>
      <c r="D10" s="1">
        <v>0</v>
      </c>
      <c r="E10" s="1">
        <v>0</v>
      </c>
      <c r="F10" s="42">
        <v>0</v>
      </c>
      <c r="G10" s="1">
        <v>0</v>
      </c>
      <c r="H10" s="1">
        <v>0</v>
      </c>
      <c r="I10" s="1">
        <v>17.036999999999999</v>
      </c>
      <c r="J10" s="1">
        <v>4.7039999999999997</v>
      </c>
      <c r="K10" s="1">
        <v>0.16700000000000001</v>
      </c>
      <c r="L10" s="1">
        <v>0</v>
      </c>
      <c r="M10" s="1">
        <v>0</v>
      </c>
      <c r="N10" s="1">
        <v>0</v>
      </c>
      <c r="P10" s="1">
        <v>0</v>
      </c>
      <c r="Q10" s="1">
        <v>0</v>
      </c>
      <c r="R10" s="1">
        <v>0</v>
      </c>
      <c r="S10" s="1">
        <v>0</v>
      </c>
      <c r="T10" s="1">
        <v>0</v>
      </c>
      <c r="U10" s="1">
        <v>0</v>
      </c>
      <c r="V10" s="1">
        <v>0</v>
      </c>
      <c r="W10" s="1">
        <v>0</v>
      </c>
      <c r="X10" s="1">
        <v>0</v>
      </c>
      <c r="Y10" s="1">
        <v>0</v>
      </c>
      <c r="Z10" s="1">
        <v>0</v>
      </c>
      <c r="AA10" s="1">
        <v>36.536000000000001</v>
      </c>
      <c r="AC10" s="1">
        <v>0</v>
      </c>
    </row>
    <row r="11" spans="1:29">
      <c r="A11" s="1" t="s">
        <v>52</v>
      </c>
      <c r="D11" s="1">
        <v>0</v>
      </c>
      <c r="F11" s="42">
        <v>0</v>
      </c>
      <c r="I11" s="1">
        <v>0</v>
      </c>
      <c r="J11" s="1">
        <v>0</v>
      </c>
      <c r="K11" s="1">
        <v>0</v>
      </c>
      <c r="L11" s="1">
        <v>0</v>
      </c>
      <c r="M11" s="1">
        <v>0</v>
      </c>
      <c r="N11" s="1">
        <v>0</v>
      </c>
      <c r="P11" s="1">
        <v>0</v>
      </c>
      <c r="Q11" s="1">
        <v>0</v>
      </c>
      <c r="R11" s="1">
        <v>0</v>
      </c>
      <c r="S11" s="1">
        <v>0</v>
      </c>
      <c r="T11" s="1">
        <v>0</v>
      </c>
      <c r="U11" s="1">
        <v>0</v>
      </c>
      <c r="V11" s="1">
        <v>0</v>
      </c>
      <c r="W11" s="1">
        <v>0</v>
      </c>
      <c r="X11" s="1">
        <v>0</v>
      </c>
      <c r="Y11" s="1">
        <v>0</v>
      </c>
      <c r="Z11" s="1">
        <v>0</v>
      </c>
      <c r="AA11" s="1">
        <v>0</v>
      </c>
      <c r="AC11" s="1">
        <v>0</v>
      </c>
    </row>
    <row r="12" spans="1:29">
      <c r="A12" s="1" t="s">
        <v>5</v>
      </c>
      <c r="B12" s="1">
        <v>16</v>
      </c>
      <c r="C12" s="1">
        <v>119</v>
      </c>
      <c r="D12" s="1">
        <v>207</v>
      </c>
      <c r="E12" s="1">
        <v>198.05</v>
      </c>
      <c r="F12" s="42">
        <v>350.43900000000002</v>
      </c>
      <c r="G12" s="1">
        <v>381.55500000000001</v>
      </c>
      <c r="H12" s="1">
        <v>502.59899999999999</v>
      </c>
      <c r="I12" s="1">
        <v>878.98900000000003</v>
      </c>
      <c r="J12" s="1">
        <v>168.881</v>
      </c>
      <c r="K12" s="1">
        <v>211.84800000000001</v>
      </c>
      <c r="L12" s="1">
        <v>0</v>
      </c>
      <c r="M12" s="1">
        <v>50.204999999999998</v>
      </c>
      <c r="N12" s="1">
        <v>0</v>
      </c>
      <c r="P12" s="1">
        <v>8.0399999999999991</v>
      </c>
      <c r="Q12" s="1">
        <v>10.555</v>
      </c>
      <c r="R12" s="1">
        <v>0</v>
      </c>
      <c r="S12" s="1">
        <v>3.9969999999999999</v>
      </c>
      <c r="T12" s="1">
        <v>50.904000000000003</v>
      </c>
      <c r="U12" s="1">
        <v>0</v>
      </c>
      <c r="V12" s="1">
        <v>318.14699999999999</v>
      </c>
      <c r="W12" s="1">
        <v>0</v>
      </c>
      <c r="X12" s="1">
        <v>561.05200000000002</v>
      </c>
      <c r="Y12" s="1">
        <v>0</v>
      </c>
      <c r="Z12" s="1">
        <v>0</v>
      </c>
      <c r="AA12" s="1">
        <v>0</v>
      </c>
      <c r="AB12" s="101">
        <v>2618.654</v>
      </c>
      <c r="AC12" s="1">
        <v>0</v>
      </c>
    </row>
    <row r="13" spans="1:29">
      <c r="A13" s="1" t="s">
        <v>6</v>
      </c>
      <c r="B13" s="1">
        <v>0</v>
      </c>
      <c r="C13" s="1">
        <v>0</v>
      </c>
      <c r="D13" s="1">
        <v>0</v>
      </c>
      <c r="E13" s="1">
        <v>49.662999999999997</v>
      </c>
      <c r="F13" s="42">
        <v>327.57900000000001</v>
      </c>
      <c r="G13" s="1">
        <v>412.334</v>
      </c>
      <c r="H13" s="1">
        <v>184.441</v>
      </c>
      <c r="I13" s="1">
        <v>170.39699999999999</v>
      </c>
      <c r="J13" s="1">
        <v>261.41199999999998</v>
      </c>
      <c r="K13" s="1">
        <v>259.99299999999999</v>
      </c>
      <c r="L13" s="1">
        <v>99.191999999999993</v>
      </c>
      <c r="M13" s="1">
        <v>92.739000000000004</v>
      </c>
      <c r="N13" s="1">
        <v>385.77800000000002</v>
      </c>
      <c r="O13" s="1">
        <v>222.50200000000001</v>
      </c>
      <c r="P13" s="1">
        <v>338.53500000000003</v>
      </c>
      <c r="Q13" s="1">
        <v>378.74099999999999</v>
      </c>
      <c r="R13" s="1">
        <v>397.00900000000001</v>
      </c>
      <c r="S13" s="1">
        <v>129.97499999999999</v>
      </c>
      <c r="T13" s="1">
        <v>0</v>
      </c>
      <c r="U13" s="1">
        <v>0</v>
      </c>
      <c r="V13" s="1">
        <v>0</v>
      </c>
      <c r="W13" s="1">
        <v>38.116999999999997</v>
      </c>
      <c r="X13" s="1">
        <v>205.27099999999999</v>
      </c>
      <c r="Y13" s="1">
        <v>0</v>
      </c>
      <c r="Z13" s="1">
        <v>44.048000000000002</v>
      </c>
      <c r="AA13" s="1">
        <v>105.464</v>
      </c>
      <c r="AB13" s="1">
        <v>47.795999999999999</v>
      </c>
      <c r="AC13" s="1">
        <v>46.292000000000002</v>
      </c>
    </row>
    <row r="14" spans="1:29">
      <c r="A14" s="1" t="s">
        <v>7</v>
      </c>
      <c r="B14" s="1">
        <v>0</v>
      </c>
      <c r="C14" s="1">
        <v>0</v>
      </c>
      <c r="D14" s="1">
        <v>0</v>
      </c>
      <c r="E14" s="1">
        <v>0</v>
      </c>
      <c r="F14" s="42">
        <v>15.622</v>
      </c>
      <c r="H14" s="1">
        <v>0</v>
      </c>
      <c r="I14" s="1">
        <v>0</v>
      </c>
      <c r="J14" s="1">
        <v>0</v>
      </c>
      <c r="K14" s="1">
        <v>0</v>
      </c>
      <c r="L14" s="1">
        <v>0</v>
      </c>
      <c r="M14" s="1">
        <v>195.876</v>
      </c>
      <c r="N14" s="1">
        <v>196.619</v>
      </c>
      <c r="O14" s="1">
        <v>160.137</v>
      </c>
      <c r="P14" s="1">
        <v>34.615000000000002</v>
      </c>
      <c r="Q14" s="1">
        <v>0</v>
      </c>
      <c r="R14" s="1">
        <v>0</v>
      </c>
      <c r="S14" s="1">
        <v>0</v>
      </c>
      <c r="T14" s="1">
        <v>0</v>
      </c>
      <c r="U14" s="1">
        <v>0</v>
      </c>
      <c r="V14" s="1">
        <v>0</v>
      </c>
      <c r="W14" s="1">
        <v>0</v>
      </c>
      <c r="X14" s="1">
        <v>0</v>
      </c>
      <c r="Y14" s="1">
        <v>0</v>
      </c>
      <c r="Z14" s="1">
        <v>0</v>
      </c>
      <c r="AA14" s="1">
        <v>0</v>
      </c>
      <c r="AB14" s="1">
        <v>0</v>
      </c>
      <c r="AC14" s="1">
        <v>0</v>
      </c>
    </row>
    <row r="15" spans="1:29">
      <c r="A15" s="1" t="s">
        <v>8</v>
      </c>
      <c r="B15" s="1">
        <v>138</v>
      </c>
      <c r="C15" s="1">
        <v>94</v>
      </c>
      <c r="D15" s="1">
        <v>140</v>
      </c>
      <c r="E15" s="1">
        <v>160.22</v>
      </c>
      <c r="F15" s="42">
        <v>226.89699999999999</v>
      </c>
      <c r="G15" s="1">
        <v>218.35900000000001</v>
      </c>
      <c r="H15" s="1">
        <v>239.12100000000001</v>
      </c>
      <c r="I15" s="1">
        <v>211.21100000000001</v>
      </c>
      <c r="J15" s="1">
        <v>173.10400000000001</v>
      </c>
      <c r="K15" s="1">
        <v>78.209000000000003</v>
      </c>
      <c r="L15" s="1">
        <v>158.029</v>
      </c>
      <c r="M15" s="1">
        <v>18.744</v>
      </c>
      <c r="N15" s="1">
        <v>8.3450000000000006</v>
      </c>
      <c r="O15" s="1">
        <v>110.65600000000001</v>
      </c>
      <c r="P15" s="1">
        <v>105.057</v>
      </c>
      <c r="Q15" s="1">
        <v>35.020000000000003</v>
      </c>
      <c r="R15" s="1">
        <v>155.76499999999999</v>
      </c>
      <c r="S15" s="1">
        <v>371.21600000000001</v>
      </c>
      <c r="T15" s="1">
        <v>371.02600000000001</v>
      </c>
      <c r="U15" s="1">
        <v>399.84800000000001</v>
      </c>
      <c r="V15" s="1">
        <v>477.40199999999999</v>
      </c>
      <c r="W15" s="1">
        <v>590.14599999999996</v>
      </c>
      <c r="X15" s="1">
        <v>560.47299999999996</v>
      </c>
      <c r="Y15" s="1">
        <v>617.75</v>
      </c>
      <c r="Z15" s="1">
        <v>456.50900000000001</v>
      </c>
      <c r="AA15" s="1">
        <v>111.503</v>
      </c>
      <c r="AB15" s="1">
        <v>5.5270000000000001</v>
      </c>
      <c r="AC15" s="1">
        <v>45.816000000000003</v>
      </c>
    </row>
    <row r="16" spans="1:29">
      <c r="A16" s="1" t="s">
        <v>9</v>
      </c>
      <c r="B16" s="1">
        <v>0</v>
      </c>
      <c r="C16" s="1">
        <v>14</v>
      </c>
      <c r="D16" s="1">
        <v>0</v>
      </c>
      <c r="E16" s="1">
        <v>6.8849999999999998</v>
      </c>
      <c r="F16" s="42">
        <v>28.289000000000001</v>
      </c>
      <c r="G16" s="1">
        <v>30.323</v>
      </c>
      <c r="H16" s="1">
        <v>24.847000000000001</v>
      </c>
      <c r="I16" s="1">
        <v>50.186999999999998</v>
      </c>
      <c r="J16" s="1">
        <v>229.51300000000001</v>
      </c>
      <c r="K16" s="1">
        <v>38.158000000000001</v>
      </c>
      <c r="L16" s="1">
        <v>2.0579999999999998</v>
      </c>
      <c r="M16" s="1">
        <v>20.699000000000002</v>
      </c>
      <c r="N16" s="1">
        <v>19.370999999999999</v>
      </c>
      <c r="O16" s="1">
        <v>8.5990000000000002</v>
      </c>
      <c r="P16" s="1">
        <v>5.0419999999999998</v>
      </c>
      <c r="Q16" s="1">
        <v>2.6280000000000001</v>
      </c>
      <c r="R16" s="1">
        <v>3.024</v>
      </c>
      <c r="S16" s="1">
        <v>0</v>
      </c>
      <c r="T16" s="1">
        <v>0</v>
      </c>
      <c r="U16" s="1">
        <v>1.2190000000000001</v>
      </c>
      <c r="V16" s="1">
        <v>6.2290000000000001</v>
      </c>
      <c r="W16" s="1">
        <v>1.994</v>
      </c>
      <c r="X16" s="1">
        <v>20.802</v>
      </c>
      <c r="Y16" s="1">
        <v>50.527999999999999</v>
      </c>
      <c r="Z16" s="1">
        <v>134.83199999999999</v>
      </c>
      <c r="AA16" s="1">
        <v>149.04599999999999</v>
      </c>
      <c r="AB16" s="1">
        <v>152.49700000000001</v>
      </c>
      <c r="AC16" s="1">
        <v>335.86099999999999</v>
      </c>
    </row>
    <row r="17" spans="1:29">
      <c r="A17" s="1" t="s">
        <v>10</v>
      </c>
      <c r="B17" s="1">
        <v>0</v>
      </c>
      <c r="C17" s="1">
        <v>0</v>
      </c>
      <c r="D17" s="1">
        <v>0</v>
      </c>
      <c r="E17" s="1">
        <v>0</v>
      </c>
      <c r="F17" s="42">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row>
    <row r="18" spans="1:29">
      <c r="A18" s="1" t="s">
        <v>11</v>
      </c>
      <c r="B18" s="1">
        <v>146</v>
      </c>
      <c r="C18" s="1">
        <v>102</v>
      </c>
      <c r="D18" s="1">
        <v>75</v>
      </c>
      <c r="E18" s="1">
        <v>0</v>
      </c>
      <c r="F18" s="42">
        <v>52.753</v>
      </c>
      <c r="G18" s="1">
        <v>87.787000000000006</v>
      </c>
      <c r="H18" s="1">
        <v>46.235999999999997</v>
      </c>
      <c r="I18" s="1">
        <v>6.5659999999999998</v>
      </c>
      <c r="J18" s="1">
        <v>21.170999999999999</v>
      </c>
      <c r="K18" s="1">
        <v>112.79600000000001</v>
      </c>
      <c r="L18" s="1">
        <v>66.521000000000001</v>
      </c>
      <c r="M18" s="1">
        <v>460.13299999999998</v>
      </c>
      <c r="N18" s="1">
        <v>2448.317</v>
      </c>
      <c r="O18" s="1">
        <v>1241.4100000000001</v>
      </c>
      <c r="P18" s="1">
        <v>226.3</v>
      </c>
      <c r="Q18" s="1">
        <v>458.58</v>
      </c>
      <c r="R18" s="1">
        <v>780.87699999999995</v>
      </c>
      <c r="S18" s="1">
        <v>182.14599999999999</v>
      </c>
      <c r="T18" s="1">
        <v>10.957000000000001</v>
      </c>
      <c r="U18" s="1">
        <v>13.422000000000001</v>
      </c>
      <c r="V18" s="1">
        <v>0</v>
      </c>
      <c r="W18" s="1">
        <v>0</v>
      </c>
      <c r="X18" s="1">
        <v>21.83</v>
      </c>
      <c r="Y18" s="1">
        <v>71.414000000000001</v>
      </c>
      <c r="Z18" s="1">
        <v>90.307000000000002</v>
      </c>
      <c r="AA18" s="1">
        <v>42.350999999999999</v>
      </c>
      <c r="AB18" s="1">
        <v>30.312999999999999</v>
      </c>
      <c r="AC18" s="1">
        <v>37.494</v>
      </c>
    </row>
    <row r="19" spans="1:29">
      <c r="A19" s="1" t="s">
        <v>12</v>
      </c>
      <c r="B19" s="1">
        <v>9</v>
      </c>
      <c r="C19" s="1">
        <v>9</v>
      </c>
      <c r="D19" s="1">
        <v>10</v>
      </c>
      <c r="E19" s="1">
        <v>134.941</v>
      </c>
      <c r="F19" s="42">
        <v>149.47900000000001</v>
      </c>
      <c r="G19" s="1">
        <v>29.291</v>
      </c>
      <c r="H19" s="1">
        <v>277.73700000000002</v>
      </c>
      <c r="I19" s="1">
        <v>279.14499999999998</v>
      </c>
      <c r="J19" s="1">
        <v>296.32900000000001</v>
      </c>
      <c r="K19" s="1">
        <v>20.484999999999999</v>
      </c>
      <c r="L19" s="1">
        <v>56.225000000000001</v>
      </c>
      <c r="M19" s="1">
        <v>1.117</v>
      </c>
      <c r="N19" s="1">
        <v>4.7E-2</v>
      </c>
      <c r="O19" s="1">
        <v>0.317</v>
      </c>
      <c r="P19" s="1">
        <v>67.385000000000005</v>
      </c>
      <c r="Q19" s="1">
        <v>81.918000000000006</v>
      </c>
      <c r="R19" s="1">
        <v>7.05</v>
      </c>
      <c r="S19" s="1">
        <v>68.606999999999999</v>
      </c>
      <c r="T19" s="1">
        <v>101.96899999999999</v>
      </c>
      <c r="U19" s="1">
        <v>2124.79</v>
      </c>
      <c r="V19" s="1">
        <v>2052.42</v>
      </c>
      <c r="W19" s="1">
        <v>1943.4670000000001</v>
      </c>
      <c r="X19" s="1">
        <v>292.64400000000001</v>
      </c>
      <c r="Y19" s="1">
        <v>427.35599999999999</v>
      </c>
      <c r="Z19" s="1">
        <v>467.209</v>
      </c>
      <c r="AA19" s="1">
        <v>119.65900000000001</v>
      </c>
      <c r="AB19" s="1">
        <v>865.08900000000006</v>
      </c>
      <c r="AC19" s="1">
        <v>154.05600000000001</v>
      </c>
    </row>
    <row r="20" spans="1:29">
      <c r="A20" s="1" t="s">
        <v>13</v>
      </c>
      <c r="B20" s="1">
        <v>3</v>
      </c>
      <c r="C20" s="1">
        <v>3</v>
      </c>
      <c r="D20" s="1">
        <v>17</v>
      </c>
      <c r="E20" s="1">
        <v>16.492999999999999</v>
      </c>
      <c r="F20" s="42">
        <v>70.754000000000005</v>
      </c>
      <c r="G20" s="1">
        <v>61.886000000000003</v>
      </c>
      <c r="H20" s="1">
        <v>54.151000000000003</v>
      </c>
      <c r="I20" s="1">
        <v>84.091999999999999</v>
      </c>
      <c r="J20" s="1">
        <v>188.863</v>
      </c>
      <c r="K20" s="1">
        <v>79.734999999999999</v>
      </c>
      <c r="L20" s="1">
        <v>179.79</v>
      </c>
      <c r="M20" s="1">
        <v>144.94200000000001</v>
      </c>
      <c r="N20" s="1">
        <v>104.128</v>
      </c>
      <c r="O20" s="1">
        <v>195.27199999999999</v>
      </c>
      <c r="P20" s="1">
        <v>85.039000000000001</v>
      </c>
      <c r="Q20" s="1">
        <v>93.295000000000002</v>
      </c>
      <c r="R20" s="1">
        <v>127.264</v>
      </c>
      <c r="S20" s="1">
        <v>301.101</v>
      </c>
      <c r="T20" s="1">
        <v>714.28099999999995</v>
      </c>
      <c r="U20" s="1">
        <v>663.56299999999999</v>
      </c>
      <c r="V20" s="1">
        <v>398.55500000000001</v>
      </c>
      <c r="W20" s="1">
        <v>327.23500000000001</v>
      </c>
      <c r="X20" s="1">
        <v>318.09199999999998</v>
      </c>
      <c r="Y20" s="1">
        <v>338.315</v>
      </c>
      <c r="Z20" s="1">
        <v>331.04500000000002</v>
      </c>
      <c r="AA20" s="1">
        <v>251.66900000000001</v>
      </c>
      <c r="AB20" s="1">
        <v>284.50099999999998</v>
      </c>
      <c r="AC20" s="1">
        <v>406.67500000000001</v>
      </c>
    </row>
    <row r="21" spans="1:29" s="11" customFormat="1">
      <c r="A21" s="1" t="s">
        <v>14</v>
      </c>
      <c r="B21" s="1">
        <v>0</v>
      </c>
      <c r="C21" s="1">
        <v>0</v>
      </c>
      <c r="D21" s="1">
        <v>0</v>
      </c>
      <c r="E21" s="1">
        <v>0</v>
      </c>
      <c r="F21" s="42">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23.21</v>
      </c>
      <c r="Z21" s="1">
        <v>50.063000000000002</v>
      </c>
      <c r="AA21" s="1">
        <v>9.8640000000000008</v>
      </c>
      <c r="AB21" s="1">
        <v>0</v>
      </c>
      <c r="AC21" s="1">
        <v>0</v>
      </c>
    </row>
    <row r="22" spans="1:29">
      <c r="A22" s="1" t="s">
        <v>15</v>
      </c>
      <c r="B22" s="1">
        <v>1312</v>
      </c>
      <c r="C22" s="1">
        <v>190</v>
      </c>
      <c r="D22" s="1">
        <v>187</v>
      </c>
      <c r="E22" s="1">
        <v>1159.6659999999999</v>
      </c>
      <c r="F22" s="42">
        <v>1275.3440000000001</v>
      </c>
      <c r="G22" s="1">
        <v>1519.8579999999999</v>
      </c>
      <c r="H22" s="1">
        <v>1096.25</v>
      </c>
      <c r="I22" s="1">
        <v>3878.9830000000002</v>
      </c>
      <c r="J22" s="1">
        <v>3950.9029999999998</v>
      </c>
      <c r="K22" s="1">
        <v>2234.402</v>
      </c>
      <c r="L22" s="1">
        <v>881.97799999999995</v>
      </c>
      <c r="M22" s="1">
        <v>911.12699999999995</v>
      </c>
      <c r="N22" s="1">
        <v>902.63800000000003</v>
      </c>
      <c r="O22" s="1">
        <v>987.36699999999996</v>
      </c>
      <c r="P22" s="1">
        <v>789.11599999999999</v>
      </c>
      <c r="Q22" s="1">
        <v>406.56900000000002</v>
      </c>
      <c r="R22" s="1">
        <v>311.19900000000001</v>
      </c>
      <c r="S22" s="1">
        <v>337.73399999999998</v>
      </c>
      <c r="T22" s="1">
        <v>430.358</v>
      </c>
      <c r="U22" s="1">
        <v>186.62200000000001</v>
      </c>
      <c r="V22" s="1">
        <v>238.62899999999999</v>
      </c>
      <c r="W22" s="1">
        <v>274.38600000000002</v>
      </c>
      <c r="X22" s="1">
        <v>294.60300000000001</v>
      </c>
      <c r="Y22" s="1">
        <v>253.36699999999999</v>
      </c>
      <c r="Z22" s="1">
        <v>262.63099999999997</v>
      </c>
      <c r="AA22" s="1">
        <v>257.75099999999998</v>
      </c>
      <c r="AB22" s="1">
        <v>341.98099999999999</v>
      </c>
      <c r="AC22" s="1">
        <v>463.86900000000003</v>
      </c>
    </row>
    <row r="23" spans="1:29">
      <c r="A23" s="1" t="s">
        <v>16</v>
      </c>
      <c r="B23" s="1">
        <v>0</v>
      </c>
      <c r="C23" s="1">
        <v>0</v>
      </c>
      <c r="D23" s="1">
        <v>0</v>
      </c>
      <c r="E23" s="1">
        <v>0</v>
      </c>
      <c r="F23" s="42">
        <v>0</v>
      </c>
      <c r="H23" s="1">
        <v>0</v>
      </c>
      <c r="I23" s="1">
        <v>0</v>
      </c>
      <c r="J23" s="1">
        <v>0</v>
      </c>
      <c r="K23" s="1">
        <v>0</v>
      </c>
      <c r="L23" s="1">
        <v>0</v>
      </c>
      <c r="M23" s="1">
        <v>0</v>
      </c>
      <c r="N23" s="1">
        <v>0</v>
      </c>
      <c r="O23" s="1">
        <v>0</v>
      </c>
      <c r="P23" s="1">
        <v>0</v>
      </c>
      <c r="Q23" s="1">
        <v>0</v>
      </c>
      <c r="R23" s="1">
        <v>0</v>
      </c>
      <c r="S23" s="1">
        <v>0</v>
      </c>
      <c r="T23" s="1">
        <v>0</v>
      </c>
      <c r="U23" s="1">
        <v>0</v>
      </c>
      <c r="V23" s="1">
        <v>0</v>
      </c>
      <c r="W23" s="1">
        <v>0</v>
      </c>
      <c r="X23" s="1">
        <v>0</v>
      </c>
      <c r="Y23" s="1">
        <v>0</v>
      </c>
      <c r="Z23" s="1">
        <v>0</v>
      </c>
      <c r="AA23" s="1">
        <v>0</v>
      </c>
      <c r="AB23" s="1">
        <v>0</v>
      </c>
      <c r="AC23" s="1">
        <v>0</v>
      </c>
    </row>
    <row r="24" spans="1:29">
      <c r="A24" s="24" t="s">
        <v>17</v>
      </c>
      <c r="B24" s="24">
        <v>0</v>
      </c>
      <c r="C24" s="24">
        <v>0</v>
      </c>
      <c r="D24" s="24">
        <v>0</v>
      </c>
      <c r="E24" s="24">
        <v>0</v>
      </c>
      <c r="F24" s="45">
        <v>0</v>
      </c>
      <c r="G24" s="24">
        <v>0</v>
      </c>
      <c r="H24" s="24">
        <v>0</v>
      </c>
      <c r="I24" s="24">
        <v>0</v>
      </c>
      <c r="J24" s="24">
        <v>0</v>
      </c>
      <c r="K24" s="24">
        <v>0</v>
      </c>
      <c r="L24" s="24">
        <v>0</v>
      </c>
      <c r="M24" s="24">
        <v>0</v>
      </c>
      <c r="N24" s="24">
        <v>3</v>
      </c>
      <c r="O24" s="24">
        <v>34</v>
      </c>
      <c r="P24" s="24">
        <v>0</v>
      </c>
      <c r="Q24" s="24">
        <v>104.587</v>
      </c>
      <c r="R24" s="24">
        <v>13.252000000000001</v>
      </c>
      <c r="S24" s="24">
        <v>0</v>
      </c>
      <c r="T24" s="24">
        <v>16.731000000000002</v>
      </c>
      <c r="U24" s="24">
        <v>4.4820000000000002</v>
      </c>
      <c r="V24" s="24">
        <v>18.97</v>
      </c>
      <c r="W24" s="24">
        <v>2.06</v>
      </c>
      <c r="X24" s="24">
        <v>0</v>
      </c>
      <c r="Y24" s="24">
        <v>0</v>
      </c>
      <c r="Z24" s="24">
        <v>0</v>
      </c>
      <c r="AA24" s="24">
        <v>0</v>
      </c>
      <c r="AB24" s="24">
        <v>0</v>
      </c>
      <c r="AC24" s="24">
        <v>25.510999999999999</v>
      </c>
    </row>
    <row r="25" spans="1:29">
      <c r="A25" s="7" t="s">
        <v>120</v>
      </c>
      <c r="B25" s="48">
        <f>SUM(B27:B39)</f>
        <v>0</v>
      </c>
      <c r="C25" s="48">
        <f t="shared" ref="C25:AC25" si="10">SUM(C27:C39)</f>
        <v>0</v>
      </c>
      <c r="D25" s="48">
        <f t="shared" si="10"/>
        <v>0</v>
      </c>
      <c r="E25" s="48">
        <f t="shared" si="10"/>
        <v>0</v>
      </c>
      <c r="F25" s="48">
        <f t="shared" si="10"/>
        <v>7512.4960000000001</v>
      </c>
      <c r="G25" s="48">
        <f t="shared" si="10"/>
        <v>0</v>
      </c>
      <c r="H25" s="48">
        <f t="shared" si="10"/>
        <v>0</v>
      </c>
      <c r="I25" s="48">
        <f t="shared" si="10"/>
        <v>5691.2109999999993</v>
      </c>
      <c r="J25" s="48">
        <f t="shared" si="10"/>
        <v>0</v>
      </c>
      <c r="K25" s="48">
        <f t="shared" si="10"/>
        <v>14722.128000000002</v>
      </c>
      <c r="L25" s="48">
        <f t="shared" si="10"/>
        <v>12055.216999999999</v>
      </c>
      <c r="M25" s="48">
        <f t="shared" si="10"/>
        <v>6110.674</v>
      </c>
      <c r="N25" s="48">
        <f t="shared" si="10"/>
        <v>14301.238000000001</v>
      </c>
      <c r="O25" s="48">
        <f t="shared" si="10"/>
        <v>12557.649999999996</v>
      </c>
      <c r="P25" s="48">
        <f t="shared" si="10"/>
        <v>5151.13</v>
      </c>
      <c r="Q25" s="48">
        <f t="shared" si="10"/>
        <v>12372.966</v>
      </c>
      <c r="R25" s="48">
        <f t="shared" si="10"/>
        <v>13263.713999999998</v>
      </c>
      <c r="S25" s="48">
        <f t="shared" si="10"/>
        <v>6225.5240000000003</v>
      </c>
      <c r="T25" s="48">
        <f t="shared" si="10"/>
        <v>6545.509</v>
      </c>
      <c r="U25" s="48">
        <f t="shared" si="10"/>
        <v>9709.4670000000006</v>
      </c>
      <c r="V25" s="48">
        <f t="shared" si="10"/>
        <v>10345.791999999999</v>
      </c>
      <c r="W25" s="48">
        <f t="shared" si="10"/>
        <v>8911.9040000000005</v>
      </c>
      <c r="X25" s="48">
        <f t="shared" si="10"/>
        <v>10148.804999999997</v>
      </c>
      <c r="Y25" s="48">
        <f t="shared" si="10"/>
        <v>7768.773000000001</v>
      </c>
      <c r="Z25" s="48">
        <f t="shared" si="10"/>
        <v>12569.469000000003</v>
      </c>
      <c r="AA25" s="48">
        <f t="shared" si="10"/>
        <v>8477.0470000000005</v>
      </c>
      <c r="AB25" s="48">
        <f t="shared" si="10"/>
        <v>13549.785</v>
      </c>
      <c r="AC25" s="48">
        <f t="shared" si="10"/>
        <v>14656.434999999999</v>
      </c>
    </row>
    <row r="26" spans="1:29">
      <c r="A26" s="7" t="s">
        <v>119</v>
      </c>
      <c r="X26" s="1">
        <v>0</v>
      </c>
      <c r="Y26" s="1" t="e">
        <f>#REF!/1000</f>
        <v>#REF!</v>
      </c>
      <c r="AB26" s="1">
        <v>0</v>
      </c>
      <c r="AC26" s="1">
        <v>0</v>
      </c>
    </row>
    <row r="27" spans="1:29">
      <c r="A27" s="1" t="s">
        <v>85</v>
      </c>
      <c r="F27" s="42">
        <v>0</v>
      </c>
      <c r="I27" s="1">
        <v>0</v>
      </c>
      <c r="K27" s="1">
        <v>0</v>
      </c>
      <c r="L27" s="1">
        <v>52.29</v>
      </c>
      <c r="M27" s="1">
        <v>0</v>
      </c>
      <c r="N27" s="1">
        <v>215.24100000000001</v>
      </c>
      <c r="O27" s="1">
        <v>172.273</v>
      </c>
      <c r="P27" s="1">
        <v>344.10599999999999</v>
      </c>
      <c r="Q27" s="1">
        <v>0</v>
      </c>
      <c r="R27" s="1">
        <v>287.33699999999999</v>
      </c>
      <c r="S27" s="1">
        <v>356.74599999999998</v>
      </c>
      <c r="T27" s="1">
        <v>0</v>
      </c>
      <c r="U27" s="1">
        <v>0</v>
      </c>
      <c r="V27" s="1">
        <v>0</v>
      </c>
      <c r="W27" s="1">
        <v>0</v>
      </c>
      <c r="X27" s="1">
        <v>0</v>
      </c>
      <c r="Y27" s="1">
        <v>0</v>
      </c>
      <c r="Z27" s="1">
        <v>0</v>
      </c>
      <c r="AA27" s="1">
        <v>0</v>
      </c>
      <c r="AB27" s="1">
        <v>0</v>
      </c>
      <c r="AC27" s="1">
        <v>0</v>
      </c>
    </row>
    <row r="28" spans="1:29">
      <c r="A28" s="1" t="s">
        <v>86</v>
      </c>
      <c r="F28" s="42">
        <v>2715.8519999999999</v>
      </c>
      <c r="I28" s="1">
        <v>139.66399999999999</v>
      </c>
      <c r="K28" s="1">
        <v>3331.3690000000001</v>
      </c>
      <c r="L28" s="1">
        <v>5071.634</v>
      </c>
      <c r="M28" s="1">
        <v>648.40099999999995</v>
      </c>
      <c r="N28" s="1">
        <v>7147.4009999999998</v>
      </c>
      <c r="O28" s="1">
        <v>8751.7139999999999</v>
      </c>
      <c r="P28" s="1">
        <v>902.94299999999998</v>
      </c>
      <c r="Q28" s="1">
        <v>828.75099999999998</v>
      </c>
      <c r="R28" s="1">
        <v>0</v>
      </c>
      <c r="S28" s="1">
        <v>0</v>
      </c>
      <c r="T28" s="1">
        <v>815.447</v>
      </c>
      <c r="U28" s="1">
        <v>693.04200000000003</v>
      </c>
      <c r="V28" s="1">
        <v>669.85199999999998</v>
      </c>
      <c r="W28" s="1">
        <v>639.89099999999996</v>
      </c>
      <c r="X28" s="1">
        <v>384.84699999999998</v>
      </c>
      <c r="Y28" s="1">
        <v>154.452</v>
      </c>
      <c r="Z28" s="1">
        <v>175.90700000000001</v>
      </c>
      <c r="AA28" s="1">
        <v>548.87199999999996</v>
      </c>
      <c r="AB28" s="1">
        <v>835.15899999999999</v>
      </c>
      <c r="AC28" s="1">
        <v>763.78700000000003</v>
      </c>
    </row>
    <row r="29" spans="1:29">
      <c r="A29" s="1" t="s">
        <v>87</v>
      </c>
      <c r="F29" s="42">
        <v>3884.2559999999999</v>
      </c>
      <c r="I29" s="1">
        <v>5096.2389999999996</v>
      </c>
      <c r="K29" s="1">
        <v>10911.214</v>
      </c>
      <c r="L29" s="1">
        <v>6212.0929999999998</v>
      </c>
      <c r="M29" s="1">
        <v>4731.9480000000003</v>
      </c>
      <c r="N29" s="1">
        <v>6251.9840000000004</v>
      </c>
      <c r="O29" s="1">
        <v>2860.63</v>
      </c>
      <c r="P29" s="1">
        <v>2481.7020000000002</v>
      </c>
      <c r="Q29" s="1">
        <v>10059.493</v>
      </c>
      <c r="R29" s="1">
        <v>11345.026</v>
      </c>
      <c r="S29" s="1">
        <v>4012.9229999999998</v>
      </c>
      <c r="T29" s="1">
        <v>4236.4769999999999</v>
      </c>
      <c r="U29" s="1">
        <v>6923.9279999999999</v>
      </c>
      <c r="V29" s="1">
        <v>6919.2380000000003</v>
      </c>
      <c r="W29" s="1">
        <v>5430.2520000000004</v>
      </c>
      <c r="X29" s="1">
        <v>6123.1980000000003</v>
      </c>
      <c r="Y29" s="1">
        <v>3915.279</v>
      </c>
      <c r="Z29" s="1">
        <v>4635.8389999999999</v>
      </c>
      <c r="AA29" s="1">
        <v>5318.2640000000001</v>
      </c>
      <c r="AB29" s="1">
        <v>8777.9429999999993</v>
      </c>
      <c r="AC29" s="1">
        <v>8299.6939999999995</v>
      </c>
    </row>
    <row r="30" spans="1:29">
      <c r="A30" s="1" t="s">
        <v>88</v>
      </c>
      <c r="F30" s="42">
        <v>420.04399999999998</v>
      </c>
      <c r="I30" s="1">
        <v>179.34</v>
      </c>
      <c r="K30" s="1">
        <v>121.005</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row>
    <row r="31" spans="1:29">
      <c r="A31" s="1" t="s">
        <v>91</v>
      </c>
      <c r="F31" s="42">
        <v>57.241</v>
      </c>
      <c r="I31" s="1">
        <v>61.3</v>
      </c>
      <c r="K31" s="1">
        <v>32.19</v>
      </c>
      <c r="L31" s="1">
        <v>34.161000000000001</v>
      </c>
      <c r="M31" s="1">
        <v>73.674000000000007</v>
      </c>
      <c r="N31" s="1">
        <v>37.972000000000001</v>
      </c>
      <c r="O31" s="1">
        <v>110.087</v>
      </c>
      <c r="P31" s="1">
        <v>508.55099999999999</v>
      </c>
      <c r="Q31" s="1">
        <v>638.17499999999995</v>
      </c>
      <c r="R31" s="1">
        <v>379.42</v>
      </c>
      <c r="S31" s="1">
        <v>297.42599999999999</v>
      </c>
      <c r="T31" s="1">
        <v>274.11200000000002</v>
      </c>
      <c r="U31" s="1">
        <v>376.45100000000002</v>
      </c>
      <c r="V31" s="1">
        <v>377.322</v>
      </c>
      <c r="W31" s="1">
        <v>625.447</v>
      </c>
      <c r="X31" s="1">
        <v>724.303</v>
      </c>
      <c r="Y31" s="1">
        <v>1217.3230000000001</v>
      </c>
      <c r="Z31" s="1">
        <v>5313.6360000000004</v>
      </c>
      <c r="AA31" s="1">
        <v>510.375</v>
      </c>
      <c r="AB31" s="1">
        <v>722.30100000000004</v>
      </c>
      <c r="AC31" s="1">
        <v>817.34799999999996</v>
      </c>
    </row>
    <row r="32" spans="1:29">
      <c r="A32" s="1" t="s">
        <v>92</v>
      </c>
      <c r="F32" s="42">
        <v>0</v>
      </c>
      <c r="I32" s="1">
        <v>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row>
    <row r="33" spans="1:29">
      <c r="A33" s="1" t="s">
        <v>100</v>
      </c>
      <c r="F33" s="42">
        <v>0</v>
      </c>
      <c r="I33" s="1">
        <v>0</v>
      </c>
      <c r="K33" s="1">
        <v>19.172000000000001</v>
      </c>
      <c r="L33" s="1">
        <v>33.222000000000001</v>
      </c>
      <c r="M33" s="1">
        <v>134.995</v>
      </c>
      <c r="N33" s="1">
        <v>167.88200000000001</v>
      </c>
      <c r="O33" s="1">
        <v>202.74100000000001</v>
      </c>
      <c r="P33" s="1">
        <v>418.11900000000003</v>
      </c>
      <c r="Q33" s="1">
        <v>345.57100000000003</v>
      </c>
      <c r="R33" s="1">
        <v>567.88</v>
      </c>
      <c r="S33" s="1">
        <v>815.48400000000004</v>
      </c>
      <c r="T33" s="1">
        <v>500.75200000000001</v>
      </c>
      <c r="U33" s="1">
        <v>986.41899999999998</v>
      </c>
      <c r="V33" s="1">
        <v>1380.9480000000001</v>
      </c>
      <c r="W33" s="1">
        <v>1278.384</v>
      </c>
      <c r="X33" s="1">
        <v>1287.854</v>
      </c>
      <c r="Y33" s="1">
        <v>827.50099999999998</v>
      </c>
      <c r="Z33" s="1">
        <v>629.14499999999998</v>
      </c>
      <c r="AA33" s="1">
        <v>543.91999999999996</v>
      </c>
      <c r="AB33" s="1">
        <v>684.423</v>
      </c>
      <c r="AC33" s="1">
        <v>628.13099999999997</v>
      </c>
    </row>
    <row r="34" spans="1:29">
      <c r="A34" s="1" t="s">
        <v>102</v>
      </c>
      <c r="F34" s="42">
        <v>0</v>
      </c>
      <c r="I34" s="1">
        <v>0</v>
      </c>
      <c r="K34" s="1">
        <v>0</v>
      </c>
      <c r="L34" s="1">
        <v>0</v>
      </c>
      <c r="M34" s="1">
        <v>0</v>
      </c>
      <c r="N34" s="1">
        <v>0</v>
      </c>
      <c r="O34" s="1">
        <v>0</v>
      </c>
      <c r="P34" s="1">
        <v>0</v>
      </c>
      <c r="Q34" s="1">
        <v>0</v>
      </c>
      <c r="R34" s="1">
        <v>0</v>
      </c>
      <c r="S34" s="1">
        <v>0</v>
      </c>
      <c r="T34" s="1">
        <v>0</v>
      </c>
      <c r="U34" s="1">
        <v>0</v>
      </c>
      <c r="V34" s="1">
        <v>0</v>
      </c>
      <c r="W34" s="1">
        <v>0</v>
      </c>
      <c r="X34" s="1">
        <v>65</v>
      </c>
      <c r="Y34" s="1">
        <v>192</v>
      </c>
      <c r="Z34" s="1">
        <v>198.59</v>
      </c>
      <c r="AA34" s="1">
        <v>121</v>
      </c>
      <c r="AB34" s="1">
        <v>141</v>
      </c>
      <c r="AC34" s="1">
        <v>176</v>
      </c>
    </row>
    <row r="35" spans="1:29">
      <c r="A35" s="1" t="s">
        <v>105</v>
      </c>
      <c r="F35" s="42">
        <v>330.67899999999997</v>
      </c>
      <c r="I35" s="1">
        <v>43.481999999999999</v>
      </c>
      <c r="K35" s="1">
        <v>53.683</v>
      </c>
      <c r="L35" s="1">
        <v>90.837999999999994</v>
      </c>
      <c r="M35" s="1">
        <v>1.897</v>
      </c>
      <c r="N35" s="1">
        <v>10.058</v>
      </c>
      <c r="O35" s="1">
        <v>69.477999999999994</v>
      </c>
      <c r="P35" s="1">
        <v>125.276</v>
      </c>
      <c r="Q35" s="1">
        <v>18.3</v>
      </c>
      <c r="R35" s="1">
        <v>48.802999999999997</v>
      </c>
      <c r="S35" s="1">
        <v>45.061</v>
      </c>
      <c r="T35" s="1">
        <v>61.932000000000002</v>
      </c>
      <c r="U35" s="1">
        <v>32.688000000000002</v>
      </c>
      <c r="V35" s="1">
        <v>26.922999999999998</v>
      </c>
      <c r="W35" s="1">
        <v>0</v>
      </c>
      <c r="X35" s="1">
        <v>637.51400000000001</v>
      </c>
      <c r="Y35" s="1">
        <v>676.73299999999995</v>
      </c>
      <c r="Z35" s="1">
        <v>550.34100000000001</v>
      </c>
      <c r="AA35" s="1">
        <v>178.84700000000001</v>
      </c>
      <c r="AB35" s="1">
        <v>600.27099999999996</v>
      </c>
      <c r="AC35" s="1">
        <v>250.36</v>
      </c>
    </row>
    <row r="36" spans="1:29">
      <c r="A36" s="1" t="s">
        <v>109</v>
      </c>
      <c r="F36" s="42">
        <v>75.611000000000004</v>
      </c>
      <c r="I36" s="1">
        <v>158.721</v>
      </c>
      <c r="K36" s="1">
        <v>239.047</v>
      </c>
      <c r="L36" s="1">
        <v>429.12299999999999</v>
      </c>
      <c r="M36" s="1">
        <v>434.36200000000002</v>
      </c>
      <c r="N36" s="1">
        <v>383.90100000000001</v>
      </c>
      <c r="O36" s="1">
        <v>345.70100000000002</v>
      </c>
      <c r="P36" s="1">
        <v>355.827</v>
      </c>
      <c r="Q36" s="1">
        <v>448.04899999999998</v>
      </c>
      <c r="R36" s="1">
        <v>493.90699999999998</v>
      </c>
      <c r="S36" s="1">
        <v>576.173</v>
      </c>
      <c r="T36" s="1">
        <v>571.81700000000001</v>
      </c>
      <c r="U36" s="1">
        <v>658.16200000000003</v>
      </c>
      <c r="V36" s="1">
        <v>715.90700000000004</v>
      </c>
      <c r="W36" s="1">
        <v>823.04600000000005</v>
      </c>
      <c r="X36" s="1">
        <v>872.55899999999997</v>
      </c>
      <c r="Y36" s="1">
        <v>614.55399999999997</v>
      </c>
      <c r="Z36" s="1">
        <v>716.30899999999997</v>
      </c>
      <c r="AA36" s="1">
        <v>809.36699999999996</v>
      </c>
      <c r="AB36" s="1">
        <v>1420.076</v>
      </c>
      <c r="AC36" s="1">
        <v>3200.027</v>
      </c>
    </row>
    <row r="37" spans="1:29">
      <c r="A37" s="1" t="s">
        <v>113</v>
      </c>
      <c r="F37" s="42">
        <v>16.571999999999999</v>
      </c>
      <c r="I37" s="1">
        <v>12.465</v>
      </c>
      <c r="K37" s="1">
        <v>12.938000000000001</v>
      </c>
      <c r="L37" s="1">
        <v>17.931999999999999</v>
      </c>
      <c r="M37" s="1">
        <v>22.347999999999999</v>
      </c>
      <c r="N37" s="1">
        <v>21.045999999999999</v>
      </c>
      <c r="O37" s="1">
        <v>33.658999999999999</v>
      </c>
      <c r="P37" s="1">
        <v>14.093999999999999</v>
      </c>
      <c r="Q37" s="1">
        <v>5.0389999999999997</v>
      </c>
      <c r="R37" s="1">
        <v>86.707999999999998</v>
      </c>
      <c r="S37" s="1">
        <v>38.475000000000001</v>
      </c>
      <c r="T37" s="1">
        <v>0</v>
      </c>
      <c r="U37" s="1">
        <v>0</v>
      </c>
      <c r="V37" s="1">
        <v>172.63200000000001</v>
      </c>
      <c r="W37" s="1">
        <v>12.602</v>
      </c>
      <c r="X37" s="1">
        <v>3.5150000000000001</v>
      </c>
      <c r="Y37" s="1">
        <v>102.529</v>
      </c>
      <c r="Z37" s="1">
        <v>142.32300000000001</v>
      </c>
      <c r="AA37" s="1">
        <v>143.94999999999999</v>
      </c>
      <c r="AB37" s="1">
        <v>13.771000000000001</v>
      </c>
      <c r="AC37" s="1">
        <v>50.814999999999998</v>
      </c>
    </row>
    <row r="38" spans="1:29">
      <c r="A38" s="1" t="s">
        <v>115</v>
      </c>
      <c r="F38" s="42">
        <v>12.241</v>
      </c>
      <c r="I38" s="1">
        <v>0</v>
      </c>
      <c r="K38" s="1">
        <v>0</v>
      </c>
      <c r="L38" s="1">
        <v>68.319999999999993</v>
      </c>
      <c r="M38" s="1">
        <v>13.744</v>
      </c>
      <c r="N38" s="1">
        <v>15.253</v>
      </c>
      <c r="O38" s="1">
        <v>11.367000000000001</v>
      </c>
      <c r="P38" s="1">
        <v>0</v>
      </c>
      <c r="Q38" s="1">
        <v>0</v>
      </c>
      <c r="R38" s="1">
        <v>0</v>
      </c>
      <c r="S38" s="1">
        <v>0</v>
      </c>
      <c r="T38" s="1">
        <v>0</v>
      </c>
      <c r="U38" s="1">
        <v>0</v>
      </c>
      <c r="V38" s="1">
        <v>0</v>
      </c>
      <c r="W38" s="1">
        <v>0</v>
      </c>
      <c r="X38" s="1">
        <v>0</v>
      </c>
      <c r="Y38" s="1">
        <v>0</v>
      </c>
      <c r="Z38" s="1">
        <v>0</v>
      </c>
      <c r="AA38" s="1">
        <v>0</v>
      </c>
      <c r="AB38" s="1">
        <v>0</v>
      </c>
      <c r="AC38" s="1">
        <v>0</v>
      </c>
    </row>
    <row r="39" spans="1:29">
      <c r="A39" s="24" t="s">
        <v>117</v>
      </c>
      <c r="B39" s="24"/>
      <c r="C39" s="24"/>
      <c r="D39" s="24"/>
      <c r="E39" s="24"/>
      <c r="F39" s="45">
        <v>0</v>
      </c>
      <c r="G39" s="24"/>
      <c r="H39" s="24"/>
      <c r="I39" s="24">
        <v>0</v>
      </c>
      <c r="J39" s="24"/>
      <c r="K39" s="24">
        <v>1.51</v>
      </c>
      <c r="L39" s="24">
        <v>45.603999999999999</v>
      </c>
      <c r="M39" s="24">
        <v>49.305</v>
      </c>
      <c r="N39" s="24">
        <v>50.5</v>
      </c>
      <c r="O39" s="24">
        <v>0</v>
      </c>
      <c r="P39" s="24">
        <v>0.51200000000000001</v>
      </c>
      <c r="Q39" s="24">
        <v>29.588000000000001</v>
      </c>
      <c r="R39" s="24">
        <v>54.633000000000003</v>
      </c>
      <c r="S39" s="24">
        <v>83.236000000000004</v>
      </c>
      <c r="T39" s="24">
        <v>84.971999999999994</v>
      </c>
      <c r="U39" s="24">
        <v>38.777000000000001</v>
      </c>
      <c r="V39" s="24">
        <v>82.97</v>
      </c>
      <c r="W39" s="24">
        <v>102.282</v>
      </c>
      <c r="X39" s="24">
        <v>50.015000000000001</v>
      </c>
      <c r="Y39" s="24">
        <v>68.402000000000001</v>
      </c>
      <c r="Z39" s="24">
        <v>207.37899999999999</v>
      </c>
      <c r="AA39" s="24">
        <v>302.452</v>
      </c>
      <c r="AB39" s="24">
        <v>354.84100000000001</v>
      </c>
      <c r="AC39" s="24">
        <v>470.27300000000002</v>
      </c>
    </row>
    <row r="40" spans="1:29">
      <c r="A40" s="7" t="s">
        <v>121</v>
      </c>
      <c r="B40" s="48">
        <f>SUM(B42:B53)</f>
        <v>0</v>
      </c>
      <c r="C40" s="48">
        <f t="shared" ref="C40:AC40" si="11">SUM(C42:C53)</f>
        <v>0</v>
      </c>
      <c r="D40" s="48">
        <f t="shared" si="11"/>
        <v>0</v>
      </c>
      <c r="E40" s="48">
        <f t="shared" si="11"/>
        <v>0</v>
      </c>
      <c r="F40" s="48">
        <f t="shared" si="11"/>
        <v>4351.3150000000005</v>
      </c>
      <c r="G40" s="48">
        <f t="shared" si="11"/>
        <v>0</v>
      </c>
      <c r="H40" s="48">
        <f t="shared" si="11"/>
        <v>0</v>
      </c>
      <c r="I40" s="48">
        <f t="shared" si="11"/>
        <v>7548.130000000001</v>
      </c>
      <c r="J40" s="48">
        <f t="shared" si="11"/>
        <v>0</v>
      </c>
      <c r="K40" s="48">
        <f t="shared" si="11"/>
        <v>4246.733319999993</v>
      </c>
      <c r="L40" s="48">
        <f t="shared" si="11"/>
        <v>3958.2379999999998</v>
      </c>
      <c r="M40" s="48">
        <f t="shared" si="11"/>
        <v>2523.1490000000003</v>
      </c>
      <c r="N40" s="48">
        <f t="shared" si="11"/>
        <v>2998.5070000000001</v>
      </c>
      <c r="O40" s="48">
        <f t="shared" si="11"/>
        <v>4546.8730000000005</v>
      </c>
      <c r="P40" s="48">
        <f t="shared" si="11"/>
        <v>2566.4009999999998</v>
      </c>
      <c r="Q40" s="48">
        <f t="shared" si="11"/>
        <v>2944.4589999999998</v>
      </c>
      <c r="R40" s="48">
        <f t="shared" si="11"/>
        <v>3812.587</v>
      </c>
      <c r="S40" s="48">
        <f t="shared" si="11"/>
        <v>4642.6729999999998</v>
      </c>
      <c r="T40" s="48">
        <f t="shared" si="11"/>
        <v>5412.2249999999995</v>
      </c>
      <c r="U40" s="48">
        <f t="shared" si="11"/>
        <v>11750.523999999999</v>
      </c>
      <c r="V40" s="48">
        <f t="shared" si="11"/>
        <v>7162.9100000000008</v>
      </c>
      <c r="W40" s="48">
        <f t="shared" si="11"/>
        <v>8620.7340000000004</v>
      </c>
      <c r="X40" s="48">
        <f t="shared" si="11"/>
        <v>6432.4350000000004</v>
      </c>
      <c r="Y40" s="48">
        <f t="shared" si="11"/>
        <v>9806.8740000000016</v>
      </c>
      <c r="Z40" s="48">
        <f t="shared" si="11"/>
        <v>9129.851999999999</v>
      </c>
      <c r="AA40" s="48">
        <f t="shared" si="11"/>
        <v>5783.7359999999999</v>
      </c>
      <c r="AB40" s="48">
        <f t="shared" si="11"/>
        <v>6322.1609999999991</v>
      </c>
      <c r="AC40" s="48">
        <f t="shared" si="11"/>
        <v>5108.8050000000003</v>
      </c>
    </row>
    <row r="41" spans="1:29">
      <c r="A41" s="7" t="s">
        <v>119</v>
      </c>
      <c r="X41" s="1">
        <v>0</v>
      </c>
      <c r="Y41" s="1" t="e">
        <f>#REF!/1000</f>
        <v>#REF!</v>
      </c>
      <c r="AB41" s="1">
        <v>0</v>
      </c>
      <c r="AC41" s="1">
        <v>0</v>
      </c>
    </row>
    <row r="42" spans="1:29">
      <c r="A42" s="1" t="s">
        <v>93</v>
      </c>
      <c r="F42" s="42">
        <v>48.466000000000001</v>
      </c>
      <c r="I42" s="1">
        <v>63.625999999999998</v>
      </c>
      <c r="K42" s="1">
        <v>254.91499999999999</v>
      </c>
      <c r="L42" s="1">
        <v>277.00299999999999</v>
      </c>
      <c r="M42" s="1">
        <v>303.35399999999998</v>
      </c>
      <c r="N42" s="1">
        <v>228.49700000000001</v>
      </c>
      <c r="O42" s="1">
        <v>269.17</v>
      </c>
      <c r="P42" s="1">
        <v>521.22299999999996</v>
      </c>
      <c r="Q42" s="1">
        <v>416.54300000000001</v>
      </c>
      <c r="R42" s="1">
        <v>504.53300000000002</v>
      </c>
      <c r="S42" s="1">
        <v>889.56600000000003</v>
      </c>
      <c r="T42" s="1">
        <v>1217.662</v>
      </c>
      <c r="U42" s="1">
        <v>1426.23</v>
      </c>
      <c r="V42" s="1">
        <v>1039.652</v>
      </c>
      <c r="W42" s="1">
        <v>767.87300000000005</v>
      </c>
      <c r="X42" s="1">
        <v>462.94499999999999</v>
      </c>
      <c r="Y42" s="1">
        <v>7.484</v>
      </c>
      <c r="Z42" s="1">
        <v>12.590999999999999</v>
      </c>
      <c r="AA42" s="1">
        <v>4.1790000000000003</v>
      </c>
      <c r="AB42" s="1">
        <v>297.97699999999998</v>
      </c>
      <c r="AC42" s="1">
        <v>199.57400000000001</v>
      </c>
    </row>
    <row r="43" spans="1:29">
      <c r="A43" s="1" t="s">
        <v>58</v>
      </c>
      <c r="F43" s="42">
        <v>0</v>
      </c>
      <c r="I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row>
    <row r="44" spans="1:29">
      <c r="A44" s="1" t="s">
        <v>94</v>
      </c>
      <c r="F44" s="42">
        <v>8.58</v>
      </c>
      <c r="I44" s="1">
        <v>21.896000000000001</v>
      </c>
      <c r="K44" s="1">
        <v>0</v>
      </c>
      <c r="L44" s="1">
        <v>151.52699999999999</v>
      </c>
      <c r="M44" s="1">
        <v>138.227</v>
      </c>
      <c r="N44" s="1">
        <v>141.71199999999999</v>
      </c>
      <c r="O44" s="1">
        <v>126.38</v>
      </c>
      <c r="P44" s="1">
        <v>101.813</v>
      </c>
      <c r="Q44" s="1">
        <v>99.847999999999999</v>
      </c>
      <c r="R44" s="1">
        <v>59.124000000000002</v>
      </c>
      <c r="S44" s="1">
        <v>93.02</v>
      </c>
      <c r="T44" s="1">
        <v>110.17700000000001</v>
      </c>
      <c r="U44" s="1">
        <v>104.684</v>
      </c>
      <c r="V44" s="1">
        <v>118.586</v>
      </c>
      <c r="W44" s="1">
        <v>157.38999999999999</v>
      </c>
      <c r="X44" s="1">
        <v>156.191</v>
      </c>
      <c r="Y44" s="1">
        <v>0</v>
      </c>
      <c r="Z44" s="1">
        <v>0</v>
      </c>
      <c r="AA44" s="1">
        <v>0</v>
      </c>
      <c r="AB44" s="1">
        <v>167.95099999999999</v>
      </c>
      <c r="AC44" s="1">
        <v>207.66200000000001</v>
      </c>
    </row>
    <row r="45" spans="1:29">
      <c r="A45" s="1" t="s">
        <v>95</v>
      </c>
      <c r="F45" s="42">
        <v>400.51499999999999</v>
      </c>
      <c r="I45" s="1">
        <v>75.786000000000001</v>
      </c>
      <c r="K45" s="1">
        <v>34.380000000000003</v>
      </c>
      <c r="L45" s="1">
        <v>123.444</v>
      </c>
      <c r="M45" s="1">
        <v>87.93</v>
      </c>
      <c r="N45" s="1">
        <v>96.662999999999997</v>
      </c>
      <c r="O45" s="1">
        <v>96.588999999999999</v>
      </c>
      <c r="P45" s="1">
        <v>96.588999999999999</v>
      </c>
      <c r="Q45" s="1">
        <v>108.94499999999999</v>
      </c>
      <c r="R45" s="1">
        <v>133.55699999999999</v>
      </c>
      <c r="S45" s="1">
        <v>162.08699999999999</v>
      </c>
      <c r="T45" s="1">
        <v>172.81399999999999</v>
      </c>
      <c r="U45" s="1">
        <v>123.26900000000001</v>
      </c>
      <c r="V45" s="1">
        <v>194.309</v>
      </c>
      <c r="W45" s="1">
        <v>218.459</v>
      </c>
      <c r="X45" s="1">
        <v>214.50399999999999</v>
      </c>
      <c r="Y45" s="1">
        <v>3703.422</v>
      </c>
      <c r="Z45" s="1">
        <v>4029.9749999999999</v>
      </c>
      <c r="AA45" s="1">
        <v>283.08600000000001</v>
      </c>
      <c r="AB45" s="1">
        <v>206.858</v>
      </c>
      <c r="AC45" s="1">
        <v>226.33199999999999</v>
      </c>
    </row>
    <row r="46" spans="1:29">
      <c r="A46" s="1" t="s">
        <v>98</v>
      </c>
      <c r="F46" s="42">
        <v>338.178</v>
      </c>
      <c r="I46" s="1">
        <v>515.4</v>
      </c>
      <c r="K46" s="1">
        <v>619.678</v>
      </c>
      <c r="L46" s="1">
        <v>625.44899999999996</v>
      </c>
      <c r="M46" s="1">
        <v>512.577</v>
      </c>
      <c r="N46" s="1">
        <v>642.12</v>
      </c>
      <c r="O46" s="1">
        <v>953.64499999999998</v>
      </c>
      <c r="P46" s="1">
        <v>324.38</v>
      </c>
      <c r="Q46" s="1">
        <v>344.214</v>
      </c>
      <c r="R46" s="1">
        <v>1026.2439999999999</v>
      </c>
      <c r="S46" s="1">
        <v>745.58699999999999</v>
      </c>
      <c r="T46" s="1">
        <v>972.303</v>
      </c>
      <c r="U46" s="1">
        <v>995.84900000000005</v>
      </c>
      <c r="V46" s="1">
        <v>1253.3710000000001</v>
      </c>
      <c r="W46" s="1">
        <v>1038.171</v>
      </c>
      <c r="X46" s="1">
        <v>944.55</v>
      </c>
      <c r="Y46" s="1">
        <v>489.58199999999999</v>
      </c>
      <c r="Z46" s="1">
        <v>685.43499999999995</v>
      </c>
      <c r="AA46" s="1">
        <v>594.36800000000005</v>
      </c>
      <c r="AB46" s="1">
        <v>599.80399999999997</v>
      </c>
      <c r="AC46" s="1">
        <v>696.52599999999995</v>
      </c>
    </row>
    <row r="47" spans="1:29">
      <c r="A47" s="1" t="s">
        <v>99</v>
      </c>
      <c r="F47" s="42">
        <v>677.83799999999997</v>
      </c>
      <c r="I47" s="1">
        <v>3074.3510000000001</v>
      </c>
      <c r="K47" s="1">
        <v>2662.6143199999929</v>
      </c>
      <c r="L47" s="1">
        <v>1712.0029999999999</v>
      </c>
      <c r="M47" s="1">
        <v>572.28700000000003</v>
      </c>
      <c r="N47" s="1">
        <v>656.28499999999997</v>
      </c>
      <c r="O47" s="1">
        <v>605.721</v>
      </c>
      <c r="P47" s="1">
        <v>876.17499999999995</v>
      </c>
      <c r="Q47" s="1">
        <v>1004.155</v>
      </c>
      <c r="R47" s="1">
        <v>1060.826</v>
      </c>
      <c r="S47" s="1">
        <v>1315.9280000000001</v>
      </c>
      <c r="T47" s="1">
        <v>1357.25</v>
      </c>
      <c r="U47" s="1">
        <v>2037</v>
      </c>
      <c r="V47" s="1">
        <v>2654</v>
      </c>
      <c r="W47" s="1">
        <v>3560</v>
      </c>
      <c r="X47" s="1">
        <v>2147</v>
      </c>
      <c r="Y47" s="1">
        <v>1189</v>
      </c>
      <c r="Z47" s="1">
        <v>1055</v>
      </c>
      <c r="AA47" s="1">
        <v>1169</v>
      </c>
      <c r="AB47" s="1">
        <v>2057.143</v>
      </c>
      <c r="AC47" s="1">
        <v>1563</v>
      </c>
    </row>
    <row r="48" spans="1:29">
      <c r="A48" s="1" t="s">
        <v>59</v>
      </c>
      <c r="F48" s="42">
        <v>0</v>
      </c>
      <c r="I48" s="1">
        <v>0</v>
      </c>
      <c r="K48" s="1">
        <v>0</v>
      </c>
      <c r="L48" s="1">
        <v>0</v>
      </c>
      <c r="M48" s="1">
        <v>7.93</v>
      </c>
      <c r="N48" s="1">
        <v>11.445</v>
      </c>
      <c r="O48" s="1">
        <v>0</v>
      </c>
      <c r="P48" s="1">
        <v>0</v>
      </c>
      <c r="Q48" s="1">
        <v>0</v>
      </c>
      <c r="R48" s="1">
        <v>0</v>
      </c>
      <c r="S48" s="1">
        <v>14.823</v>
      </c>
      <c r="T48" s="1">
        <v>6.2930000000000001</v>
      </c>
      <c r="U48" s="1">
        <v>0</v>
      </c>
      <c r="V48" s="1">
        <v>0</v>
      </c>
      <c r="W48" s="1">
        <v>0.68799999999999994</v>
      </c>
      <c r="X48" s="1">
        <v>0</v>
      </c>
      <c r="Y48" s="1">
        <v>0</v>
      </c>
      <c r="Z48" s="1">
        <v>1.673</v>
      </c>
      <c r="AA48" s="1">
        <v>0.72799999999999998</v>
      </c>
      <c r="AB48" s="1">
        <v>11.705</v>
      </c>
      <c r="AC48" s="1">
        <v>1.137</v>
      </c>
    </row>
    <row r="49" spans="1:29">
      <c r="A49" s="1" t="s">
        <v>101</v>
      </c>
      <c r="F49" s="42">
        <v>0</v>
      </c>
      <c r="I49" s="1">
        <v>0</v>
      </c>
      <c r="K49" s="1">
        <v>0</v>
      </c>
      <c r="L49" s="1">
        <v>0</v>
      </c>
      <c r="M49" s="1">
        <v>0</v>
      </c>
      <c r="N49" s="1">
        <v>0</v>
      </c>
      <c r="O49" s="1">
        <v>0</v>
      </c>
      <c r="P49" s="1">
        <v>117.791</v>
      </c>
      <c r="Q49" s="1">
        <v>0</v>
      </c>
      <c r="R49" s="1">
        <v>9.9870000000000001</v>
      </c>
      <c r="S49" s="1">
        <v>1</v>
      </c>
      <c r="T49" s="1">
        <v>0</v>
      </c>
      <c r="U49" s="1">
        <v>2.36</v>
      </c>
      <c r="V49" s="1">
        <v>6.1360000000000001</v>
      </c>
      <c r="W49" s="1">
        <v>164.06100000000001</v>
      </c>
      <c r="X49" s="1">
        <v>44.8</v>
      </c>
      <c r="Y49" s="1">
        <v>39.536999999999999</v>
      </c>
      <c r="Z49" s="1">
        <v>12.513999999999999</v>
      </c>
      <c r="AA49" s="1">
        <v>0</v>
      </c>
      <c r="AB49" s="1">
        <v>16.523</v>
      </c>
      <c r="AC49" s="1">
        <v>3.798</v>
      </c>
    </row>
    <row r="50" spans="1:29">
      <c r="A50" s="1" t="s">
        <v>107</v>
      </c>
      <c r="F50" s="42">
        <v>12.266</v>
      </c>
      <c r="I50" s="1">
        <v>0</v>
      </c>
      <c r="K50" s="1">
        <v>92.185000000000002</v>
      </c>
      <c r="L50" s="1">
        <v>180.733</v>
      </c>
      <c r="M50" s="1">
        <v>15.945</v>
      </c>
      <c r="N50" s="1">
        <v>2.105</v>
      </c>
      <c r="O50" s="1">
        <v>11.688000000000001</v>
      </c>
      <c r="P50" s="1">
        <v>7.2709999999999999</v>
      </c>
      <c r="Q50" s="1">
        <v>1.349</v>
      </c>
      <c r="R50" s="1">
        <v>0</v>
      </c>
      <c r="S50" s="1">
        <v>0</v>
      </c>
      <c r="T50" s="1">
        <v>0</v>
      </c>
      <c r="U50" s="1">
        <v>0</v>
      </c>
      <c r="V50" s="1">
        <v>0</v>
      </c>
      <c r="W50" s="1">
        <v>0</v>
      </c>
      <c r="X50" s="1">
        <v>0</v>
      </c>
      <c r="Y50" s="1">
        <v>63.805</v>
      </c>
      <c r="Z50" s="1">
        <v>188.37200000000001</v>
      </c>
      <c r="AA50" s="1">
        <v>673.68899999999996</v>
      </c>
      <c r="AB50" s="1">
        <v>1085.877</v>
      </c>
      <c r="AC50" s="1">
        <v>712.43799999999999</v>
      </c>
    </row>
    <row r="51" spans="1:29">
      <c r="A51" s="1" t="s">
        <v>108</v>
      </c>
      <c r="F51" s="42">
        <v>341.29500000000002</v>
      </c>
      <c r="I51" s="1">
        <v>770.28300000000002</v>
      </c>
      <c r="K51" s="1">
        <v>376.39100000000002</v>
      </c>
      <c r="L51" s="1">
        <v>719.19299999999998</v>
      </c>
      <c r="M51" s="1">
        <v>730.73500000000001</v>
      </c>
      <c r="N51" s="1">
        <v>471.97300000000001</v>
      </c>
      <c r="O51" s="1">
        <v>437.74400000000003</v>
      </c>
      <c r="P51" s="1">
        <v>489.64100000000002</v>
      </c>
      <c r="Q51" s="1">
        <v>771.48400000000004</v>
      </c>
      <c r="R51" s="1">
        <v>860.58199999999999</v>
      </c>
      <c r="S51" s="1">
        <v>1202.394</v>
      </c>
      <c r="T51" s="1">
        <v>1385.5889999999999</v>
      </c>
      <c r="U51" s="1">
        <v>6596.6379999999999</v>
      </c>
      <c r="V51" s="1">
        <v>1709.162</v>
      </c>
      <c r="W51" s="1">
        <v>2502.2959999999998</v>
      </c>
      <c r="X51" s="1">
        <v>2290.413</v>
      </c>
      <c r="Y51" s="1">
        <v>4027.4349999999999</v>
      </c>
      <c r="Z51" s="1">
        <v>2775.4490000000001</v>
      </c>
      <c r="AA51" s="1">
        <v>2804.761</v>
      </c>
      <c r="AB51" s="1">
        <v>1722.329</v>
      </c>
      <c r="AC51" s="1">
        <v>1317.806</v>
      </c>
    </row>
    <row r="52" spans="1:29">
      <c r="A52" s="1" t="s">
        <v>112</v>
      </c>
      <c r="F52" s="42">
        <v>0</v>
      </c>
      <c r="I52" s="1">
        <v>0</v>
      </c>
      <c r="K52" s="1">
        <v>0</v>
      </c>
      <c r="L52" s="1">
        <v>0</v>
      </c>
      <c r="M52" s="1">
        <v>0</v>
      </c>
      <c r="N52" s="1">
        <v>28.286999999999999</v>
      </c>
      <c r="O52" s="1">
        <v>0</v>
      </c>
      <c r="P52" s="1">
        <v>0</v>
      </c>
      <c r="Q52" s="1">
        <v>0</v>
      </c>
      <c r="R52" s="1">
        <v>0</v>
      </c>
      <c r="S52" s="1">
        <v>0</v>
      </c>
      <c r="T52" s="1">
        <v>0</v>
      </c>
      <c r="U52" s="1">
        <v>260.976</v>
      </c>
      <c r="V52" s="1">
        <v>0</v>
      </c>
      <c r="W52" s="1">
        <v>0</v>
      </c>
      <c r="X52" s="1">
        <v>0</v>
      </c>
      <c r="Y52" s="1">
        <v>70.311000000000007</v>
      </c>
      <c r="Z52" s="1">
        <v>46.865000000000002</v>
      </c>
      <c r="AA52" s="1">
        <v>54.746000000000002</v>
      </c>
      <c r="AB52" s="1">
        <v>62.021000000000001</v>
      </c>
      <c r="AC52" s="1">
        <v>110.848</v>
      </c>
    </row>
    <row r="53" spans="1:29">
      <c r="A53" s="24" t="s">
        <v>116</v>
      </c>
      <c r="B53" s="24"/>
      <c r="C53" s="24"/>
      <c r="D53" s="24"/>
      <c r="E53" s="24"/>
      <c r="F53" s="45">
        <v>2524.1770000000001</v>
      </c>
      <c r="G53" s="24"/>
      <c r="H53" s="24"/>
      <c r="I53" s="24">
        <v>3026.788</v>
      </c>
      <c r="J53" s="24"/>
      <c r="K53" s="24">
        <v>206.57</v>
      </c>
      <c r="L53" s="24">
        <v>168.886</v>
      </c>
      <c r="M53" s="24">
        <v>154.16399999999999</v>
      </c>
      <c r="N53" s="24">
        <v>719.42</v>
      </c>
      <c r="O53" s="24">
        <v>2045.9359999999999</v>
      </c>
      <c r="P53" s="24">
        <v>31.518000000000001</v>
      </c>
      <c r="Q53" s="24">
        <v>197.92099999999999</v>
      </c>
      <c r="R53" s="24">
        <v>157.73400000000001</v>
      </c>
      <c r="S53" s="24">
        <v>218.268</v>
      </c>
      <c r="T53" s="24">
        <v>190.137</v>
      </c>
      <c r="U53" s="24">
        <v>203.518</v>
      </c>
      <c r="V53" s="24">
        <v>187.69399999999999</v>
      </c>
      <c r="W53" s="24">
        <v>211.79599999999999</v>
      </c>
      <c r="X53" s="24">
        <v>172.03200000000001</v>
      </c>
      <c r="Y53" s="24">
        <v>216.298</v>
      </c>
      <c r="Z53" s="24">
        <v>321.97800000000001</v>
      </c>
      <c r="AA53" s="24">
        <v>199.179</v>
      </c>
      <c r="AB53" s="24">
        <v>93.972999999999999</v>
      </c>
      <c r="AC53" s="24">
        <v>69.683999999999997</v>
      </c>
    </row>
    <row r="54" spans="1:29">
      <c r="A54" s="7" t="s">
        <v>122</v>
      </c>
      <c r="B54" s="48">
        <f>SUM(B56:B64)</f>
        <v>0</v>
      </c>
      <c r="C54" s="48">
        <f t="shared" ref="C54:AC54" si="12">SUM(C56:C64)</f>
        <v>0</v>
      </c>
      <c r="D54" s="48">
        <f t="shared" si="12"/>
        <v>0</v>
      </c>
      <c r="E54" s="48">
        <f t="shared" si="12"/>
        <v>0</v>
      </c>
      <c r="F54" s="48">
        <f>SUM(F56:F64)</f>
        <v>5906.1080000000011</v>
      </c>
      <c r="G54" s="48">
        <f t="shared" si="12"/>
        <v>0</v>
      </c>
      <c r="H54" s="48">
        <f t="shared" si="12"/>
        <v>0</v>
      </c>
      <c r="I54" s="48">
        <f t="shared" si="12"/>
        <v>7298.0480000000007</v>
      </c>
      <c r="J54" s="48">
        <f t="shared" si="12"/>
        <v>0</v>
      </c>
      <c r="K54" s="48">
        <f t="shared" si="12"/>
        <v>2725.1089999999999</v>
      </c>
      <c r="L54" s="48">
        <f t="shared" si="12"/>
        <v>1630.3879999999999</v>
      </c>
      <c r="M54" s="48">
        <f t="shared" si="12"/>
        <v>3800.7779999999998</v>
      </c>
      <c r="N54" s="48">
        <f t="shared" si="12"/>
        <v>3812.5630000000001</v>
      </c>
      <c r="O54" s="48">
        <f t="shared" si="12"/>
        <v>4155.3069999999998</v>
      </c>
      <c r="P54" s="48">
        <f t="shared" si="12"/>
        <v>4472.4179999999997</v>
      </c>
      <c r="Q54" s="48">
        <f t="shared" si="12"/>
        <v>4347.7780000000002</v>
      </c>
      <c r="R54" s="48">
        <f t="shared" si="12"/>
        <v>4613.4139999999989</v>
      </c>
      <c r="S54" s="48">
        <f t="shared" si="12"/>
        <v>4878.7080000000005</v>
      </c>
      <c r="T54" s="48">
        <f t="shared" si="12"/>
        <v>5049.9309999999996</v>
      </c>
      <c r="U54" s="48">
        <f t="shared" si="12"/>
        <v>5050.7020000000002</v>
      </c>
      <c r="V54" s="48">
        <f t="shared" si="12"/>
        <v>5560.8970000000008</v>
      </c>
      <c r="W54" s="48">
        <f t="shared" si="12"/>
        <v>5810.6590000000006</v>
      </c>
      <c r="X54" s="48">
        <f t="shared" si="12"/>
        <v>5922.8430000000008</v>
      </c>
      <c r="Y54" s="48">
        <f t="shared" si="12"/>
        <v>5717.1310000000003</v>
      </c>
      <c r="Z54" s="48">
        <f t="shared" si="12"/>
        <v>10093.819</v>
      </c>
      <c r="AA54" s="48">
        <f t="shared" si="12"/>
        <v>7542.08</v>
      </c>
      <c r="AB54" s="48">
        <f t="shared" si="12"/>
        <v>7123.8310000000001</v>
      </c>
      <c r="AC54" s="48">
        <f t="shared" si="12"/>
        <v>9729.0869999999995</v>
      </c>
    </row>
    <row r="55" spans="1:29">
      <c r="A55" s="7" t="s">
        <v>119</v>
      </c>
      <c r="X55" s="1">
        <v>0</v>
      </c>
      <c r="Y55" s="1" t="e">
        <f>#REF!/1000</f>
        <v>#REF!</v>
      </c>
      <c r="AB55" s="1">
        <v>0</v>
      </c>
      <c r="AC55" s="1">
        <v>0</v>
      </c>
    </row>
    <row r="56" spans="1:29">
      <c r="A56" s="1" t="s">
        <v>89</v>
      </c>
      <c r="F56" s="42">
        <v>0</v>
      </c>
      <c r="I56" s="1">
        <v>0</v>
      </c>
      <c r="K56" s="1">
        <v>0</v>
      </c>
      <c r="L56" s="1">
        <v>0</v>
      </c>
      <c r="M56" s="1">
        <v>0</v>
      </c>
      <c r="N56" s="1">
        <v>0</v>
      </c>
      <c r="O56" s="1">
        <v>0</v>
      </c>
      <c r="P56" s="1">
        <v>0</v>
      </c>
      <c r="Q56" s="1">
        <v>0</v>
      </c>
      <c r="R56" s="1">
        <v>0</v>
      </c>
      <c r="S56" s="1">
        <v>0</v>
      </c>
      <c r="T56" s="1">
        <v>0</v>
      </c>
      <c r="U56" s="1">
        <v>0</v>
      </c>
      <c r="V56" s="1">
        <v>0</v>
      </c>
      <c r="W56" s="1">
        <v>0</v>
      </c>
      <c r="X56" s="1">
        <v>0</v>
      </c>
      <c r="Y56" s="1">
        <v>0</v>
      </c>
      <c r="Z56" s="1">
        <v>0</v>
      </c>
      <c r="AA56" s="1">
        <v>0</v>
      </c>
      <c r="AB56" s="1">
        <v>0</v>
      </c>
      <c r="AC56" s="1">
        <v>0</v>
      </c>
    </row>
    <row r="57" spans="1:29">
      <c r="A57" s="1" t="s">
        <v>96</v>
      </c>
      <c r="F57" s="42">
        <v>17.428999999999998</v>
      </c>
      <c r="I57" s="1">
        <v>5.1109999999999998</v>
      </c>
      <c r="K57" s="1">
        <v>1.881</v>
      </c>
      <c r="L57" s="1">
        <v>0</v>
      </c>
      <c r="M57" s="1">
        <v>0</v>
      </c>
      <c r="N57" s="1">
        <v>0</v>
      </c>
      <c r="O57" s="1">
        <v>0</v>
      </c>
      <c r="P57" s="1">
        <v>0</v>
      </c>
      <c r="Q57" s="1">
        <v>0</v>
      </c>
      <c r="R57" s="1">
        <v>0</v>
      </c>
      <c r="S57" s="1">
        <v>0</v>
      </c>
      <c r="T57" s="1">
        <v>0</v>
      </c>
      <c r="U57" s="1">
        <v>0</v>
      </c>
      <c r="V57" s="1">
        <v>0</v>
      </c>
      <c r="W57" s="1">
        <v>0</v>
      </c>
      <c r="X57" s="1">
        <v>0</v>
      </c>
      <c r="Y57" s="1">
        <v>396</v>
      </c>
      <c r="Z57" s="1">
        <v>609</v>
      </c>
      <c r="AA57" s="1">
        <v>647</v>
      </c>
      <c r="AB57" s="1">
        <v>0</v>
      </c>
      <c r="AC57" s="1">
        <v>0</v>
      </c>
    </row>
    <row r="58" spans="1:29" s="11" customFormat="1">
      <c r="A58" s="1" t="s">
        <v>97</v>
      </c>
      <c r="B58" s="1"/>
      <c r="C58" s="1"/>
      <c r="D58" s="1"/>
      <c r="E58" s="1"/>
      <c r="F58" s="42">
        <v>0</v>
      </c>
      <c r="G58" s="1"/>
      <c r="H58" s="1"/>
      <c r="I58" s="1">
        <v>18.222000000000001</v>
      </c>
      <c r="J58" s="1"/>
      <c r="K58" s="1">
        <v>18.183</v>
      </c>
      <c r="L58" s="1">
        <v>26.731000000000002</v>
      </c>
      <c r="M58" s="1">
        <v>23.35</v>
      </c>
      <c r="N58" s="1">
        <v>22.718</v>
      </c>
      <c r="O58" s="1">
        <v>50.226999999999997</v>
      </c>
      <c r="P58" s="1">
        <v>78.671999999999997</v>
      </c>
      <c r="Q58" s="1">
        <v>91.272999999999996</v>
      </c>
      <c r="R58" s="1">
        <v>194.024</v>
      </c>
      <c r="S58" s="1">
        <v>166.24799999999999</v>
      </c>
      <c r="T58" s="1">
        <v>129.52000000000001</v>
      </c>
      <c r="U58" s="1">
        <v>122.015</v>
      </c>
      <c r="V58" s="1">
        <v>132.29499999999999</v>
      </c>
      <c r="W58" s="1">
        <v>53.543999999999997</v>
      </c>
      <c r="X58" s="1">
        <v>23.388999999999999</v>
      </c>
      <c r="Y58" s="1">
        <v>8.327</v>
      </c>
      <c r="Z58" s="1">
        <v>11.077</v>
      </c>
      <c r="AA58" s="1">
        <v>6.1989999999999998</v>
      </c>
      <c r="AB58" s="1">
        <v>14.051</v>
      </c>
      <c r="AC58" s="1">
        <v>14.055999999999999</v>
      </c>
    </row>
    <row r="59" spans="1:29">
      <c r="A59" s="1" t="s">
        <v>103</v>
      </c>
      <c r="F59" s="42">
        <v>0</v>
      </c>
      <c r="I59" s="1">
        <v>0</v>
      </c>
      <c r="K59" s="1">
        <v>0</v>
      </c>
      <c r="L59" s="1">
        <v>20.891999999999999</v>
      </c>
      <c r="M59" s="1">
        <v>0</v>
      </c>
      <c r="N59" s="1">
        <v>0</v>
      </c>
      <c r="O59" s="1">
        <v>0</v>
      </c>
      <c r="P59" s="1">
        <v>0</v>
      </c>
      <c r="Q59" s="1">
        <v>0</v>
      </c>
      <c r="R59" s="1">
        <v>0</v>
      </c>
      <c r="S59" s="1">
        <v>7.75</v>
      </c>
      <c r="T59" s="1">
        <v>6.1970000000000001</v>
      </c>
      <c r="U59" s="1">
        <v>44.072000000000003</v>
      </c>
      <c r="V59" s="1">
        <v>51.41</v>
      </c>
      <c r="W59" s="1">
        <v>14.94</v>
      </c>
      <c r="X59" s="1">
        <v>194.03100000000001</v>
      </c>
      <c r="Y59" s="1">
        <v>273.74</v>
      </c>
      <c r="Z59" s="1">
        <v>269.86700000000002</v>
      </c>
      <c r="AA59" s="1">
        <v>509.57100000000003</v>
      </c>
      <c r="AB59" s="1">
        <v>381.25</v>
      </c>
      <c r="AC59" s="1">
        <v>417.49200000000002</v>
      </c>
    </row>
    <row r="60" spans="1:29">
      <c r="A60" s="1" t="s">
        <v>104</v>
      </c>
      <c r="F60" s="42">
        <v>1189.3810000000001</v>
      </c>
      <c r="I60" s="1">
        <v>1278.9490000000001</v>
      </c>
      <c r="K60" s="1">
        <v>1352.4680000000001</v>
      </c>
      <c r="L60" s="1">
        <v>1001.022</v>
      </c>
      <c r="M60" s="1">
        <v>1095.8320000000001</v>
      </c>
      <c r="N60" s="1">
        <v>1347.711</v>
      </c>
      <c r="O60" s="1">
        <v>1466.0050000000001</v>
      </c>
      <c r="P60" s="1">
        <v>1515.6389999999999</v>
      </c>
      <c r="Q60" s="1">
        <v>1695.9390000000001</v>
      </c>
      <c r="R60" s="1">
        <v>1738.433</v>
      </c>
      <c r="S60" s="1">
        <v>1765.328</v>
      </c>
      <c r="T60" s="1">
        <v>2046.0319999999999</v>
      </c>
      <c r="U60" s="1">
        <v>2205.5680000000002</v>
      </c>
      <c r="V60" s="1">
        <v>2605.5790000000002</v>
      </c>
      <c r="W60" s="1">
        <v>2581.076</v>
      </c>
      <c r="X60" s="1">
        <v>2817.6170000000002</v>
      </c>
      <c r="Y60" s="1">
        <v>2775.4</v>
      </c>
      <c r="Z60" s="1">
        <v>2937.377</v>
      </c>
      <c r="AA60" s="1">
        <v>2262.864</v>
      </c>
      <c r="AB60" s="1">
        <v>2306.6289999999999</v>
      </c>
      <c r="AC60" s="1">
        <v>2331.3290000000002</v>
      </c>
    </row>
    <row r="61" spans="1:29">
      <c r="A61" s="1" t="s">
        <v>106</v>
      </c>
      <c r="F61" s="42">
        <v>4500.8680000000004</v>
      </c>
      <c r="I61" s="1">
        <v>5822.6490000000003</v>
      </c>
      <c r="K61" s="1">
        <v>1135.1289999999999</v>
      </c>
      <c r="L61" s="1">
        <v>382.31599999999997</v>
      </c>
      <c r="M61" s="1">
        <v>2675.0050000000001</v>
      </c>
      <c r="N61" s="1">
        <v>2433.7159999999999</v>
      </c>
      <c r="O61" s="1">
        <v>2472.1170000000002</v>
      </c>
      <c r="P61" s="1">
        <v>2878.107</v>
      </c>
      <c r="Q61" s="1">
        <v>2489.9119999999998</v>
      </c>
      <c r="R61" s="1">
        <v>2604.4409999999998</v>
      </c>
      <c r="S61" s="1">
        <v>2806.8440000000001</v>
      </c>
      <c r="T61" s="1">
        <v>2726.0259999999998</v>
      </c>
      <c r="U61" s="1">
        <v>2565.2869999999998</v>
      </c>
      <c r="V61" s="1">
        <v>2654.7809999999999</v>
      </c>
      <c r="W61" s="1">
        <v>3087.067</v>
      </c>
      <c r="X61" s="1">
        <v>2882.6030000000001</v>
      </c>
      <c r="Y61" s="1">
        <v>2262.5329999999999</v>
      </c>
      <c r="Z61" s="1">
        <v>6217.9629999999997</v>
      </c>
      <c r="AA61" s="1">
        <v>4072.183</v>
      </c>
      <c r="AB61" s="1">
        <v>4382.5619999999999</v>
      </c>
      <c r="AC61" s="1">
        <v>6966.21</v>
      </c>
    </row>
    <row r="62" spans="1:29">
      <c r="A62" s="1" t="s">
        <v>110</v>
      </c>
      <c r="F62" s="42">
        <v>198.43</v>
      </c>
      <c r="I62" s="1">
        <v>173.11699999999999</v>
      </c>
      <c r="K62" s="1">
        <v>217.44800000000001</v>
      </c>
      <c r="L62" s="1">
        <v>199.42699999999999</v>
      </c>
      <c r="M62" s="1">
        <v>6.5910000000000002</v>
      </c>
      <c r="N62" s="1">
        <v>8.4179999999999993</v>
      </c>
      <c r="O62" s="1">
        <v>166.958</v>
      </c>
      <c r="P62" s="1">
        <v>0</v>
      </c>
      <c r="Q62" s="1">
        <v>70.653999999999996</v>
      </c>
      <c r="R62" s="1">
        <v>76.516000000000005</v>
      </c>
      <c r="S62" s="1">
        <v>132.53800000000001</v>
      </c>
      <c r="T62" s="1">
        <v>142.15600000000001</v>
      </c>
      <c r="U62" s="1">
        <v>113.76</v>
      </c>
      <c r="V62" s="1">
        <v>116.83199999999999</v>
      </c>
      <c r="W62" s="1">
        <v>74.031999999999996</v>
      </c>
      <c r="X62" s="1">
        <v>5.2030000000000003</v>
      </c>
      <c r="Y62" s="1">
        <v>1.131</v>
      </c>
      <c r="Z62" s="1">
        <v>48.534999999999997</v>
      </c>
      <c r="AA62" s="1">
        <v>26.19</v>
      </c>
      <c r="AB62" s="1">
        <v>39.338999999999999</v>
      </c>
      <c r="AC62" s="1">
        <v>0</v>
      </c>
    </row>
    <row r="63" spans="1:29">
      <c r="A63" s="1" t="s">
        <v>111</v>
      </c>
      <c r="F63" s="42">
        <v>0</v>
      </c>
      <c r="I63" s="1">
        <v>0</v>
      </c>
      <c r="K63" s="1">
        <v>0</v>
      </c>
      <c r="L63" s="1">
        <v>0</v>
      </c>
      <c r="M63" s="1">
        <v>0</v>
      </c>
      <c r="N63" s="1">
        <v>0</v>
      </c>
      <c r="O63" s="1">
        <v>0</v>
      </c>
      <c r="P63" s="1">
        <v>0</v>
      </c>
      <c r="Q63" s="1">
        <v>0</v>
      </c>
      <c r="R63" s="1">
        <v>0</v>
      </c>
      <c r="S63" s="1">
        <v>0</v>
      </c>
      <c r="T63" s="1">
        <v>0</v>
      </c>
      <c r="U63" s="1">
        <v>0</v>
      </c>
      <c r="V63" s="1">
        <v>0</v>
      </c>
      <c r="W63" s="1">
        <v>0</v>
      </c>
      <c r="X63" s="1">
        <v>0</v>
      </c>
      <c r="Y63" s="1">
        <v>0</v>
      </c>
      <c r="Z63" s="1">
        <v>0</v>
      </c>
      <c r="AA63" s="1">
        <v>0</v>
      </c>
      <c r="AB63" s="1">
        <v>0</v>
      </c>
      <c r="AC63" s="1">
        <v>0</v>
      </c>
    </row>
    <row r="64" spans="1:29">
      <c r="A64" s="24" t="s">
        <v>114</v>
      </c>
      <c r="B64" s="24"/>
      <c r="C64" s="24"/>
      <c r="D64" s="24"/>
      <c r="E64" s="24"/>
      <c r="F64" s="45">
        <v>0</v>
      </c>
      <c r="G64" s="24"/>
      <c r="H64" s="24"/>
      <c r="I64" s="24">
        <v>0</v>
      </c>
      <c r="J64" s="24"/>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18.073</v>
      </c>
      <c r="AB64" s="24">
        <v>0</v>
      </c>
      <c r="AC64" s="24">
        <v>0</v>
      </c>
    </row>
    <row r="65" spans="1:29">
      <c r="A65" s="46" t="s">
        <v>90</v>
      </c>
      <c r="B65" s="46"/>
      <c r="C65" s="46"/>
      <c r="D65" s="46"/>
      <c r="E65" s="46"/>
      <c r="F65" s="47">
        <v>0</v>
      </c>
      <c r="G65" s="46"/>
      <c r="H65" s="46"/>
      <c r="I65" s="46">
        <v>0</v>
      </c>
      <c r="J65" s="46"/>
      <c r="K65" s="46">
        <v>0</v>
      </c>
      <c r="L65" s="46"/>
      <c r="M65" s="46">
        <v>0</v>
      </c>
      <c r="N65" s="46">
        <v>0</v>
      </c>
      <c r="O65" s="46">
        <v>0</v>
      </c>
      <c r="P65" s="46">
        <v>0</v>
      </c>
      <c r="Q65" s="46">
        <v>0</v>
      </c>
      <c r="R65" s="46">
        <v>0</v>
      </c>
      <c r="S65" s="46">
        <v>0</v>
      </c>
      <c r="T65" s="46">
        <v>0</v>
      </c>
      <c r="U65" s="46">
        <v>0</v>
      </c>
      <c r="V65" s="46">
        <v>0</v>
      </c>
      <c r="W65" s="46">
        <v>0</v>
      </c>
      <c r="X65" s="24">
        <v>0</v>
      </c>
      <c r="Y65" s="24"/>
      <c r="Z65" s="24"/>
      <c r="AA65" s="24"/>
      <c r="AB65" s="24"/>
      <c r="AC65" s="24"/>
    </row>
    <row r="67" spans="1:29">
      <c r="I67" s="20" t="s">
        <v>78</v>
      </c>
      <c r="J67" s="20" t="s">
        <v>76</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indexed="62"/>
  </sheetPr>
  <dimension ref="A1:AC70"/>
  <sheetViews>
    <sheetView showZeros="0" zoomScale="112" zoomScaleNormal="112" workbookViewId="0">
      <pane xSplit="1" ySplit="5" topLeftCell="U6" activePane="bottomRight" state="frozen"/>
      <selection activeCell="B52" sqref="B52"/>
      <selection pane="topRight" activeCell="B52" sqref="B52"/>
      <selection pane="bottomLeft" activeCell="B52" sqref="B52"/>
      <selection pane="bottomRight" activeCell="AB16" sqref="AB16"/>
    </sheetView>
  </sheetViews>
  <sheetFormatPr defaultColWidth="9.7109375" defaultRowHeight="12.75"/>
  <cols>
    <col min="1" max="1" width="23.42578125" style="44" customWidth="1"/>
    <col min="2" max="23" width="12.42578125" style="1" customWidth="1"/>
    <col min="24" max="45" width="10.7109375" style="1" customWidth="1"/>
    <col min="46" max="16384" width="9.7109375" style="1"/>
  </cols>
  <sheetData>
    <row r="1" spans="1:29">
      <c r="A1" s="7" t="s">
        <v>39</v>
      </c>
      <c r="B1"/>
      <c r="C1"/>
      <c r="D1"/>
      <c r="E1"/>
      <c r="F1"/>
      <c r="G1"/>
      <c r="H1"/>
      <c r="I1"/>
      <c r="J1"/>
      <c r="K1"/>
      <c r="L1"/>
      <c r="M1"/>
      <c r="N1"/>
      <c r="O1"/>
      <c r="P1"/>
      <c r="Q1"/>
      <c r="R1"/>
      <c r="S1"/>
      <c r="T1"/>
      <c r="U1"/>
      <c r="V1"/>
      <c r="W1"/>
      <c r="AB1" s="1">
        <v>1000</v>
      </c>
    </row>
    <row r="2" spans="1:29">
      <c r="A2" s="9"/>
      <c r="B2" s="9"/>
      <c r="C2" s="9"/>
      <c r="D2" s="9"/>
      <c r="E2" s="9"/>
      <c r="F2" s="9"/>
    </row>
    <row r="3" spans="1:29">
      <c r="A3" s="1" t="s">
        <v>20</v>
      </c>
      <c r="B3" s="9"/>
      <c r="C3" s="9"/>
      <c r="D3" s="9"/>
      <c r="E3" s="9"/>
      <c r="F3" s="9"/>
    </row>
    <row r="4" spans="1:29" s="33" customFormat="1">
      <c r="B4" s="33">
        <v>1984</v>
      </c>
      <c r="C4" s="33">
        <v>1985</v>
      </c>
      <c r="D4" s="33">
        <v>1986</v>
      </c>
      <c r="E4" s="33">
        <v>1991</v>
      </c>
      <c r="F4" s="33">
        <v>1992</v>
      </c>
      <c r="G4" s="33">
        <v>1993</v>
      </c>
      <c r="H4" s="33">
        <v>1994</v>
      </c>
      <c r="I4" s="33">
        <v>1995</v>
      </c>
      <c r="J4" s="33">
        <v>1996</v>
      </c>
      <c r="K4" s="33">
        <v>1997</v>
      </c>
      <c r="L4" s="33">
        <v>2000</v>
      </c>
      <c r="M4" s="40">
        <v>2001</v>
      </c>
      <c r="N4" s="40">
        <v>2002</v>
      </c>
      <c r="O4" s="40">
        <v>2003</v>
      </c>
      <c r="P4" s="40">
        <v>2004</v>
      </c>
      <c r="Q4" s="40">
        <v>2005</v>
      </c>
      <c r="R4" s="40">
        <v>2006</v>
      </c>
      <c r="S4" s="40">
        <v>2007</v>
      </c>
      <c r="T4" s="40">
        <v>2008</v>
      </c>
      <c r="U4" s="40">
        <v>2009</v>
      </c>
      <c r="V4" s="40">
        <v>2010</v>
      </c>
      <c r="W4" s="40">
        <v>2011</v>
      </c>
      <c r="X4" s="33" t="s">
        <v>140</v>
      </c>
      <c r="Y4" s="33" t="s">
        <v>142</v>
      </c>
      <c r="Z4" s="33" t="s">
        <v>143</v>
      </c>
      <c r="AA4" s="33" t="s">
        <v>144</v>
      </c>
      <c r="AB4" s="96" t="s">
        <v>149</v>
      </c>
      <c r="AC4" s="96" t="s">
        <v>150</v>
      </c>
    </row>
    <row r="5" spans="1:29">
      <c r="B5" s="8" t="s">
        <v>1</v>
      </c>
      <c r="C5" s="8" t="s">
        <v>1</v>
      </c>
      <c r="D5" s="8" t="s">
        <v>1</v>
      </c>
      <c r="E5" s="8" t="s">
        <v>1</v>
      </c>
      <c r="F5" s="8" t="s">
        <v>1</v>
      </c>
      <c r="G5" s="8" t="s">
        <v>1</v>
      </c>
      <c r="H5" s="8" t="s">
        <v>1</v>
      </c>
      <c r="I5" s="8" t="s">
        <v>1</v>
      </c>
      <c r="J5" s="8" t="s">
        <v>1</v>
      </c>
      <c r="K5" s="8" t="s">
        <v>1</v>
      </c>
      <c r="L5" s="8" t="s">
        <v>1</v>
      </c>
      <c r="M5" s="8" t="s">
        <v>1</v>
      </c>
      <c r="N5" s="8" t="s">
        <v>1</v>
      </c>
      <c r="O5" s="8" t="s">
        <v>1</v>
      </c>
      <c r="P5" s="8" t="s">
        <v>1</v>
      </c>
      <c r="Q5" s="8" t="s">
        <v>1</v>
      </c>
      <c r="R5" s="8" t="s">
        <v>1</v>
      </c>
      <c r="S5" s="8" t="s">
        <v>1</v>
      </c>
      <c r="T5" s="8" t="s">
        <v>1</v>
      </c>
      <c r="U5" s="8" t="s">
        <v>1</v>
      </c>
      <c r="V5" s="8" t="s">
        <v>1</v>
      </c>
      <c r="W5" s="8" t="s">
        <v>1</v>
      </c>
      <c r="X5" s="8" t="s">
        <v>1</v>
      </c>
      <c r="Y5" s="8" t="s">
        <v>1</v>
      </c>
      <c r="Z5" s="8" t="s">
        <v>1</v>
      </c>
      <c r="AA5" s="8" t="s">
        <v>1</v>
      </c>
      <c r="AB5" s="8" t="s">
        <v>1</v>
      </c>
      <c r="AC5" s="8" t="s">
        <v>1</v>
      </c>
    </row>
    <row r="6" spans="1:29">
      <c r="A6" s="24" t="s">
        <v>118</v>
      </c>
      <c r="B6" s="24">
        <f>1123948+774975</f>
        <v>1898923</v>
      </c>
      <c r="C6" s="24">
        <f>1237823+884519</f>
        <v>2122342</v>
      </c>
      <c r="D6" s="24">
        <f>1361459+951835</f>
        <v>2313294</v>
      </c>
      <c r="E6" s="24">
        <v>3604057.4369999999</v>
      </c>
      <c r="F6" s="49">
        <f>+F7+F25+F40+F54+F65</f>
        <v>3723608.2909999997</v>
      </c>
      <c r="G6" s="24">
        <v>4153965.43</v>
      </c>
      <c r="H6" s="24">
        <v>4304768.3650000002</v>
      </c>
      <c r="I6" s="49">
        <f>+I7+I25+I40+I54+I65</f>
        <v>4390465.6669999994</v>
      </c>
      <c r="J6" s="24">
        <v>4836048.3310000002</v>
      </c>
      <c r="K6" s="49">
        <f t="shared" ref="K6:U6" si="0">+K7+K25+K40+K54+K65</f>
        <v>5211166.3877000008</v>
      </c>
      <c r="L6" s="49">
        <f t="shared" si="0"/>
        <v>6423100.7999999989</v>
      </c>
      <c r="M6" s="49">
        <f t="shared" si="0"/>
        <v>6960824.4690000014</v>
      </c>
      <c r="N6" s="49">
        <f t="shared" si="0"/>
        <v>7191773.7750000004</v>
      </c>
      <c r="O6" s="49">
        <f t="shared" si="0"/>
        <v>7282357.0540000005</v>
      </c>
      <c r="P6" s="49">
        <f t="shared" si="0"/>
        <v>7717216.4139999989</v>
      </c>
      <c r="Q6" s="49">
        <f t="shared" si="0"/>
        <v>8365568.4239999987</v>
      </c>
      <c r="R6" s="49">
        <f t="shared" si="0"/>
        <v>8550279.7739999983</v>
      </c>
      <c r="S6" s="49">
        <f t="shared" si="0"/>
        <v>8964730.6689999998</v>
      </c>
      <c r="T6" s="49">
        <f t="shared" si="0"/>
        <v>9718925.9930000007</v>
      </c>
      <c r="U6" s="49">
        <f t="shared" si="0"/>
        <v>8863831.7979999986</v>
      </c>
      <c r="V6" s="49">
        <f t="shared" ref="V6:W6" si="1">+V7+V25+V40+V54+V65</f>
        <v>11337142.858000001</v>
      </c>
      <c r="W6" s="49">
        <f t="shared" si="1"/>
        <v>11783769.738000002</v>
      </c>
      <c r="X6" s="49">
        <f t="shared" ref="X6:Y6" si="2">+X7+X25+X40+X54+X65</f>
        <v>11970565.113</v>
      </c>
      <c r="Y6" s="49">
        <f t="shared" si="2"/>
        <v>11642963.959000001</v>
      </c>
      <c r="Z6" s="49">
        <f t="shared" ref="Z6:AA6" si="3">+Z7+Z25+Z40+Z54+Z65</f>
        <v>12103996.17</v>
      </c>
      <c r="AA6" s="49">
        <f t="shared" si="3"/>
        <v>12273194.308</v>
      </c>
      <c r="AB6" s="49">
        <f t="shared" ref="AB6:AC6" si="4">+AB7+AB25+AB40+AB54+AB65</f>
        <v>13190690.443000002</v>
      </c>
      <c r="AC6" s="49">
        <f t="shared" si="4"/>
        <v>13920788.512000002</v>
      </c>
    </row>
    <row r="7" spans="1:29">
      <c r="A7" s="1" t="s">
        <v>56</v>
      </c>
      <c r="B7" s="48">
        <f>SUM(B8:B24)</f>
        <v>757117</v>
      </c>
      <c r="C7" s="48">
        <f t="shared" ref="C7:U7" si="5">SUM(C8:C24)</f>
        <v>840925</v>
      </c>
      <c r="D7" s="48">
        <f t="shared" si="5"/>
        <v>941532</v>
      </c>
      <c r="E7" s="48">
        <f t="shared" si="5"/>
        <v>1465471.787</v>
      </c>
      <c r="F7" s="48">
        <f t="shared" si="5"/>
        <v>1527873.6980000001</v>
      </c>
      <c r="G7" s="48">
        <f t="shared" si="5"/>
        <v>1673537.199</v>
      </c>
      <c r="H7" s="48">
        <f t="shared" si="5"/>
        <v>1679426.4129999999</v>
      </c>
      <c r="I7" s="48">
        <f t="shared" si="5"/>
        <v>1775180.99</v>
      </c>
      <c r="J7" s="48">
        <f t="shared" si="5"/>
        <v>1872206.0269999995</v>
      </c>
      <c r="K7" s="48">
        <f t="shared" si="5"/>
        <v>2062870.8123999999</v>
      </c>
      <c r="L7" s="48">
        <f t="shared" si="5"/>
        <v>2545154.3709999993</v>
      </c>
      <c r="M7" s="48">
        <f t="shared" si="5"/>
        <v>2742216.3130000005</v>
      </c>
      <c r="N7" s="48">
        <f t="shared" si="5"/>
        <v>2926197.602</v>
      </c>
      <c r="O7" s="48">
        <f t="shared" si="5"/>
        <v>3047681.1650000005</v>
      </c>
      <c r="P7" s="48">
        <f t="shared" si="5"/>
        <v>3358959.3249999993</v>
      </c>
      <c r="Q7" s="48">
        <f t="shared" si="5"/>
        <v>3517854.1440000003</v>
      </c>
      <c r="R7" s="48">
        <f t="shared" si="5"/>
        <v>3487173.5239999997</v>
      </c>
      <c r="S7" s="48">
        <f t="shared" si="5"/>
        <v>3625793.3419999997</v>
      </c>
      <c r="T7" s="48">
        <f t="shared" si="5"/>
        <v>4000663.5710000005</v>
      </c>
      <c r="U7" s="48">
        <f t="shared" si="5"/>
        <v>3611518.0409999993</v>
      </c>
      <c r="V7" s="48">
        <f t="shared" ref="V7:W7" si="6">SUM(V8:V24)</f>
        <v>4740123.8020000001</v>
      </c>
      <c r="W7" s="48">
        <f t="shared" si="6"/>
        <v>4932653.307000001</v>
      </c>
      <c r="X7" s="48">
        <f t="shared" ref="X7:Y7" si="7">SUM(X8:X24)</f>
        <v>4993253.4979999997</v>
      </c>
      <c r="Y7" s="48">
        <f t="shared" si="7"/>
        <v>4673158.4350000005</v>
      </c>
      <c r="Z7" s="48">
        <f t="shared" ref="Z7:AA7" si="8">SUM(Z8:Z24)</f>
        <v>4792561.5180000002</v>
      </c>
      <c r="AA7" s="48">
        <f t="shared" si="8"/>
        <v>5061106.824</v>
      </c>
      <c r="AB7" s="48">
        <f t="shared" ref="AB7:AC7" si="9">SUM(AB8:AB24)</f>
        <v>5497890.9020000007</v>
      </c>
      <c r="AC7" s="48">
        <f t="shared" si="9"/>
        <v>5776182.6520000007</v>
      </c>
    </row>
    <row r="8" spans="1:29">
      <c r="A8" s="7" t="s">
        <v>119</v>
      </c>
    </row>
    <row r="9" spans="1:29">
      <c r="A9" s="1" t="s">
        <v>3</v>
      </c>
      <c r="B9" s="1">
        <f>36139+25389</f>
        <v>61528</v>
      </c>
      <c r="C9" s="1">
        <f>39358+30139</f>
        <v>69497</v>
      </c>
      <c r="D9" s="1">
        <f>44038+32537</f>
        <v>76575</v>
      </c>
      <c r="E9" s="1">
        <v>112309.96799999999</v>
      </c>
      <c r="F9" s="42">
        <v>128753.25199999999</v>
      </c>
      <c r="G9" s="1">
        <v>134729.89799999999</v>
      </c>
      <c r="H9" s="1">
        <v>135241.26999999999</v>
      </c>
      <c r="I9" s="1">
        <v>156649.60699999999</v>
      </c>
      <c r="J9" s="1">
        <v>173623.92</v>
      </c>
      <c r="K9" s="1">
        <v>187142.66399999999</v>
      </c>
      <c r="L9" s="1">
        <v>233698.06</v>
      </c>
      <c r="M9" s="1">
        <v>246998.06200000001</v>
      </c>
      <c r="N9" s="1">
        <v>213672.05900000001</v>
      </c>
      <c r="O9" s="1">
        <v>219987.67800000001</v>
      </c>
      <c r="P9" s="1">
        <v>344189.05800000002</v>
      </c>
      <c r="Q9" s="1">
        <v>256081.86</v>
      </c>
      <c r="R9" s="1">
        <v>276619.33199999999</v>
      </c>
      <c r="S9" s="1">
        <v>305542.14899999998</v>
      </c>
      <c r="T9" s="1">
        <v>349177.83399999997</v>
      </c>
      <c r="U9" s="1">
        <v>317702.77399999998</v>
      </c>
      <c r="V9" s="1">
        <v>333868.47899999999</v>
      </c>
      <c r="W9" s="1">
        <v>381187.13900000002</v>
      </c>
      <c r="X9" s="1">
        <v>369607.13199999998</v>
      </c>
      <c r="Y9" s="1">
        <v>386544.7</v>
      </c>
      <c r="Z9" s="1">
        <v>405985.83399999997</v>
      </c>
      <c r="AA9" s="1">
        <v>437112.92</v>
      </c>
      <c r="AB9" s="1">
        <v>382432.723</v>
      </c>
      <c r="AC9" s="1">
        <v>418677.23800000001</v>
      </c>
    </row>
    <row r="10" spans="1:29">
      <c r="A10" s="1" t="s">
        <v>4</v>
      </c>
      <c r="B10" s="1">
        <f>19512+5995</f>
        <v>25507</v>
      </c>
      <c r="C10" s="1">
        <f>22456+7691</f>
        <v>30147</v>
      </c>
      <c r="D10" s="1">
        <f>23894+8492</f>
        <v>32386</v>
      </c>
      <c r="E10" s="1">
        <v>40354.447999999997</v>
      </c>
      <c r="F10" s="42">
        <v>42746.135000000002</v>
      </c>
      <c r="G10" s="1">
        <v>47553.472000000002</v>
      </c>
      <c r="H10" s="1">
        <v>51120.58</v>
      </c>
      <c r="I10" s="1">
        <v>50187.644999999997</v>
      </c>
      <c r="J10" s="1">
        <v>52321.703999999998</v>
      </c>
      <c r="K10" s="1">
        <v>60009.419000000002</v>
      </c>
      <c r="L10" s="1">
        <v>82197.945999999996</v>
      </c>
      <c r="M10" s="1">
        <v>92072.082999999999</v>
      </c>
      <c r="N10" s="1">
        <v>86784.373999999996</v>
      </c>
      <c r="O10" s="1">
        <v>87621.307000000001</v>
      </c>
      <c r="P10" s="1">
        <v>98473.195000000007</v>
      </c>
      <c r="Q10" s="1">
        <v>101910.72100000001</v>
      </c>
      <c r="R10" s="1">
        <v>118674.442</v>
      </c>
      <c r="S10" s="1">
        <v>125662.584</v>
      </c>
      <c r="T10" s="1">
        <v>134144.95800000001</v>
      </c>
      <c r="U10" s="1">
        <v>115238.79399999999</v>
      </c>
      <c r="V10" s="1">
        <v>170062.41</v>
      </c>
      <c r="W10" s="1">
        <v>179734.24799999999</v>
      </c>
      <c r="X10" s="1">
        <v>258148.49</v>
      </c>
      <c r="Y10" s="1">
        <v>195484.59899999999</v>
      </c>
      <c r="Z10" s="1">
        <v>197809.26800000001</v>
      </c>
      <c r="AA10" s="1">
        <v>185602.02499999999</v>
      </c>
      <c r="AB10" s="1">
        <v>186760.67</v>
      </c>
      <c r="AC10" s="1">
        <v>196275.106</v>
      </c>
    </row>
    <row r="11" spans="1:29">
      <c r="A11" s="1" t="s">
        <v>52</v>
      </c>
      <c r="D11" s="1">
        <f>8834+439</f>
        <v>9273</v>
      </c>
      <c r="E11" s="1">
        <v>12135.057000000001</v>
      </c>
      <c r="F11" s="42">
        <v>12772.491</v>
      </c>
      <c r="I11" s="1">
        <v>16077.117</v>
      </c>
      <c r="J11" s="1">
        <v>13575.155000000001</v>
      </c>
      <c r="K11" s="1">
        <v>13903.581</v>
      </c>
      <c r="L11" s="1">
        <v>18110.8</v>
      </c>
      <c r="M11" s="1">
        <v>25058.768</v>
      </c>
      <c r="N11" s="1">
        <v>28030.178</v>
      </c>
      <c r="O11" s="1">
        <v>30393.091</v>
      </c>
      <c r="P11" s="1">
        <v>32401.892</v>
      </c>
      <c r="Q11" s="1">
        <f>2365.9+35080.394</f>
        <v>37446.294000000002</v>
      </c>
      <c r="R11" s="1">
        <v>38556.146000000001</v>
      </c>
      <c r="S11" s="1">
        <v>42340.915999999997</v>
      </c>
      <c r="T11" s="1">
        <v>47226.487999999998</v>
      </c>
      <c r="U11" s="1">
        <v>47805.29</v>
      </c>
      <c r="V11" s="1">
        <v>46479.72</v>
      </c>
      <c r="W11" s="1">
        <v>46219.199000000001</v>
      </c>
      <c r="X11" s="1">
        <v>50060.85</v>
      </c>
      <c r="Y11" s="1">
        <v>3008.95</v>
      </c>
      <c r="Z11" s="1">
        <v>52183.91</v>
      </c>
      <c r="AA11" s="1">
        <v>52376.260999999999</v>
      </c>
      <c r="AB11" s="1">
        <v>53131.67</v>
      </c>
      <c r="AC11" s="1">
        <v>3001.9810000000002</v>
      </c>
    </row>
    <row r="12" spans="1:29">
      <c r="A12" s="1" t="s">
        <v>5</v>
      </c>
      <c r="B12" s="1">
        <f>27961+14685</f>
        <v>42646</v>
      </c>
      <c r="C12" s="1">
        <f>31353+16763</f>
        <v>48116</v>
      </c>
      <c r="D12" s="1">
        <f>34341+16079</f>
        <v>50420</v>
      </c>
      <c r="E12" s="1">
        <v>130910.371</v>
      </c>
      <c r="F12" s="42">
        <v>146506.44699999999</v>
      </c>
      <c r="G12" s="1">
        <v>115890.774</v>
      </c>
      <c r="H12" s="1">
        <v>129690.689</v>
      </c>
      <c r="I12" s="1">
        <v>136436.636</v>
      </c>
      <c r="J12" s="1">
        <v>132746.674</v>
      </c>
      <c r="K12" s="1">
        <v>141166.209</v>
      </c>
      <c r="L12" s="1">
        <v>164206.41</v>
      </c>
      <c r="M12" s="1">
        <v>176648.72399999999</v>
      </c>
      <c r="N12" s="1">
        <v>170631.56599999999</v>
      </c>
      <c r="O12" s="1">
        <v>182432.69099999999</v>
      </c>
      <c r="P12" s="1">
        <v>201360.26699999999</v>
      </c>
      <c r="Q12" s="1">
        <v>241084.019</v>
      </c>
      <c r="R12" s="1">
        <v>227423.50700000001</v>
      </c>
      <c r="S12" s="1">
        <v>243179.065</v>
      </c>
      <c r="T12" s="1">
        <v>258507.867</v>
      </c>
      <c r="U12" s="1">
        <v>492087.11</v>
      </c>
      <c r="V12" s="1">
        <v>491760.19900000002</v>
      </c>
      <c r="W12" s="1">
        <v>501148.58</v>
      </c>
      <c r="X12" s="1">
        <v>514688.95500000002</v>
      </c>
      <c r="Y12" s="1">
        <v>573231.79700000002</v>
      </c>
      <c r="Z12" s="1">
        <v>579846.73600000003</v>
      </c>
      <c r="AA12" s="1">
        <v>666425.73800000001</v>
      </c>
      <c r="AB12" s="1">
        <v>776781.35400000005</v>
      </c>
      <c r="AC12" s="1">
        <v>853310.92</v>
      </c>
    </row>
    <row r="13" spans="1:29">
      <c r="A13" s="1" t="s">
        <v>6</v>
      </c>
      <c r="B13" s="1">
        <f>57599+6266</f>
        <v>63865</v>
      </c>
      <c r="C13" s="1">
        <f>63184+6263</f>
        <v>69447</v>
      </c>
      <c r="D13" s="1">
        <f>69767+8807</f>
        <v>78574</v>
      </c>
      <c r="E13" s="1">
        <v>111066.71</v>
      </c>
      <c r="F13" s="42">
        <v>108858.08900000001</v>
      </c>
      <c r="G13" s="1">
        <v>115296.435</v>
      </c>
      <c r="H13" s="1">
        <v>123226.04700000001</v>
      </c>
      <c r="I13" s="1">
        <v>132378.53599999999</v>
      </c>
      <c r="J13" s="1">
        <v>142379.89799999999</v>
      </c>
      <c r="K13" s="1">
        <v>151873.73000000001</v>
      </c>
      <c r="L13" s="1">
        <v>198576.94200000001</v>
      </c>
      <c r="M13" s="1">
        <v>224362.731</v>
      </c>
      <c r="N13" s="1">
        <v>281551.777</v>
      </c>
      <c r="O13" s="1">
        <v>312991.48499999999</v>
      </c>
      <c r="P13" s="1">
        <v>281393.33500000002</v>
      </c>
      <c r="Q13" s="1">
        <v>285456.09299999999</v>
      </c>
      <c r="R13" s="1">
        <v>306073.50699999998</v>
      </c>
      <c r="S13" s="1">
        <v>323929.37199999997</v>
      </c>
      <c r="T13" s="1">
        <v>342866.79800000001</v>
      </c>
      <c r="U13" s="1">
        <v>249159.86799999999</v>
      </c>
      <c r="V13" s="1">
        <v>369832.25900000002</v>
      </c>
      <c r="W13" s="1">
        <v>402540.97200000001</v>
      </c>
      <c r="X13" s="1">
        <v>340941.56400000001</v>
      </c>
      <c r="Y13" s="1">
        <v>354697.03700000001</v>
      </c>
      <c r="Z13" s="1">
        <v>322110.27500000002</v>
      </c>
      <c r="AA13" s="1">
        <v>323854.94799999997</v>
      </c>
      <c r="AB13" s="1">
        <v>335281.07299999997</v>
      </c>
      <c r="AC13" s="1">
        <v>365059.85700000002</v>
      </c>
    </row>
    <row r="14" spans="1:29">
      <c r="A14" s="1" t="s">
        <v>7</v>
      </c>
      <c r="B14" s="1">
        <f>46168+9766</f>
        <v>55934</v>
      </c>
      <c r="C14" s="1">
        <f>53420+11934</f>
        <v>65354</v>
      </c>
      <c r="D14" s="1">
        <f>61741+11483</f>
        <v>73224</v>
      </c>
      <c r="E14" s="1">
        <v>117941.413</v>
      </c>
      <c r="F14" s="42">
        <v>127251.792</v>
      </c>
      <c r="G14" s="1">
        <v>136540.405</v>
      </c>
      <c r="H14" s="1">
        <v>137222.41899999999</v>
      </c>
      <c r="I14" s="1">
        <v>154052.56400000001</v>
      </c>
      <c r="J14" s="1">
        <v>152609.12</v>
      </c>
      <c r="K14" s="1">
        <v>202183.63099999999</v>
      </c>
      <c r="L14" s="1">
        <v>268823.63299999997</v>
      </c>
      <c r="M14" s="1">
        <v>287737.891</v>
      </c>
      <c r="N14" s="1">
        <v>272340.55300000001</v>
      </c>
      <c r="O14" s="1">
        <v>286156.49800000002</v>
      </c>
      <c r="P14" s="1">
        <v>254736.084</v>
      </c>
      <c r="Q14" s="1">
        <v>271171.29399999999</v>
      </c>
      <c r="R14" s="1">
        <v>319202.16899999999</v>
      </c>
      <c r="S14" s="1">
        <v>360059.201</v>
      </c>
      <c r="T14" s="1">
        <v>381794.62800000003</v>
      </c>
      <c r="U14" s="1">
        <v>396942.67599999998</v>
      </c>
      <c r="V14" s="1">
        <v>596834.53899999999</v>
      </c>
      <c r="W14" s="1">
        <v>645199.83900000004</v>
      </c>
      <c r="X14" s="1">
        <v>671930.90500000003</v>
      </c>
      <c r="Y14" s="1">
        <v>646912.19700000004</v>
      </c>
      <c r="Z14" s="1">
        <v>627835.80099999998</v>
      </c>
      <c r="AA14" s="1">
        <v>700192.13699999999</v>
      </c>
      <c r="AB14" s="1">
        <v>746811.64500000002</v>
      </c>
      <c r="AC14" s="1">
        <v>854828.67</v>
      </c>
    </row>
    <row r="15" spans="1:29">
      <c r="A15" s="1" t="s">
        <v>8</v>
      </c>
      <c r="B15" s="1">
        <f>33282+37443</f>
        <v>70725</v>
      </c>
      <c r="C15" s="1">
        <f>34335+40065</f>
        <v>74400</v>
      </c>
      <c r="D15" s="1">
        <f>35008+34527</f>
        <v>69535</v>
      </c>
      <c r="E15" s="1">
        <v>98086.171000000002</v>
      </c>
      <c r="F15" s="42">
        <v>111503.07399999999</v>
      </c>
      <c r="G15" s="1">
        <v>126083.829</v>
      </c>
      <c r="H15" s="1">
        <v>129737.056</v>
      </c>
      <c r="I15" s="1">
        <v>150429.93900000001</v>
      </c>
      <c r="J15" s="1">
        <v>156041.739</v>
      </c>
      <c r="K15" s="1">
        <v>164526.014</v>
      </c>
      <c r="L15" s="1">
        <v>200807.54699999999</v>
      </c>
      <c r="M15" s="1">
        <v>200392.283</v>
      </c>
      <c r="N15" s="1">
        <v>197400.736</v>
      </c>
      <c r="O15" s="1">
        <v>203865.86799999999</v>
      </c>
      <c r="P15" s="1">
        <v>241999.66699999999</v>
      </c>
      <c r="Q15" s="1">
        <v>261019.25700000001</v>
      </c>
      <c r="R15" s="1">
        <v>280874.75699999998</v>
      </c>
      <c r="S15" s="1">
        <v>271523.24</v>
      </c>
      <c r="T15" s="1">
        <v>346184.10600000003</v>
      </c>
      <c r="U15" s="1">
        <v>150581.359</v>
      </c>
      <c r="V15" s="1">
        <v>366964.80499999999</v>
      </c>
      <c r="W15" s="1">
        <v>355384.13799999998</v>
      </c>
      <c r="X15" s="1">
        <v>371073.08600000001</v>
      </c>
      <c r="Y15" s="1">
        <v>364739.62800000003</v>
      </c>
      <c r="Z15" s="1">
        <v>376071.79300000001</v>
      </c>
      <c r="AA15" s="1">
        <v>381390.06900000002</v>
      </c>
      <c r="AB15" s="1">
        <v>347181.03700000001</v>
      </c>
      <c r="AC15" s="1">
        <v>418434.17700000003</v>
      </c>
    </row>
    <row r="16" spans="1:29">
      <c r="A16" s="1" t="s">
        <v>9</v>
      </c>
      <c r="B16" s="1">
        <v>18452</v>
      </c>
      <c r="C16" s="1">
        <f>0+24701</f>
        <v>24701</v>
      </c>
      <c r="D16" s="1">
        <f>0+25127</f>
        <v>25127</v>
      </c>
      <c r="E16" s="1">
        <v>44519.891000000003</v>
      </c>
      <c r="F16" s="42">
        <v>17893.824000000001</v>
      </c>
      <c r="G16" s="1">
        <v>47489.167999999998</v>
      </c>
      <c r="H16" s="1">
        <v>52096.421999999999</v>
      </c>
      <c r="I16" s="1">
        <v>61598.938999999998</v>
      </c>
      <c r="J16" s="1">
        <v>76803.149000000005</v>
      </c>
      <c r="K16" s="1">
        <v>86206.505999999994</v>
      </c>
      <c r="L16" s="1">
        <v>124225.08900000001</v>
      </c>
      <c r="M16" s="1">
        <v>131607.03899999999</v>
      </c>
      <c r="N16" s="1">
        <v>147259.14600000001</v>
      </c>
      <c r="O16" s="1">
        <v>161427.73499999999</v>
      </c>
      <c r="P16" s="1">
        <v>144710.997</v>
      </c>
      <c r="Q16" s="1">
        <v>147146.245</v>
      </c>
      <c r="R16" s="1">
        <v>125455.875</v>
      </c>
      <c r="S16" s="1">
        <v>127925.969</v>
      </c>
      <c r="T16" s="1">
        <v>140518.60200000001</v>
      </c>
      <c r="U16" s="1">
        <v>139544.26300000001</v>
      </c>
      <c r="V16" s="1">
        <v>160103.361</v>
      </c>
      <c r="W16" s="1">
        <v>164566.04300000001</v>
      </c>
      <c r="X16" s="1">
        <v>174750.99900000001</v>
      </c>
      <c r="Y16" s="1">
        <v>168885.45</v>
      </c>
      <c r="Z16" s="1">
        <v>170166.26699999999</v>
      </c>
      <c r="AA16" s="1">
        <v>168650.323</v>
      </c>
      <c r="AB16" s="1">
        <v>174990.29500000001</v>
      </c>
      <c r="AC16" s="1">
        <v>169669.79500000001</v>
      </c>
    </row>
    <row r="17" spans="1:29">
      <c r="A17" s="1" t="s">
        <v>10</v>
      </c>
      <c r="B17" s="1">
        <f>622+32980</f>
        <v>33602</v>
      </c>
      <c r="C17" s="1">
        <f>633+35123</f>
        <v>35756</v>
      </c>
      <c r="D17" s="1">
        <f>922+37361</f>
        <v>38283</v>
      </c>
      <c r="E17" s="1">
        <v>46191.555999999997</v>
      </c>
      <c r="F17" s="42">
        <v>45348.779000000002</v>
      </c>
      <c r="G17" s="1">
        <v>50876.451000000001</v>
      </c>
      <c r="H17" s="1">
        <v>55812.771999999997</v>
      </c>
      <c r="I17" s="1">
        <v>60552.599000000002</v>
      </c>
      <c r="J17" s="1">
        <v>62886.432999999997</v>
      </c>
      <c r="K17" s="1">
        <v>60973.728999999999</v>
      </c>
      <c r="L17" s="1">
        <v>82536.778000000006</v>
      </c>
      <c r="M17" s="1">
        <v>97253.472999999998</v>
      </c>
      <c r="N17" s="1">
        <v>105930.822</v>
      </c>
      <c r="O17" s="1">
        <v>108574.29300000001</v>
      </c>
      <c r="P17" s="1">
        <v>119033.039</v>
      </c>
      <c r="Q17" s="1">
        <v>121364.99</v>
      </c>
      <c r="R17" s="1">
        <v>114596.829</v>
      </c>
      <c r="S17" s="1">
        <v>129318.515</v>
      </c>
      <c r="T17" s="1">
        <v>148589.41200000001</v>
      </c>
      <c r="U17" s="1">
        <v>131416.49299999999</v>
      </c>
      <c r="V17" s="1">
        <v>164467.785</v>
      </c>
      <c r="W17" s="1">
        <v>161323.33199999999</v>
      </c>
      <c r="X17" s="1">
        <v>160514.09400000001</v>
      </c>
      <c r="Y17" s="1">
        <v>157805.73000000001</v>
      </c>
      <c r="Z17" s="1">
        <v>160502.57800000001</v>
      </c>
      <c r="AA17" s="1">
        <v>167376.16200000001</v>
      </c>
      <c r="AB17" s="1">
        <v>178259.644</v>
      </c>
      <c r="AC17" s="1">
        <v>181908.73</v>
      </c>
    </row>
    <row r="18" spans="1:29">
      <c r="A18" s="1" t="s">
        <v>11</v>
      </c>
      <c r="B18" s="1">
        <f>59075+54195</f>
        <v>113270</v>
      </c>
      <c r="C18" s="1">
        <f>65449+60394</f>
        <v>125843</v>
      </c>
      <c r="D18" s="1">
        <f>71379+73448</f>
        <v>144827</v>
      </c>
      <c r="E18" s="1">
        <v>236508.14600000001</v>
      </c>
      <c r="F18" s="42">
        <v>257045.647</v>
      </c>
      <c r="G18" s="1">
        <v>300443.26400000002</v>
      </c>
      <c r="H18" s="1">
        <v>222730.91399999999</v>
      </c>
      <c r="I18" s="1">
        <v>225451.948</v>
      </c>
      <c r="J18" s="1">
        <v>189727.71</v>
      </c>
      <c r="K18" s="1">
        <v>210440.41200000001</v>
      </c>
      <c r="L18" s="1">
        <v>237141.81599999999</v>
      </c>
      <c r="M18" s="1">
        <v>248865.215</v>
      </c>
      <c r="N18" s="1">
        <v>331325.71899999998</v>
      </c>
      <c r="O18" s="1">
        <v>327438.70600000001</v>
      </c>
      <c r="P18" s="1">
        <v>352494.98200000002</v>
      </c>
      <c r="Q18" s="1">
        <v>361368.52799999999</v>
      </c>
      <c r="R18" s="1">
        <v>269483.01899999997</v>
      </c>
      <c r="S18" s="1">
        <v>289153.59700000001</v>
      </c>
      <c r="T18" s="1">
        <v>302385.90899999999</v>
      </c>
      <c r="U18" s="1">
        <v>329676.21799999999</v>
      </c>
      <c r="V18" s="1">
        <v>341920.761</v>
      </c>
      <c r="W18" s="1">
        <v>354889.86800000002</v>
      </c>
      <c r="X18" s="1">
        <v>337934.41800000001</v>
      </c>
      <c r="Y18" s="1">
        <v>355691.90299999999</v>
      </c>
      <c r="Z18" s="1">
        <v>348143.647</v>
      </c>
      <c r="AA18" s="1">
        <v>372853.66100000002</v>
      </c>
      <c r="AB18" s="1">
        <v>387975.43400000001</v>
      </c>
      <c r="AC18" s="1">
        <v>378114.17</v>
      </c>
    </row>
    <row r="19" spans="1:29">
      <c r="A19" s="1" t="s">
        <v>12</v>
      </c>
      <c r="B19" s="1">
        <v>32880</v>
      </c>
      <c r="C19" s="1">
        <f>0+32948</f>
        <v>32948</v>
      </c>
      <c r="D19" s="1">
        <f>0+38863</f>
        <v>38863</v>
      </c>
      <c r="E19" s="1">
        <v>63391.436000000002</v>
      </c>
      <c r="F19" s="42">
        <v>65902.106</v>
      </c>
      <c r="G19" s="1">
        <v>72201.626000000004</v>
      </c>
      <c r="H19" s="1">
        <v>76456.929999999993</v>
      </c>
      <c r="I19" s="1">
        <v>80754.455000000002</v>
      </c>
      <c r="J19" s="1">
        <v>84846.841</v>
      </c>
      <c r="K19" s="1">
        <v>90585.176999999996</v>
      </c>
      <c r="L19" s="1">
        <v>115401.82</v>
      </c>
      <c r="M19" s="1">
        <v>130996.63499999999</v>
      </c>
      <c r="N19" s="1">
        <v>137672.166</v>
      </c>
      <c r="O19" s="1">
        <v>157503.79300000001</v>
      </c>
      <c r="P19" s="1">
        <v>148089.864</v>
      </c>
      <c r="Q19" s="1">
        <v>159160.36900000001</v>
      </c>
      <c r="R19" s="1">
        <v>185753.647</v>
      </c>
      <c r="S19" s="1">
        <v>186278.11</v>
      </c>
      <c r="T19" s="1">
        <v>202811.51199999999</v>
      </c>
      <c r="U19" s="1">
        <v>165470.35200000001</v>
      </c>
      <c r="V19" s="1">
        <v>199212.554</v>
      </c>
      <c r="W19" s="1">
        <v>195428.70600000001</v>
      </c>
      <c r="X19" s="1">
        <v>199351.39</v>
      </c>
      <c r="Y19" s="1">
        <v>188961.25399999999</v>
      </c>
      <c r="Z19" s="1">
        <v>188748.65100000001</v>
      </c>
      <c r="AA19" s="1">
        <v>190889.74900000001</v>
      </c>
      <c r="AB19" s="1">
        <v>190127.14</v>
      </c>
      <c r="AC19" s="1">
        <v>171386.595</v>
      </c>
    </row>
    <row r="20" spans="1:29">
      <c r="A20" s="1" t="s">
        <v>13</v>
      </c>
      <c r="B20" s="1">
        <f>35559+15449</f>
        <v>51008</v>
      </c>
      <c r="C20" s="1">
        <f>40105+17674</f>
        <v>57779</v>
      </c>
      <c r="D20" s="1">
        <f>45871+21328</f>
        <v>67199</v>
      </c>
      <c r="E20" s="1">
        <v>88983.525999999998</v>
      </c>
      <c r="F20" s="42">
        <v>91966.176000000007</v>
      </c>
      <c r="G20" s="1">
        <v>88541.47</v>
      </c>
      <c r="H20" s="1">
        <v>93265.426000000007</v>
      </c>
      <c r="I20" s="1">
        <v>106389.514</v>
      </c>
      <c r="J20" s="1">
        <v>103870.954</v>
      </c>
      <c r="K20" s="1">
        <v>115654.27499999999</v>
      </c>
      <c r="L20" s="1">
        <v>143186.26699999999</v>
      </c>
      <c r="M20" s="1">
        <v>144879.11900000001</v>
      </c>
      <c r="N20" s="1">
        <v>132900.95800000001</v>
      </c>
      <c r="O20" s="1">
        <v>137131.845</v>
      </c>
      <c r="P20" s="1">
        <v>143111.04699999999</v>
      </c>
      <c r="Q20" s="1">
        <v>150774.16500000001</v>
      </c>
      <c r="R20" s="1">
        <v>158995.63</v>
      </c>
      <c r="S20" s="1">
        <v>162866.97700000001</v>
      </c>
      <c r="T20" s="1">
        <v>188689.913</v>
      </c>
      <c r="U20" s="1">
        <v>145215.709</v>
      </c>
      <c r="V20" s="1">
        <v>197454.64799999999</v>
      </c>
      <c r="W20" s="1">
        <v>199356.30600000001</v>
      </c>
      <c r="X20" s="1">
        <v>201412.68400000001</v>
      </c>
      <c r="Y20" s="1">
        <v>204301.323</v>
      </c>
      <c r="Z20" s="1">
        <v>242851.49400000001</v>
      </c>
      <c r="AA20" s="1">
        <v>262198.55699999997</v>
      </c>
      <c r="AB20" s="1">
        <v>267289.495</v>
      </c>
      <c r="AC20" s="1">
        <v>270399.348</v>
      </c>
    </row>
    <row r="21" spans="1:29" s="11" customFormat="1">
      <c r="A21" s="1" t="s">
        <v>14</v>
      </c>
      <c r="B21" s="1">
        <f>6161+15041</f>
        <v>21202</v>
      </c>
      <c r="C21" s="1">
        <f>6115+16954</f>
        <v>23069</v>
      </c>
      <c r="D21" s="1">
        <f>31788+17238</f>
        <v>49026</v>
      </c>
      <c r="E21" s="1">
        <v>77537.225000000006</v>
      </c>
      <c r="F21" s="42">
        <v>70315.607000000004</v>
      </c>
      <c r="G21" s="1">
        <v>86556.928</v>
      </c>
      <c r="H21" s="1">
        <v>95207.275999999998</v>
      </c>
      <c r="I21" s="1">
        <v>89304.763000000006</v>
      </c>
      <c r="J21" s="1">
        <v>105193.265</v>
      </c>
      <c r="K21" s="1">
        <v>115957.30528</v>
      </c>
      <c r="L21" s="1">
        <v>122763.982</v>
      </c>
      <c r="M21" s="1">
        <v>154463.70600000001</v>
      </c>
      <c r="N21" s="1">
        <v>160584.85399999999</v>
      </c>
      <c r="O21" s="1">
        <v>171455.864</v>
      </c>
      <c r="P21" s="1">
        <v>177181.17199999999</v>
      </c>
      <c r="Q21" s="1">
        <v>180034.658</v>
      </c>
      <c r="R21" s="1">
        <v>190619.614</v>
      </c>
      <c r="S21" s="1">
        <v>196837.05900000001</v>
      </c>
      <c r="T21" s="1">
        <v>204951.33</v>
      </c>
      <c r="U21" s="1">
        <v>204673.253</v>
      </c>
      <c r="V21" s="1">
        <v>228193.06700000001</v>
      </c>
      <c r="W21" s="1">
        <v>259728.33799999999</v>
      </c>
      <c r="X21" s="1">
        <v>260926.93</v>
      </c>
      <c r="Y21" s="1">
        <v>216081.97700000001</v>
      </c>
      <c r="Z21" s="1">
        <v>214883.83600000001</v>
      </c>
      <c r="AA21" s="1">
        <v>210872.033</v>
      </c>
      <c r="AB21" s="1">
        <v>231428.508</v>
      </c>
      <c r="AC21" s="1">
        <v>244160.20600000001</v>
      </c>
    </row>
    <row r="22" spans="1:29">
      <c r="A22" s="1" t="s">
        <v>15</v>
      </c>
      <c r="B22" s="1">
        <f>66984+39670</f>
        <v>106654</v>
      </c>
      <c r="C22" s="1">
        <f>69581+46064</f>
        <v>115645</v>
      </c>
      <c r="D22" s="1">
        <f>64766+53200</f>
        <v>117966</v>
      </c>
      <c r="E22" s="1">
        <v>174638.304</v>
      </c>
      <c r="F22" s="42">
        <v>191756.05</v>
      </c>
      <c r="G22" s="1">
        <v>237034.99600000001</v>
      </c>
      <c r="H22" s="1">
        <v>254160.174</v>
      </c>
      <c r="I22" s="1">
        <v>219739.65299999999</v>
      </c>
      <c r="J22" s="1">
        <v>287021.84100000001</v>
      </c>
      <c r="K22" s="1">
        <v>312017.65100000001</v>
      </c>
      <c r="L22" s="1">
        <v>377622.45299999998</v>
      </c>
      <c r="M22" s="1">
        <v>392781.33299999998</v>
      </c>
      <c r="N22" s="1">
        <v>464222.02100000001</v>
      </c>
      <c r="O22" s="1">
        <v>455780.82699999999</v>
      </c>
      <c r="P22" s="1">
        <v>625287.81799999997</v>
      </c>
      <c r="Q22" s="1">
        <v>740503.88199999998</v>
      </c>
      <c r="R22" s="1">
        <v>655865.43900000001</v>
      </c>
      <c r="S22" s="1">
        <v>638669.14099999995</v>
      </c>
      <c r="T22" s="1">
        <v>713183.06799999997</v>
      </c>
      <c r="U22" s="1">
        <v>476044.54499999998</v>
      </c>
      <c r="V22" s="1">
        <v>788942.92599999998</v>
      </c>
      <c r="W22" s="1">
        <v>793685.10600000003</v>
      </c>
      <c r="X22" s="1">
        <v>770393.79799999995</v>
      </c>
      <c r="Y22" s="1">
        <v>539868.76399999997</v>
      </c>
      <c r="Z22" s="1">
        <v>582176.61399999994</v>
      </c>
      <c r="AA22" s="1">
        <v>606377.63800000004</v>
      </c>
      <c r="AB22" s="1">
        <v>911633.93299999996</v>
      </c>
      <c r="AC22" s="1">
        <v>910414.05599999998</v>
      </c>
    </row>
    <row r="23" spans="1:29">
      <c r="A23" s="1" t="s">
        <v>16</v>
      </c>
      <c r="B23" s="1">
        <f>2997+42808</f>
        <v>45805</v>
      </c>
      <c r="C23" s="1">
        <f>6137+47956</f>
        <v>54093</v>
      </c>
      <c r="D23" s="1">
        <f>5340+49662</f>
        <v>55002</v>
      </c>
      <c r="E23" s="1">
        <v>88027.642000000007</v>
      </c>
      <c r="F23" s="42">
        <v>81650.581000000006</v>
      </c>
      <c r="G23" s="1">
        <v>80710.066000000006</v>
      </c>
      <c r="H23" s="1">
        <v>85382.858999999997</v>
      </c>
      <c r="I23" s="1">
        <v>91112.153000000006</v>
      </c>
      <c r="J23" s="1">
        <v>85808.119000000006</v>
      </c>
      <c r="K23" s="1">
        <v>95356.936000000002</v>
      </c>
      <c r="L23" s="1">
        <v>115907.462</v>
      </c>
      <c r="M23" s="1">
        <v>119929.96</v>
      </c>
      <c r="N23" s="1">
        <v>124084.79300000001</v>
      </c>
      <c r="O23" s="1">
        <v>126251.82399999999</v>
      </c>
      <c r="P23" s="1">
        <v>119594.287</v>
      </c>
      <c r="Q23" s="1">
        <v>128628.56299999999</v>
      </c>
      <c r="R23" s="1">
        <v>144642.43700000001</v>
      </c>
      <c r="S23" s="1">
        <v>145961.815</v>
      </c>
      <c r="T23" s="1">
        <v>160162.31</v>
      </c>
      <c r="U23" s="1">
        <v>164716.04800000001</v>
      </c>
      <c r="V23" s="1">
        <v>177019.005</v>
      </c>
      <c r="W23" s="1">
        <v>185441.212</v>
      </c>
      <c r="X23" s="1">
        <v>204733.785</v>
      </c>
      <c r="Y23" s="1">
        <v>216258.08499999999</v>
      </c>
      <c r="Z23" s="1">
        <v>224786.83499999999</v>
      </c>
      <c r="AA23" s="1">
        <v>236068.42800000001</v>
      </c>
      <c r="AB23" s="1">
        <v>238689.20600000001</v>
      </c>
      <c r="AC23" s="1">
        <v>251133.633</v>
      </c>
    </row>
    <row r="24" spans="1:29">
      <c r="A24" s="24" t="s">
        <v>17</v>
      </c>
      <c r="B24" s="24">
        <f>12179+1860</f>
        <v>14039</v>
      </c>
      <c r="C24" s="24">
        <f>12200+1930</f>
        <v>14130</v>
      </c>
      <c r="D24" s="24">
        <f>13606+1646</f>
        <v>15252</v>
      </c>
      <c r="E24" s="24">
        <v>22869.922999999999</v>
      </c>
      <c r="F24" s="45">
        <v>27603.648000000001</v>
      </c>
      <c r="G24" s="24">
        <v>33588.417000000001</v>
      </c>
      <c r="H24" s="24">
        <v>38075.578999999998</v>
      </c>
      <c r="I24" s="24">
        <v>44064.921999999999</v>
      </c>
      <c r="J24" s="24">
        <v>52749.504999999997</v>
      </c>
      <c r="K24" s="24">
        <v>54873.573120000001</v>
      </c>
      <c r="L24" s="24">
        <v>59947.366000000002</v>
      </c>
      <c r="M24" s="24">
        <v>68169.290999999997</v>
      </c>
      <c r="N24" s="24">
        <v>71805.88</v>
      </c>
      <c r="O24" s="24">
        <v>78667.66</v>
      </c>
      <c r="P24" s="24">
        <v>74902.620999999999</v>
      </c>
      <c r="Q24" s="24">
        <v>74703.206000000006</v>
      </c>
      <c r="R24" s="24">
        <v>74337.173999999999</v>
      </c>
      <c r="S24" s="24">
        <v>76545.631999999998</v>
      </c>
      <c r="T24" s="24">
        <v>79468.835999999996</v>
      </c>
      <c r="U24" s="24">
        <v>85243.289000000004</v>
      </c>
      <c r="V24" s="24">
        <v>107007.284</v>
      </c>
      <c r="W24" s="24">
        <v>106820.281</v>
      </c>
      <c r="X24" s="24">
        <v>106784.41800000001</v>
      </c>
      <c r="Y24" s="24">
        <v>100685.041</v>
      </c>
      <c r="Z24" s="24">
        <v>98457.979000000007</v>
      </c>
      <c r="AA24" s="24">
        <v>98866.175000000003</v>
      </c>
      <c r="AB24" s="24">
        <v>89117.074999999997</v>
      </c>
      <c r="AC24" s="24">
        <v>89408.17</v>
      </c>
    </row>
    <row r="25" spans="1:29">
      <c r="A25" s="7" t="s">
        <v>120</v>
      </c>
      <c r="B25" s="48">
        <f>SUM(B27:B39)</f>
        <v>0</v>
      </c>
      <c r="C25" s="48">
        <f t="shared" ref="C25:AC25" si="10">SUM(C27:C39)</f>
        <v>0</v>
      </c>
      <c r="D25" s="48">
        <f t="shared" si="10"/>
        <v>0</v>
      </c>
      <c r="E25" s="48">
        <f t="shared" si="10"/>
        <v>0</v>
      </c>
      <c r="F25" s="48">
        <f t="shared" si="10"/>
        <v>635052.52999999991</v>
      </c>
      <c r="G25" s="48">
        <f t="shared" si="10"/>
        <v>0</v>
      </c>
      <c r="H25" s="48">
        <f t="shared" si="10"/>
        <v>0</v>
      </c>
      <c r="I25" s="48">
        <f t="shared" si="10"/>
        <v>787894.21300000011</v>
      </c>
      <c r="J25" s="48">
        <f t="shared" si="10"/>
        <v>0</v>
      </c>
      <c r="K25" s="48">
        <f t="shared" si="10"/>
        <v>1037171.5985100002</v>
      </c>
      <c r="L25" s="48">
        <f t="shared" si="10"/>
        <v>1377643.3760000002</v>
      </c>
      <c r="M25" s="48">
        <f t="shared" si="10"/>
        <v>1521987.2590000001</v>
      </c>
      <c r="N25" s="48">
        <f t="shared" si="10"/>
        <v>1448629.0619999999</v>
      </c>
      <c r="O25" s="48">
        <f t="shared" si="10"/>
        <v>1473628.0859999999</v>
      </c>
      <c r="P25" s="48">
        <f t="shared" si="10"/>
        <v>1529437.6</v>
      </c>
      <c r="Q25" s="48">
        <f t="shared" si="10"/>
        <v>1630389.568</v>
      </c>
      <c r="R25" s="48">
        <f t="shared" si="10"/>
        <v>1730332.7040000004</v>
      </c>
      <c r="S25" s="48">
        <f t="shared" si="10"/>
        <v>1861342.6569999999</v>
      </c>
      <c r="T25" s="48">
        <f t="shared" si="10"/>
        <v>1936038.4890000003</v>
      </c>
      <c r="U25" s="48">
        <f t="shared" si="10"/>
        <v>1976071.4859999998</v>
      </c>
      <c r="V25" s="48">
        <f t="shared" si="10"/>
        <v>2312380.9469999997</v>
      </c>
      <c r="W25" s="48">
        <f t="shared" si="10"/>
        <v>2468526.5130000003</v>
      </c>
      <c r="X25" s="48">
        <f t="shared" si="10"/>
        <v>2599685.2829999998</v>
      </c>
      <c r="Y25" s="48">
        <f t="shared" si="10"/>
        <v>2598320.1839999999</v>
      </c>
      <c r="Z25" s="48">
        <f t="shared" si="10"/>
        <v>2717718.1690000002</v>
      </c>
      <c r="AA25" s="48">
        <f t="shared" si="10"/>
        <v>2826894.7820000001</v>
      </c>
      <c r="AB25" s="48">
        <f t="shared" si="10"/>
        <v>3058304.844</v>
      </c>
      <c r="AC25" s="48">
        <f t="shared" si="10"/>
        <v>3218738.6540000006</v>
      </c>
    </row>
    <row r="26" spans="1:29">
      <c r="A26" s="7" t="s">
        <v>119</v>
      </c>
      <c r="X26" s="1">
        <v>0</v>
      </c>
      <c r="AB26" s="1">
        <v>0</v>
      </c>
      <c r="AC26" s="1">
        <v>0</v>
      </c>
    </row>
    <row r="27" spans="1:29">
      <c r="A27" s="1" t="s">
        <v>85</v>
      </c>
      <c r="F27" s="42">
        <v>9767.8410000000003</v>
      </c>
      <c r="I27" s="1">
        <v>15874.365</v>
      </c>
      <c r="K27" s="1">
        <v>18366.294000000002</v>
      </c>
      <c r="L27" s="1">
        <v>18427.026999999998</v>
      </c>
      <c r="M27" s="1">
        <v>19379.079000000002</v>
      </c>
      <c r="N27" s="1">
        <v>21041.85</v>
      </c>
      <c r="O27" s="1">
        <v>23887.829000000002</v>
      </c>
      <c r="P27" s="1">
        <v>23952.064999999999</v>
      </c>
      <c r="Q27" s="1">
        <v>27672.453000000001</v>
      </c>
      <c r="R27" s="1">
        <v>28013.920999999998</v>
      </c>
      <c r="S27" s="1">
        <v>29883.547999999999</v>
      </c>
      <c r="T27" s="1">
        <v>32704.958999999999</v>
      </c>
      <c r="U27" s="1">
        <v>41353.192999999999</v>
      </c>
      <c r="V27" s="1">
        <v>44551.159</v>
      </c>
      <c r="W27" s="1">
        <v>41111.608</v>
      </c>
      <c r="X27" s="1">
        <v>42514.743999999999</v>
      </c>
      <c r="Y27" s="1">
        <v>43873.601000000002</v>
      </c>
      <c r="Z27" s="1">
        <v>47595.716999999997</v>
      </c>
      <c r="AA27" s="1">
        <v>53666.749000000003</v>
      </c>
      <c r="AB27" s="1">
        <v>56671.665999999997</v>
      </c>
      <c r="AC27" s="1">
        <v>58716.057000000001</v>
      </c>
    </row>
    <row r="28" spans="1:29">
      <c r="A28" s="1" t="s">
        <v>86</v>
      </c>
      <c r="F28" s="42">
        <v>49903.353999999999</v>
      </c>
      <c r="I28" s="1">
        <v>58261.266000000003</v>
      </c>
      <c r="K28" s="1">
        <v>70875.350999999995</v>
      </c>
      <c r="L28" s="1">
        <v>82394.31</v>
      </c>
      <c r="M28" s="1">
        <v>83564.058000000005</v>
      </c>
      <c r="N28" s="1">
        <v>86381.142000000007</v>
      </c>
      <c r="O28" s="1">
        <v>90814.187000000005</v>
      </c>
      <c r="P28" s="1">
        <v>107209.764</v>
      </c>
      <c r="Q28" s="1">
        <v>116333.784</v>
      </c>
      <c r="R28" s="1">
        <v>129728.408</v>
      </c>
      <c r="S28" s="1">
        <v>135774.601</v>
      </c>
      <c r="T28" s="1">
        <v>143916.29300000001</v>
      </c>
      <c r="U28" s="1">
        <v>141758.027</v>
      </c>
      <c r="V28" s="1">
        <v>154579.53200000001</v>
      </c>
      <c r="W28" s="1">
        <v>162028.511</v>
      </c>
      <c r="X28" s="1">
        <v>170008.962</v>
      </c>
      <c r="Y28" s="1">
        <v>178201.671</v>
      </c>
      <c r="Z28" s="1">
        <v>165177.84599999999</v>
      </c>
      <c r="AA28" s="1">
        <v>155027.19899999999</v>
      </c>
      <c r="AB28" s="1">
        <v>153739.492</v>
      </c>
      <c r="AC28" s="1">
        <v>164362.60800000001</v>
      </c>
    </row>
    <row r="29" spans="1:29">
      <c r="A29" s="1" t="s">
        <v>87</v>
      </c>
      <c r="F29" s="42">
        <v>90091.841</v>
      </c>
      <c r="I29" s="1">
        <v>96809.934999999998</v>
      </c>
      <c r="K29" s="1">
        <v>217021.15100000001</v>
      </c>
      <c r="L29" s="1">
        <v>329370.83100000001</v>
      </c>
      <c r="M29" s="1">
        <v>386276.06099999999</v>
      </c>
      <c r="N29" s="1">
        <v>328039.73700000002</v>
      </c>
      <c r="O29" s="1">
        <v>327640.43699999998</v>
      </c>
      <c r="P29" s="1">
        <v>345318.52899999998</v>
      </c>
      <c r="Q29" s="1">
        <v>351197.973</v>
      </c>
      <c r="R29" s="1">
        <v>364639.79399999999</v>
      </c>
      <c r="S29" s="1">
        <v>394332.55099999998</v>
      </c>
      <c r="T29" s="1">
        <v>403165.91499999998</v>
      </c>
      <c r="U29" s="1">
        <v>343217.66499999998</v>
      </c>
      <c r="V29" s="1">
        <v>475274.897</v>
      </c>
      <c r="W29" s="1">
        <v>518269.35200000001</v>
      </c>
      <c r="X29" s="1">
        <v>567101.52800000005</v>
      </c>
      <c r="Y29" s="1">
        <v>579259.79</v>
      </c>
      <c r="Z29" s="1">
        <v>574328.25800000003</v>
      </c>
      <c r="AA29" s="1">
        <v>552701.35199999996</v>
      </c>
      <c r="AB29" s="1">
        <v>597529.75399999996</v>
      </c>
      <c r="AC29" s="1">
        <v>641341.64899999998</v>
      </c>
    </row>
    <row r="30" spans="1:29">
      <c r="A30" s="1" t="s">
        <v>88</v>
      </c>
      <c r="F30" s="42">
        <v>46156.341</v>
      </c>
      <c r="I30" s="1">
        <v>66354.654999999999</v>
      </c>
      <c r="K30" s="1">
        <v>80918.235000000001</v>
      </c>
      <c r="L30" s="1">
        <v>92611.718999999997</v>
      </c>
      <c r="M30" s="1">
        <v>105525.00199999999</v>
      </c>
      <c r="N30" s="1">
        <v>130868.867</v>
      </c>
      <c r="O30" s="1">
        <v>122046.899</v>
      </c>
      <c r="P30" s="1">
        <v>82235.769</v>
      </c>
      <c r="Q30" s="1">
        <v>133606.81700000001</v>
      </c>
      <c r="R30" s="1">
        <v>138027.25700000001</v>
      </c>
      <c r="S30" s="1">
        <v>150247.18900000001</v>
      </c>
      <c r="T30" s="1">
        <v>172198.905</v>
      </c>
      <c r="U30" s="1">
        <v>183705.87899999999</v>
      </c>
      <c r="V30" s="1">
        <v>193183.375</v>
      </c>
      <c r="W30" s="1">
        <v>220001.61799999999</v>
      </c>
      <c r="X30" s="1">
        <v>262081.35</v>
      </c>
      <c r="Y30" s="1">
        <v>193990.13099999999</v>
      </c>
      <c r="Z30" s="1">
        <v>205482.3</v>
      </c>
      <c r="AA30" s="1">
        <v>219167.546</v>
      </c>
      <c r="AB30" s="1">
        <v>220191.04199999999</v>
      </c>
      <c r="AC30" s="1">
        <v>238116.93</v>
      </c>
    </row>
    <row r="31" spans="1:29">
      <c r="A31" s="1" t="s">
        <v>91</v>
      </c>
      <c r="F31" s="42">
        <v>24892.323</v>
      </c>
      <c r="I31" s="1">
        <v>33519.017</v>
      </c>
      <c r="K31" s="1">
        <v>30914.162</v>
      </c>
      <c r="L31" s="1">
        <v>24568.404999999999</v>
      </c>
      <c r="M31" s="1">
        <v>25251.102999999999</v>
      </c>
      <c r="N31" s="1">
        <v>25257.019</v>
      </c>
      <c r="O31" s="1">
        <v>29541.216</v>
      </c>
      <c r="P31" s="1">
        <v>32603.992999999999</v>
      </c>
      <c r="Q31" s="1">
        <v>34427.065999999999</v>
      </c>
      <c r="R31" s="1">
        <v>35666.165000000001</v>
      </c>
      <c r="S31" s="1">
        <v>39448.875</v>
      </c>
      <c r="T31" s="1">
        <v>41483.582000000002</v>
      </c>
      <c r="U31" s="1">
        <v>42700.597000000002</v>
      </c>
      <c r="V31" s="1">
        <v>48581.866999999998</v>
      </c>
      <c r="W31" s="1">
        <v>47679.678999999996</v>
      </c>
      <c r="X31" s="1">
        <v>45261.46</v>
      </c>
      <c r="Y31" s="1">
        <v>42710.57</v>
      </c>
      <c r="Z31" s="1">
        <v>43636.665000000001</v>
      </c>
      <c r="AA31" s="1">
        <v>47400.482000000004</v>
      </c>
      <c r="AB31" s="1">
        <v>53806.618000000002</v>
      </c>
      <c r="AC31" s="1">
        <v>65209.012000000002</v>
      </c>
    </row>
    <row r="32" spans="1:29">
      <c r="A32" s="1" t="s">
        <v>92</v>
      </c>
      <c r="F32" s="42">
        <v>17463.911</v>
      </c>
      <c r="I32" s="1">
        <v>22712.353999999999</v>
      </c>
      <c r="K32" s="1">
        <v>21996.569</v>
      </c>
      <c r="L32" s="1">
        <v>26605.583999999999</v>
      </c>
      <c r="M32" s="1">
        <v>29280.667000000001</v>
      </c>
      <c r="N32" s="1">
        <v>28788.309000000001</v>
      </c>
      <c r="O32" s="1">
        <v>31332.524000000001</v>
      </c>
      <c r="P32" s="1">
        <v>36886.26</v>
      </c>
      <c r="Q32" s="1">
        <v>38395.932000000001</v>
      </c>
      <c r="R32" s="1">
        <v>39294.591</v>
      </c>
      <c r="S32" s="1">
        <v>42809.135000000002</v>
      </c>
      <c r="T32" s="1">
        <v>45559.489000000001</v>
      </c>
      <c r="U32" s="1">
        <v>49683.81</v>
      </c>
      <c r="V32" s="1">
        <v>53393.383000000002</v>
      </c>
      <c r="W32" s="1">
        <v>53275.116999999998</v>
      </c>
      <c r="X32" s="1">
        <v>53649.000999999997</v>
      </c>
      <c r="Y32" s="1">
        <v>58068.44</v>
      </c>
      <c r="Z32" s="1">
        <v>59282.686000000002</v>
      </c>
      <c r="AA32" s="1">
        <v>60110.58</v>
      </c>
      <c r="AB32" s="1">
        <v>60760.453000000001</v>
      </c>
      <c r="AC32" s="1">
        <v>60490.387000000002</v>
      </c>
    </row>
    <row r="33" spans="1:29">
      <c r="A33" s="1" t="s">
        <v>100</v>
      </c>
      <c r="F33" s="42">
        <v>16460.416000000001</v>
      </c>
      <c r="I33" s="1">
        <v>24885.248</v>
      </c>
      <c r="K33" s="1">
        <v>25581.245999999999</v>
      </c>
      <c r="L33" s="1">
        <v>30016.91</v>
      </c>
      <c r="M33" s="1">
        <v>34432.807999999997</v>
      </c>
      <c r="N33" s="1">
        <v>34305.474999999999</v>
      </c>
      <c r="O33" s="1">
        <v>35557.249000000003</v>
      </c>
      <c r="P33" s="1">
        <v>35412.427000000003</v>
      </c>
      <c r="Q33" s="1">
        <v>35235.402000000002</v>
      </c>
      <c r="R33" s="1">
        <v>37051.328000000001</v>
      </c>
      <c r="S33" s="1">
        <v>37107.315999999999</v>
      </c>
      <c r="T33" s="1">
        <v>38562.118000000002</v>
      </c>
      <c r="U33" s="1">
        <v>43347.074999999997</v>
      </c>
      <c r="V33" s="1">
        <v>46885.347000000002</v>
      </c>
      <c r="W33" s="1">
        <v>47262.906000000003</v>
      </c>
      <c r="X33" s="1">
        <v>49807.595000000001</v>
      </c>
      <c r="Y33" s="1">
        <v>52204.34</v>
      </c>
      <c r="Z33" s="1">
        <v>55077.432000000001</v>
      </c>
      <c r="AA33" s="1">
        <v>58653.133999999998</v>
      </c>
      <c r="AB33" s="1">
        <v>65250.519</v>
      </c>
      <c r="AC33" s="1">
        <v>69681.823000000004</v>
      </c>
    </row>
    <row r="34" spans="1:29">
      <c r="A34" s="1" t="s">
        <v>102</v>
      </c>
      <c r="F34" s="42">
        <v>28800.406999999999</v>
      </c>
      <c r="I34" s="1">
        <v>38725.17</v>
      </c>
      <c r="K34" s="1">
        <v>41892.455999999998</v>
      </c>
      <c r="L34" s="1">
        <v>43160.955999999998</v>
      </c>
      <c r="M34" s="1">
        <v>48947.17</v>
      </c>
      <c r="N34" s="1">
        <v>44058.697999999997</v>
      </c>
      <c r="O34" s="1">
        <v>46442.137999999999</v>
      </c>
      <c r="P34" s="1">
        <v>53720.313999999998</v>
      </c>
      <c r="Q34" s="1">
        <v>57850.190999999999</v>
      </c>
      <c r="R34" s="1">
        <v>56726.417000000001</v>
      </c>
      <c r="S34" s="1">
        <v>54518.12</v>
      </c>
      <c r="T34" s="1">
        <v>55384.211000000003</v>
      </c>
      <c r="U34" s="1">
        <v>59197.957999999999</v>
      </c>
      <c r="V34" s="1">
        <v>66758.399999999994</v>
      </c>
      <c r="W34" s="1">
        <v>63927.027999999998</v>
      </c>
      <c r="X34" s="1">
        <v>60471.237000000001</v>
      </c>
      <c r="Y34" s="1">
        <v>58954.067999999999</v>
      </c>
      <c r="Z34" s="1">
        <v>58136.525000000001</v>
      </c>
      <c r="AA34" s="1">
        <v>57908.586000000003</v>
      </c>
      <c r="AB34" s="1">
        <v>62433.186999999998</v>
      </c>
      <c r="AC34" s="1">
        <v>72745.702999999994</v>
      </c>
    </row>
    <row r="35" spans="1:29">
      <c r="A35" s="1" t="s">
        <v>105</v>
      </c>
      <c r="F35" s="42">
        <v>89252.633000000002</v>
      </c>
      <c r="I35" s="1">
        <v>110743.54</v>
      </c>
      <c r="K35" s="1">
        <v>157506.68351</v>
      </c>
      <c r="L35" s="1">
        <v>184894.16500000001</v>
      </c>
      <c r="M35" s="1">
        <v>198917.86300000001</v>
      </c>
      <c r="N35" s="1">
        <v>229890.274</v>
      </c>
      <c r="O35" s="1">
        <v>236137.587</v>
      </c>
      <c r="P35" s="1">
        <v>254261.81299999999</v>
      </c>
      <c r="Q35" s="1">
        <v>254162.41500000001</v>
      </c>
      <c r="R35" s="1">
        <v>254139.965</v>
      </c>
      <c r="S35" s="1">
        <v>286953.51799999998</v>
      </c>
      <c r="T35" s="1">
        <v>251535.81599999999</v>
      </c>
      <c r="U35" s="1">
        <v>290282.07699999999</v>
      </c>
      <c r="V35" s="1">
        <v>296633.34299999999</v>
      </c>
      <c r="W35" s="1">
        <v>386808.63400000002</v>
      </c>
      <c r="X35" s="1">
        <v>381281.79700000002</v>
      </c>
      <c r="Y35" s="1">
        <v>407098.37199999997</v>
      </c>
      <c r="Z35" s="1">
        <v>422958.29399999999</v>
      </c>
      <c r="AA35" s="1">
        <v>461583.65100000001</v>
      </c>
      <c r="AB35" s="1">
        <v>492533.42</v>
      </c>
      <c r="AC35" s="1">
        <v>527044.76699999999</v>
      </c>
    </row>
    <row r="36" spans="1:29">
      <c r="A36" s="1" t="s">
        <v>109</v>
      </c>
      <c r="F36" s="42">
        <v>72205.868000000002</v>
      </c>
      <c r="I36" s="1">
        <v>92766.581000000006</v>
      </c>
      <c r="K36" s="1">
        <v>101954.69500000001</v>
      </c>
      <c r="L36" s="1">
        <v>130611.35</v>
      </c>
      <c r="M36" s="1">
        <v>137227.68799999999</v>
      </c>
      <c r="N36" s="1">
        <v>122944.663</v>
      </c>
      <c r="O36" s="1">
        <v>107068.56600000001</v>
      </c>
      <c r="P36" s="1">
        <v>110700.834</v>
      </c>
      <c r="Q36" s="1">
        <v>118478.761</v>
      </c>
      <c r="R36" s="1">
        <v>136459.49</v>
      </c>
      <c r="S36" s="1">
        <v>140474.095</v>
      </c>
      <c r="T36" s="1">
        <v>151450.18799999999</v>
      </c>
      <c r="U36" s="1">
        <v>114614.58199999999</v>
      </c>
      <c r="V36" s="1">
        <v>163063.37899999999</v>
      </c>
      <c r="W36" s="1">
        <v>199649.288</v>
      </c>
      <c r="X36" s="1">
        <v>201744.31299999999</v>
      </c>
      <c r="Y36" s="1">
        <v>195810.53700000001</v>
      </c>
      <c r="Z36" s="1">
        <v>200853.079</v>
      </c>
      <c r="AA36" s="1">
        <v>215665.397</v>
      </c>
      <c r="AB36" s="1">
        <v>263834.96799999999</v>
      </c>
      <c r="AC36" s="1">
        <v>263395.28899999999</v>
      </c>
    </row>
    <row r="37" spans="1:29">
      <c r="A37" s="1" t="s">
        <v>113</v>
      </c>
      <c r="F37" s="42">
        <v>143156.891</v>
      </c>
      <c r="I37" s="1">
        <v>174685.04199999999</v>
      </c>
      <c r="K37" s="1">
        <v>212089.10399999999</v>
      </c>
      <c r="L37" s="1">
        <v>349624.255</v>
      </c>
      <c r="M37" s="1">
        <v>375017.08100000001</v>
      </c>
      <c r="N37" s="1">
        <v>333449.41899999999</v>
      </c>
      <c r="O37" s="1">
        <v>343108.26400000002</v>
      </c>
      <c r="P37" s="1">
        <v>361872.47899999999</v>
      </c>
      <c r="Q37" s="1">
        <v>368748.69199999998</v>
      </c>
      <c r="R37" s="1">
        <v>411723.40399999998</v>
      </c>
      <c r="S37" s="1">
        <v>440842.38799999998</v>
      </c>
      <c r="T37" s="1">
        <v>478157.32</v>
      </c>
      <c r="U37" s="1">
        <v>542228.95900000003</v>
      </c>
      <c r="V37" s="1">
        <v>555673.68299999996</v>
      </c>
      <c r="W37" s="1">
        <v>594577.13699999999</v>
      </c>
      <c r="X37" s="1">
        <v>648372.14800000004</v>
      </c>
      <c r="Y37" s="1">
        <v>635467.66099999996</v>
      </c>
      <c r="Z37" s="1">
        <v>732170.55599999998</v>
      </c>
      <c r="AA37" s="1">
        <v>797287.38199999998</v>
      </c>
      <c r="AB37" s="1">
        <v>875941.43299999996</v>
      </c>
      <c r="AC37" s="1">
        <v>905276.1</v>
      </c>
    </row>
    <row r="38" spans="1:29">
      <c r="A38" s="1" t="s">
        <v>115</v>
      </c>
      <c r="F38" s="42">
        <v>38601.523000000001</v>
      </c>
      <c r="I38" s="1">
        <v>43206.756000000001</v>
      </c>
      <c r="K38" s="1">
        <v>48988.05</v>
      </c>
      <c r="L38" s="1">
        <v>53585.635000000002</v>
      </c>
      <c r="M38" s="1">
        <v>58972.724999999999</v>
      </c>
      <c r="N38" s="1">
        <v>44998.360999999997</v>
      </c>
      <c r="O38" s="1">
        <v>57592.962</v>
      </c>
      <c r="P38" s="1">
        <v>61036.02</v>
      </c>
      <c r="Q38" s="1">
        <v>68994.896999999997</v>
      </c>
      <c r="R38" s="1">
        <v>73645.816999999995</v>
      </c>
      <c r="S38" s="1">
        <v>79192.876000000004</v>
      </c>
      <c r="T38" s="1">
        <v>90633.442999999999</v>
      </c>
      <c r="U38" s="1">
        <v>91701.611000000004</v>
      </c>
      <c r="V38" s="1">
        <v>174958.77499999999</v>
      </c>
      <c r="W38" s="1">
        <v>90955.464000000007</v>
      </c>
      <c r="X38" s="1">
        <v>82038.100000000006</v>
      </c>
      <c r="Y38" s="1">
        <v>111840.13800000001</v>
      </c>
      <c r="Z38" s="1">
        <v>110514.003</v>
      </c>
      <c r="AA38" s="1">
        <v>105200.06200000001</v>
      </c>
      <c r="AB38" s="1">
        <v>113047.863</v>
      </c>
      <c r="AC38" s="1">
        <v>111065.379</v>
      </c>
    </row>
    <row r="39" spans="1:29">
      <c r="A39" s="24" t="s">
        <v>117</v>
      </c>
      <c r="B39" s="24"/>
      <c r="C39" s="24"/>
      <c r="D39" s="24"/>
      <c r="E39" s="24"/>
      <c r="F39" s="45">
        <v>8299.1810000000005</v>
      </c>
      <c r="G39" s="24"/>
      <c r="H39" s="24"/>
      <c r="I39" s="24">
        <v>9350.2839999999997</v>
      </c>
      <c r="J39" s="24"/>
      <c r="K39" s="24">
        <v>9067.6020000000008</v>
      </c>
      <c r="L39" s="24">
        <v>11772.228999999999</v>
      </c>
      <c r="M39" s="24">
        <v>19195.954000000002</v>
      </c>
      <c r="N39" s="24">
        <v>18605.248</v>
      </c>
      <c r="O39" s="24">
        <v>22458.227999999999</v>
      </c>
      <c r="P39" s="24">
        <v>24227.332999999999</v>
      </c>
      <c r="Q39" s="24">
        <v>25285.185000000001</v>
      </c>
      <c r="R39" s="24">
        <v>25216.147000000001</v>
      </c>
      <c r="S39" s="24">
        <v>29758.445</v>
      </c>
      <c r="T39" s="24">
        <v>31286.25</v>
      </c>
      <c r="U39" s="24">
        <v>32280.053</v>
      </c>
      <c r="V39" s="24">
        <v>38843.807000000001</v>
      </c>
      <c r="W39" s="24">
        <v>42980.171000000002</v>
      </c>
      <c r="X39" s="24">
        <v>35353.048000000003</v>
      </c>
      <c r="Y39" s="24">
        <v>40840.864999999998</v>
      </c>
      <c r="Z39" s="24">
        <v>42504.807999999997</v>
      </c>
      <c r="AA39" s="24">
        <v>42522.661999999997</v>
      </c>
      <c r="AB39" s="24">
        <v>42564.428999999996</v>
      </c>
      <c r="AC39" s="24">
        <v>41292.949999999997</v>
      </c>
    </row>
    <row r="40" spans="1:29">
      <c r="A40" s="7" t="s">
        <v>121</v>
      </c>
      <c r="B40" s="48">
        <f>SUM(B42:B53)</f>
        <v>0</v>
      </c>
      <c r="C40" s="48">
        <f t="shared" ref="C40:AC40" si="11">SUM(C42:C53)</f>
        <v>0</v>
      </c>
      <c r="D40" s="48">
        <f t="shared" si="11"/>
        <v>0</v>
      </c>
      <c r="E40" s="48">
        <f t="shared" si="11"/>
        <v>0</v>
      </c>
      <c r="F40" s="48">
        <f t="shared" si="11"/>
        <v>1117943.8079999997</v>
      </c>
      <c r="G40" s="48">
        <f t="shared" si="11"/>
        <v>0</v>
      </c>
      <c r="H40" s="48">
        <f t="shared" si="11"/>
        <v>0</v>
      </c>
      <c r="I40" s="48">
        <f t="shared" si="11"/>
        <v>1350077.7949999999</v>
      </c>
      <c r="J40" s="48">
        <f t="shared" si="11"/>
        <v>0</v>
      </c>
      <c r="K40" s="48">
        <f t="shared" si="11"/>
        <v>1529185.3045899998</v>
      </c>
      <c r="L40" s="48">
        <f t="shared" si="11"/>
        <v>1804201.44</v>
      </c>
      <c r="M40" s="48">
        <f t="shared" si="11"/>
        <v>1931164.7920000001</v>
      </c>
      <c r="N40" s="48">
        <f t="shared" si="11"/>
        <v>2020542.0109999999</v>
      </c>
      <c r="O40" s="48">
        <f t="shared" si="11"/>
        <v>2063358.3199999998</v>
      </c>
      <c r="P40" s="48">
        <f t="shared" si="11"/>
        <v>2093558.0820000004</v>
      </c>
      <c r="Q40" s="48">
        <f t="shared" si="11"/>
        <v>2236582.5349999997</v>
      </c>
      <c r="R40" s="48">
        <f t="shared" si="11"/>
        <v>2326919.9509999999</v>
      </c>
      <c r="S40" s="48">
        <f t="shared" si="11"/>
        <v>2428283.4010000001</v>
      </c>
      <c r="T40" s="48">
        <f t="shared" si="11"/>
        <v>2682389.3420000002</v>
      </c>
      <c r="U40" s="48">
        <f t="shared" si="11"/>
        <v>2773494.1710000001</v>
      </c>
      <c r="V40" s="48">
        <f t="shared" si="11"/>
        <v>3096439.4820000003</v>
      </c>
      <c r="W40" s="48">
        <f t="shared" si="11"/>
        <v>3082788.7690000003</v>
      </c>
      <c r="X40" s="48">
        <f t="shared" si="11"/>
        <v>3180217.9070000001</v>
      </c>
      <c r="Y40" s="48">
        <f t="shared" si="11"/>
        <v>3267903.2520000003</v>
      </c>
      <c r="Z40" s="48">
        <f t="shared" si="11"/>
        <v>3332816.8509999998</v>
      </c>
      <c r="AA40" s="48">
        <f t="shared" si="11"/>
        <v>3390190.2420000001</v>
      </c>
      <c r="AB40" s="48">
        <f t="shared" si="11"/>
        <v>3418640.5150000001</v>
      </c>
      <c r="AC40" s="48">
        <f t="shared" si="11"/>
        <v>3537145.6530000004</v>
      </c>
    </row>
    <row r="41" spans="1:29">
      <c r="A41" s="7" t="s">
        <v>119</v>
      </c>
      <c r="X41" s="1">
        <v>0</v>
      </c>
      <c r="AB41" s="1">
        <v>0</v>
      </c>
      <c r="AC41" s="1">
        <v>0</v>
      </c>
    </row>
    <row r="42" spans="1:29">
      <c r="A42" s="1" t="s">
        <v>93</v>
      </c>
      <c r="F42" s="42">
        <v>188066.34599999999</v>
      </c>
      <c r="I42" s="1">
        <v>247737.495</v>
      </c>
      <c r="K42" s="1">
        <v>279950.72100000002</v>
      </c>
      <c r="L42" s="1">
        <v>332856.81400000001</v>
      </c>
      <c r="M42" s="1">
        <v>367090.66899999999</v>
      </c>
      <c r="N42" s="1">
        <v>406112.04599999997</v>
      </c>
      <c r="O42" s="1">
        <v>422899.99800000002</v>
      </c>
      <c r="P42" s="1">
        <v>387482.88500000001</v>
      </c>
      <c r="Q42" s="1">
        <v>417472.10499999998</v>
      </c>
      <c r="R42" s="1">
        <v>446028.22200000001</v>
      </c>
      <c r="S42" s="1">
        <v>472646.092</v>
      </c>
      <c r="T42" s="1">
        <v>497881.359</v>
      </c>
      <c r="U42" s="1">
        <v>534909.88199999998</v>
      </c>
      <c r="V42" s="1">
        <v>621909.45400000003</v>
      </c>
      <c r="W42" s="1">
        <v>613016.69999999995</v>
      </c>
      <c r="X42" s="1">
        <v>663711.36499999999</v>
      </c>
      <c r="Y42" s="1">
        <v>715146.99</v>
      </c>
      <c r="Z42" s="1">
        <v>709634.36</v>
      </c>
      <c r="AA42" s="1">
        <v>728747.12600000005</v>
      </c>
      <c r="AB42" s="1">
        <v>678770.42599999998</v>
      </c>
      <c r="AC42" s="1">
        <v>690236.81900000002</v>
      </c>
    </row>
    <row r="43" spans="1:29">
      <c r="A43" s="1" t="s">
        <v>58</v>
      </c>
      <c r="F43" s="42">
        <v>112942.984</v>
      </c>
      <c r="I43" s="1">
        <v>140991.34</v>
      </c>
      <c r="K43" s="1">
        <v>161409.356</v>
      </c>
      <c r="L43" s="1">
        <v>200363.18700000001</v>
      </c>
      <c r="M43" s="1">
        <v>220501.69699999999</v>
      </c>
      <c r="N43" s="1">
        <v>209990.283</v>
      </c>
      <c r="O43" s="1">
        <v>220662.603</v>
      </c>
      <c r="P43" s="1">
        <v>243855.785</v>
      </c>
      <c r="Q43" s="1">
        <v>265541.14899999998</v>
      </c>
      <c r="R43" s="1">
        <v>269251.908</v>
      </c>
      <c r="S43" s="1">
        <v>262382.027</v>
      </c>
      <c r="T43" s="1">
        <v>277001.37199999997</v>
      </c>
      <c r="U43" s="1">
        <v>308656.288</v>
      </c>
      <c r="V43" s="1">
        <v>344611.5</v>
      </c>
      <c r="W43" s="1">
        <v>355404.12800000003</v>
      </c>
      <c r="X43" s="1">
        <v>356632.49699999997</v>
      </c>
      <c r="Y43" s="1">
        <v>333764.69199999998</v>
      </c>
      <c r="Z43" s="1">
        <v>334395.17099999997</v>
      </c>
      <c r="AA43" s="1">
        <v>316223.83500000002</v>
      </c>
      <c r="AB43" s="1">
        <v>325028.04200000002</v>
      </c>
      <c r="AC43" s="1">
        <v>352513.478</v>
      </c>
    </row>
    <row r="44" spans="1:29">
      <c r="A44" s="1" t="s">
        <v>94</v>
      </c>
      <c r="F44" s="42">
        <v>76569.616999999998</v>
      </c>
      <c r="I44" s="1">
        <v>106604.856</v>
      </c>
      <c r="K44" s="1">
        <v>129070.284</v>
      </c>
      <c r="L44" s="1">
        <v>144240.37400000001</v>
      </c>
      <c r="M44" s="1">
        <v>154353.50599999999</v>
      </c>
      <c r="N44" s="1">
        <v>124544.554</v>
      </c>
      <c r="O44" s="1">
        <v>125770.609</v>
      </c>
      <c r="P44" s="1">
        <v>130329.886</v>
      </c>
      <c r="Q44" s="1">
        <v>137189.247</v>
      </c>
      <c r="R44" s="1">
        <v>145628.334</v>
      </c>
      <c r="S44" s="1">
        <v>158402.04999999999</v>
      </c>
      <c r="T44" s="1">
        <v>170251.35399999999</v>
      </c>
      <c r="U44" s="1">
        <v>186242.26199999999</v>
      </c>
      <c r="V44" s="1">
        <v>201250.07500000001</v>
      </c>
      <c r="W44" s="1">
        <v>199659.35699999999</v>
      </c>
      <c r="X44" s="1">
        <v>194044.323</v>
      </c>
      <c r="Y44" s="1">
        <v>206273.85800000001</v>
      </c>
      <c r="Z44" s="1">
        <v>211435.807</v>
      </c>
      <c r="AA44" s="1">
        <v>213436.84700000001</v>
      </c>
      <c r="AB44" s="1">
        <v>227767.641</v>
      </c>
      <c r="AC44" s="1">
        <v>225066.22500000001</v>
      </c>
    </row>
    <row r="45" spans="1:29">
      <c r="A45" s="1" t="s">
        <v>95</v>
      </c>
      <c r="F45" s="42">
        <v>52565.790999999997</v>
      </c>
      <c r="I45" s="1">
        <v>57930.981</v>
      </c>
      <c r="K45" s="1">
        <v>63739.669590000005</v>
      </c>
      <c r="L45" s="1">
        <v>68119.566999999995</v>
      </c>
      <c r="M45" s="1">
        <v>78542.718999999997</v>
      </c>
      <c r="N45" s="1">
        <v>84300.481</v>
      </c>
      <c r="O45" s="1">
        <v>89786.013000000006</v>
      </c>
      <c r="P45" s="1">
        <v>99219.313999999998</v>
      </c>
      <c r="Q45" s="1">
        <v>97529.607000000004</v>
      </c>
      <c r="R45" s="1">
        <v>110292.451</v>
      </c>
      <c r="S45" s="1">
        <v>122644.814</v>
      </c>
      <c r="T45" s="1">
        <v>135795.054</v>
      </c>
      <c r="U45" s="1">
        <v>132350.579</v>
      </c>
      <c r="V45" s="1">
        <v>148206.40700000001</v>
      </c>
      <c r="W45" s="1">
        <v>158261.75200000001</v>
      </c>
      <c r="X45" s="1">
        <v>168487.52799999999</v>
      </c>
      <c r="Y45" s="1">
        <v>169045.682</v>
      </c>
      <c r="Z45" s="1">
        <v>169953.61300000001</v>
      </c>
      <c r="AA45" s="1">
        <v>174274.16099999999</v>
      </c>
      <c r="AB45" s="1">
        <v>177286.58900000001</v>
      </c>
      <c r="AC45" s="1">
        <v>167974.91399999999</v>
      </c>
    </row>
    <row r="46" spans="1:29">
      <c r="A46" s="1" t="s">
        <v>98</v>
      </c>
      <c r="F46" s="42">
        <v>177148.78599999999</v>
      </c>
      <c r="I46" s="1">
        <v>223579.96799999999</v>
      </c>
      <c r="K46" s="1">
        <v>235208.033</v>
      </c>
      <c r="L46" s="1">
        <v>288802.8</v>
      </c>
      <c r="M46" s="1">
        <v>317497.79700000002</v>
      </c>
      <c r="N46" s="1">
        <v>361291.20299999998</v>
      </c>
      <c r="O46" s="1">
        <v>349789.53899999999</v>
      </c>
      <c r="P46" s="1">
        <v>364553.22899999999</v>
      </c>
      <c r="Q46" s="1">
        <v>387739.64399999997</v>
      </c>
      <c r="R46" s="1">
        <v>393471.7</v>
      </c>
      <c r="S46" s="1">
        <v>413307.21600000001</v>
      </c>
      <c r="T46" s="1">
        <v>505324.65600000002</v>
      </c>
      <c r="U46" s="1">
        <v>503561.50099999999</v>
      </c>
      <c r="V46" s="1">
        <v>543393.46900000004</v>
      </c>
      <c r="W46" s="1">
        <v>543138.07299999997</v>
      </c>
      <c r="X46" s="1">
        <v>537835.74300000002</v>
      </c>
      <c r="Y46" s="1">
        <v>570498.473</v>
      </c>
      <c r="Z46" s="1">
        <v>570658.93299999996</v>
      </c>
      <c r="AA46" s="1">
        <v>625789.027</v>
      </c>
      <c r="AB46" s="1">
        <v>613760.799</v>
      </c>
      <c r="AC46" s="1">
        <v>659615.75600000005</v>
      </c>
    </row>
    <row r="47" spans="1:29">
      <c r="A47" s="1" t="s">
        <v>99</v>
      </c>
      <c r="F47" s="42">
        <v>80871.569000000003</v>
      </c>
      <c r="I47" s="1">
        <v>104845.999</v>
      </c>
      <c r="K47" s="1">
        <v>122194.549</v>
      </c>
      <c r="L47" s="1">
        <v>169545.878</v>
      </c>
      <c r="M47" s="1">
        <v>159563.70199999999</v>
      </c>
      <c r="N47" s="1">
        <v>157206.51</v>
      </c>
      <c r="O47" s="1">
        <v>163308.27499999999</v>
      </c>
      <c r="P47" s="1">
        <v>169462.076</v>
      </c>
      <c r="Q47" s="1">
        <v>178731.09299999999</v>
      </c>
      <c r="R47" s="1">
        <v>186655.87100000001</v>
      </c>
      <c r="S47" s="1">
        <v>196108.53599999999</v>
      </c>
      <c r="T47" s="1">
        <v>199701.15700000001</v>
      </c>
      <c r="U47" s="1">
        <v>221280.386</v>
      </c>
      <c r="V47" s="1">
        <v>234990.97200000001</v>
      </c>
      <c r="W47" s="1">
        <v>246969.976</v>
      </c>
      <c r="X47" s="1">
        <v>266817.92099999997</v>
      </c>
      <c r="Y47" s="1">
        <v>271370.17</v>
      </c>
      <c r="Z47" s="1">
        <v>277753.30300000001</v>
      </c>
      <c r="AA47" s="1">
        <v>274167.00199999998</v>
      </c>
      <c r="AB47" s="1">
        <v>285470.41600000003</v>
      </c>
      <c r="AC47" s="1">
        <v>308295.94500000001</v>
      </c>
    </row>
    <row r="48" spans="1:29">
      <c r="A48" s="1" t="s">
        <v>59</v>
      </c>
      <c r="F48" s="42">
        <v>53843.964999999997</v>
      </c>
      <c r="I48" s="1">
        <v>69274.271999999997</v>
      </c>
      <c r="K48" s="1">
        <v>122195.86</v>
      </c>
      <c r="L48" s="1">
        <v>102350.997</v>
      </c>
      <c r="M48" s="1">
        <v>109139.70299999999</v>
      </c>
      <c r="N48" s="1">
        <v>106991.66899999999</v>
      </c>
      <c r="O48" s="1">
        <v>95721.232999999993</v>
      </c>
      <c r="P48" s="1">
        <v>100497.78200000001</v>
      </c>
      <c r="Q48" s="1">
        <v>142125.97500000001</v>
      </c>
      <c r="R48" s="1">
        <v>152221.05900000001</v>
      </c>
      <c r="S48" s="1">
        <v>154174.46900000001</v>
      </c>
      <c r="T48" s="1">
        <v>179704.18900000001</v>
      </c>
      <c r="U48" s="1">
        <v>192957.829</v>
      </c>
      <c r="V48" s="1">
        <v>184766.427</v>
      </c>
      <c r="W48" s="1">
        <v>185236.353</v>
      </c>
      <c r="X48" s="1">
        <v>192429.22399999999</v>
      </c>
      <c r="Y48" s="1">
        <v>201002.61600000001</v>
      </c>
      <c r="Z48" s="1">
        <v>207381.005</v>
      </c>
      <c r="AA48" s="1">
        <v>212292.75899999999</v>
      </c>
      <c r="AB48" s="1">
        <v>216808.18</v>
      </c>
      <c r="AC48" s="1">
        <v>227677.728</v>
      </c>
    </row>
    <row r="49" spans="1:29">
      <c r="A49" s="1" t="s">
        <v>101</v>
      </c>
      <c r="F49" s="42">
        <v>56674.739000000001</v>
      </c>
      <c r="I49" s="1">
        <v>56800.576999999997</v>
      </c>
      <c r="K49" s="1">
        <v>64696.686999999998</v>
      </c>
      <c r="L49" s="1">
        <v>74544.933000000005</v>
      </c>
      <c r="M49" s="1">
        <v>73179.141000000003</v>
      </c>
      <c r="N49" s="1">
        <v>92500.785999999993</v>
      </c>
      <c r="O49" s="1">
        <v>94015.354999999996</v>
      </c>
      <c r="P49" s="1">
        <v>90410.324999999997</v>
      </c>
      <c r="Q49" s="1">
        <v>95321.195999999996</v>
      </c>
      <c r="R49" s="1">
        <v>82104.895999999993</v>
      </c>
      <c r="S49" s="1">
        <v>90227.865000000005</v>
      </c>
      <c r="T49" s="1">
        <v>94450.664999999994</v>
      </c>
      <c r="U49" s="1">
        <v>88580.228000000003</v>
      </c>
      <c r="V49" s="1">
        <v>133111.32999999999</v>
      </c>
      <c r="W49" s="1">
        <v>115222.478</v>
      </c>
      <c r="X49" s="1">
        <v>126205.91800000001</v>
      </c>
      <c r="Y49" s="1">
        <v>126039.22500000001</v>
      </c>
      <c r="Z49" s="1">
        <v>131720.52600000001</v>
      </c>
      <c r="AA49" s="1">
        <v>135791.503</v>
      </c>
      <c r="AB49" s="1">
        <v>126297.38099999999</v>
      </c>
      <c r="AC49" s="1">
        <v>114949.361</v>
      </c>
    </row>
    <row r="50" spans="1:29">
      <c r="A50" s="1" t="s">
        <v>107</v>
      </c>
      <c r="F50" s="42">
        <v>22797.785</v>
      </c>
      <c r="I50" s="1">
        <v>25289.227999999999</v>
      </c>
      <c r="K50" s="1">
        <v>24502.214</v>
      </c>
      <c r="L50" s="1">
        <v>28464.511999999999</v>
      </c>
      <c r="M50" s="1">
        <v>30179.916000000001</v>
      </c>
      <c r="N50" s="1">
        <v>34356.745999999999</v>
      </c>
      <c r="O50" s="1">
        <v>39409.671999999999</v>
      </c>
      <c r="P50" s="1">
        <v>40990.839999999997</v>
      </c>
      <c r="Q50" s="1">
        <v>42426.409</v>
      </c>
      <c r="R50" s="1">
        <v>41861.748</v>
      </c>
      <c r="S50" s="1">
        <v>41717.150999999998</v>
      </c>
      <c r="T50" s="1">
        <v>44863.038999999997</v>
      </c>
      <c r="U50" s="1">
        <v>49895.839</v>
      </c>
      <c r="V50" s="1">
        <v>56259.834000000003</v>
      </c>
      <c r="W50" s="1">
        <v>62222.822</v>
      </c>
      <c r="X50" s="1">
        <v>65617.172999999995</v>
      </c>
      <c r="Y50" s="1">
        <v>69716.722999999998</v>
      </c>
      <c r="Z50" s="1">
        <v>70574.516000000003</v>
      </c>
      <c r="AA50" s="1">
        <v>72451.125</v>
      </c>
      <c r="AB50" s="1">
        <v>72198.501999999993</v>
      </c>
      <c r="AC50" s="1">
        <v>71647.827000000005</v>
      </c>
    </row>
    <row r="51" spans="1:29">
      <c r="A51" s="1" t="s">
        <v>108</v>
      </c>
      <c r="F51" s="42">
        <v>145160.5</v>
      </c>
      <c r="I51" s="1">
        <v>174513.13200000001</v>
      </c>
      <c r="K51" s="1">
        <v>176620.49400000001</v>
      </c>
      <c r="L51" s="1">
        <v>215516.65299999999</v>
      </c>
      <c r="M51" s="1">
        <v>228655.00399999999</v>
      </c>
      <c r="N51" s="1">
        <v>242333.353</v>
      </c>
      <c r="O51" s="1">
        <v>252345.83600000001</v>
      </c>
      <c r="P51" s="1">
        <v>256886.46400000001</v>
      </c>
      <c r="Q51" s="1">
        <v>255613.149</v>
      </c>
      <c r="R51" s="1">
        <v>278284.02100000001</v>
      </c>
      <c r="S51" s="1">
        <v>274065.52399999998</v>
      </c>
      <c r="T51" s="1">
        <v>294724.245</v>
      </c>
      <c r="U51" s="1">
        <v>295876.43199999997</v>
      </c>
      <c r="V51" s="1">
        <v>318889.06</v>
      </c>
      <c r="W51" s="1">
        <v>299712.21500000003</v>
      </c>
      <c r="X51" s="1">
        <v>298524.67700000003</v>
      </c>
      <c r="Y51" s="1">
        <v>301380.54700000002</v>
      </c>
      <c r="Z51" s="1">
        <v>340637.674</v>
      </c>
      <c r="AA51" s="1">
        <v>333403.41100000002</v>
      </c>
      <c r="AB51" s="1">
        <v>389775.87300000002</v>
      </c>
      <c r="AC51" s="1">
        <v>420358.08100000001</v>
      </c>
    </row>
    <row r="52" spans="1:29">
      <c r="A52" s="1" t="s">
        <v>112</v>
      </c>
      <c r="F52" s="42">
        <v>20126.365000000002</v>
      </c>
      <c r="I52" s="1">
        <v>24122</v>
      </c>
      <c r="K52" s="1">
        <v>24136.804</v>
      </c>
      <c r="L52" s="1">
        <v>30328.781999999999</v>
      </c>
      <c r="M52" s="1">
        <v>32763.034</v>
      </c>
      <c r="N52" s="1">
        <v>34907.379000000001</v>
      </c>
      <c r="O52" s="1">
        <v>36950.067999999999</v>
      </c>
      <c r="P52" s="1">
        <v>36361.964999999997</v>
      </c>
      <c r="Q52" s="1">
        <v>37478.175000000003</v>
      </c>
      <c r="R52" s="1">
        <v>41659.379999999997</v>
      </c>
      <c r="S52" s="1">
        <v>44406.841999999997</v>
      </c>
      <c r="T52" s="1">
        <v>46976.578999999998</v>
      </c>
      <c r="U52" s="1">
        <v>38965.529000000002</v>
      </c>
      <c r="V52" s="1">
        <v>48342.044999999998</v>
      </c>
      <c r="W52" s="1">
        <v>49975.462</v>
      </c>
      <c r="X52" s="1">
        <v>53761.733999999997</v>
      </c>
      <c r="Y52" s="1">
        <v>48689.161</v>
      </c>
      <c r="Z52" s="1">
        <v>48710.252999999997</v>
      </c>
      <c r="AA52" s="1">
        <v>45374.578000000001</v>
      </c>
      <c r="AB52" s="1">
        <v>47869.243000000002</v>
      </c>
      <c r="AC52" s="1">
        <v>50766.796999999999</v>
      </c>
    </row>
    <row r="53" spans="1:29">
      <c r="A53" s="24" t="s">
        <v>116</v>
      </c>
      <c r="B53" s="24"/>
      <c r="C53" s="24"/>
      <c r="D53" s="24"/>
      <c r="E53" s="24"/>
      <c r="F53" s="45">
        <v>131175.361</v>
      </c>
      <c r="G53" s="24"/>
      <c r="H53" s="24"/>
      <c r="I53" s="24">
        <v>118387.947</v>
      </c>
      <c r="J53" s="24"/>
      <c r="K53" s="24">
        <v>125460.633</v>
      </c>
      <c r="L53" s="24">
        <v>149066.943</v>
      </c>
      <c r="M53" s="24">
        <v>159697.90400000001</v>
      </c>
      <c r="N53" s="24">
        <v>166007.00099999999</v>
      </c>
      <c r="O53" s="24">
        <v>172699.11900000001</v>
      </c>
      <c r="P53" s="24">
        <v>173507.53099999999</v>
      </c>
      <c r="Q53" s="24">
        <v>179414.78599999999</v>
      </c>
      <c r="R53" s="24">
        <v>179460.361</v>
      </c>
      <c r="S53" s="24">
        <v>198200.815</v>
      </c>
      <c r="T53" s="24">
        <v>235715.67300000001</v>
      </c>
      <c r="U53" s="24">
        <v>220217.416</v>
      </c>
      <c r="V53" s="24">
        <v>260708.90900000001</v>
      </c>
      <c r="W53" s="24">
        <v>253969.45300000001</v>
      </c>
      <c r="X53" s="24">
        <v>256149.804</v>
      </c>
      <c r="Y53" s="24">
        <v>254975.11499999999</v>
      </c>
      <c r="Z53" s="24">
        <v>259961.69</v>
      </c>
      <c r="AA53" s="24">
        <v>258238.86799999999</v>
      </c>
      <c r="AB53" s="24">
        <v>257607.42300000001</v>
      </c>
      <c r="AC53" s="24">
        <v>248042.72200000001</v>
      </c>
    </row>
    <row r="54" spans="1:29">
      <c r="A54" s="7" t="s">
        <v>122</v>
      </c>
      <c r="B54" s="48">
        <f>SUM(B56:B64)</f>
        <v>0</v>
      </c>
      <c r="C54" s="48">
        <f t="shared" ref="C54:AC54" si="12">SUM(C56:C64)</f>
        <v>0</v>
      </c>
      <c r="D54" s="48">
        <f t="shared" si="12"/>
        <v>0</v>
      </c>
      <c r="E54" s="48">
        <f t="shared" si="12"/>
        <v>0</v>
      </c>
      <c r="F54" s="48">
        <f t="shared" si="12"/>
        <v>435753.45199999993</v>
      </c>
      <c r="G54" s="48">
        <f t="shared" si="12"/>
        <v>0</v>
      </c>
      <c r="H54" s="48">
        <f t="shared" si="12"/>
        <v>0</v>
      </c>
      <c r="I54" s="48">
        <f t="shared" si="12"/>
        <v>467203.46699999995</v>
      </c>
      <c r="J54" s="48">
        <f t="shared" si="12"/>
        <v>0</v>
      </c>
      <c r="K54" s="48">
        <f t="shared" si="12"/>
        <v>570595.83200000005</v>
      </c>
      <c r="L54" s="48">
        <f t="shared" si="12"/>
        <v>691033.18800000008</v>
      </c>
      <c r="M54" s="48">
        <f t="shared" si="12"/>
        <v>760586.05299999996</v>
      </c>
      <c r="N54" s="48">
        <f t="shared" si="12"/>
        <v>789778.7</v>
      </c>
      <c r="O54" s="48">
        <f t="shared" si="12"/>
        <v>692576.4530000001</v>
      </c>
      <c r="P54" s="48">
        <f t="shared" si="12"/>
        <v>727013.75599999994</v>
      </c>
      <c r="Q54" s="48">
        <f t="shared" si="12"/>
        <v>977843.32599999988</v>
      </c>
      <c r="R54" s="48">
        <f t="shared" si="12"/>
        <v>1002934.7920000001</v>
      </c>
      <c r="S54" s="48">
        <f t="shared" si="12"/>
        <v>1045593.9990000001</v>
      </c>
      <c r="T54" s="48">
        <f t="shared" si="12"/>
        <v>1096459.402</v>
      </c>
      <c r="U54" s="48">
        <f t="shared" si="12"/>
        <v>499058.783</v>
      </c>
      <c r="V54" s="48">
        <f t="shared" si="12"/>
        <v>1183856.6269999999</v>
      </c>
      <c r="W54" s="48">
        <f t="shared" si="12"/>
        <v>1295404.4350000001</v>
      </c>
      <c r="X54" s="48">
        <f t="shared" si="12"/>
        <v>1192848.446</v>
      </c>
      <c r="Y54" s="48">
        <f t="shared" si="12"/>
        <v>1100352.3090000001</v>
      </c>
      <c r="Z54" s="48">
        <f t="shared" si="12"/>
        <v>1258140.726</v>
      </c>
      <c r="AA54" s="48">
        <f t="shared" si="12"/>
        <v>992630.86</v>
      </c>
      <c r="AB54" s="48">
        <f t="shared" si="12"/>
        <v>1213248.882</v>
      </c>
      <c r="AC54" s="48">
        <f t="shared" si="12"/>
        <v>1386244.2830000001</v>
      </c>
    </row>
    <row r="55" spans="1:29">
      <c r="A55" s="7" t="s">
        <v>119</v>
      </c>
      <c r="X55" s="1">
        <v>0</v>
      </c>
      <c r="AB55" s="1">
        <v>0</v>
      </c>
      <c r="AC55" s="1">
        <v>0</v>
      </c>
    </row>
    <row r="56" spans="1:29">
      <c r="A56" s="1" t="s">
        <v>89</v>
      </c>
      <c r="F56" s="42">
        <v>21809.792000000001</v>
      </c>
      <c r="I56" s="1">
        <v>28965.792000000001</v>
      </c>
      <c r="K56" s="1">
        <v>28031.117999999999</v>
      </c>
      <c r="L56" s="1">
        <v>41946.936000000002</v>
      </c>
      <c r="M56" s="1">
        <v>33773.131000000001</v>
      </c>
      <c r="N56" s="1">
        <v>190614.37899999999</v>
      </c>
      <c r="O56" s="1">
        <v>197837.69699999999</v>
      </c>
      <c r="P56" s="1">
        <v>193447.90299999999</v>
      </c>
      <c r="Q56" s="1">
        <v>204151.39199999999</v>
      </c>
      <c r="R56" s="1">
        <v>210181.601</v>
      </c>
      <c r="S56" s="1">
        <v>221581.40400000001</v>
      </c>
      <c r="T56" s="1">
        <v>268222.89299999998</v>
      </c>
      <c r="U56" s="1">
        <v>76940.722999999998</v>
      </c>
      <c r="V56" s="1">
        <v>68248.895000000004</v>
      </c>
      <c r="W56" s="1">
        <v>85995.573999999993</v>
      </c>
      <c r="X56" s="1">
        <v>116963.155</v>
      </c>
      <c r="Y56" s="1">
        <v>125726.94899999999</v>
      </c>
      <c r="Z56" s="1">
        <v>110691.19899999999</v>
      </c>
      <c r="AA56" s="1">
        <v>93819.827000000005</v>
      </c>
      <c r="AB56" s="1">
        <v>102030.23299999999</v>
      </c>
      <c r="AC56" s="1">
        <v>101301.09600000001</v>
      </c>
    </row>
    <row r="57" spans="1:29">
      <c r="A57" s="1" t="s">
        <v>96</v>
      </c>
      <c r="F57" s="42">
        <v>27166.539000000001</v>
      </c>
      <c r="I57" s="1">
        <v>31700.738000000001</v>
      </c>
      <c r="K57" s="1">
        <v>37841.107000000004</v>
      </c>
      <c r="L57" s="1">
        <v>36617.837</v>
      </c>
      <c r="M57" s="1">
        <v>39679.076000000001</v>
      </c>
      <c r="N57" s="1">
        <v>42486.8</v>
      </c>
      <c r="O57" s="1">
        <v>45513.870999999999</v>
      </c>
      <c r="P57" s="1">
        <v>47645.807999999997</v>
      </c>
      <c r="Q57" s="1">
        <v>49133.987999999998</v>
      </c>
      <c r="R57" s="1">
        <v>51410.66</v>
      </c>
      <c r="S57" s="1">
        <v>52478.718000000001</v>
      </c>
      <c r="T57" s="1">
        <v>53773.197999999997</v>
      </c>
      <c r="U57" s="1">
        <v>56763.586000000003</v>
      </c>
      <c r="V57" s="1">
        <v>67329.441999999995</v>
      </c>
      <c r="W57" s="1">
        <v>68669.832999999999</v>
      </c>
      <c r="X57" s="1">
        <v>71183.490999999995</v>
      </c>
      <c r="Y57" s="1">
        <v>68246.947</v>
      </c>
      <c r="Z57" s="1">
        <v>68823.013999999996</v>
      </c>
      <c r="AA57" s="1">
        <v>69313.429999999993</v>
      </c>
      <c r="AB57" s="1">
        <v>68500.73</v>
      </c>
      <c r="AC57" s="1">
        <v>68500.577999999994</v>
      </c>
    </row>
    <row r="58" spans="1:29" s="11" customFormat="1">
      <c r="A58" s="1" t="s">
        <v>97</v>
      </c>
      <c r="B58" s="1"/>
      <c r="C58" s="1"/>
      <c r="D58" s="1"/>
      <c r="E58" s="1"/>
      <c r="F58" s="42">
        <v>91616.986999999994</v>
      </c>
      <c r="G58" s="1"/>
      <c r="H58" s="1"/>
      <c r="I58" s="1">
        <v>47319.457000000002</v>
      </c>
      <c r="J58" s="1"/>
      <c r="K58" s="1">
        <v>56355.713000000003</v>
      </c>
      <c r="L58" s="1">
        <v>97436.187999999995</v>
      </c>
      <c r="M58" s="1">
        <v>124114.41899999999</v>
      </c>
      <c r="N58" s="1">
        <v>157153.68799999999</v>
      </c>
      <c r="O58" s="1">
        <v>181458.24100000001</v>
      </c>
      <c r="P58" s="1">
        <v>205822.86600000001</v>
      </c>
      <c r="Q58" s="1">
        <v>391390.14</v>
      </c>
      <c r="R58" s="1">
        <v>393998.92</v>
      </c>
      <c r="S58" s="1">
        <v>405285.48599999998</v>
      </c>
      <c r="T58" s="1">
        <v>345404.00099999999</v>
      </c>
      <c r="U58" s="1">
        <v>38648.993000000002</v>
      </c>
      <c r="V58" s="1">
        <v>478418.57500000001</v>
      </c>
      <c r="W58" s="1">
        <v>556211.05200000003</v>
      </c>
      <c r="X58" s="1">
        <v>432716.03499999997</v>
      </c>
      <c r="Y58" s="1">
        <v>477081.06900000002</v>
      </c>
      <c r="Z58" s="1">
        <v>511200.02399999998</v>
      </c>
      <c r="AA58" s="1">
        <v>360033.96</v>
      </c>
      <c r="AB58" s="1">
        <v>550143.95700000005</v>
      </c>
      <c r="AC58" s="1">
        <v>479476.97700000001</v>
      </c>
    </row>
    <row r="59" spans="1:29">
      <c r="A59" s="1" t="s">
        <v>103</v>
      </c>
      <c r="F59" s="42">
        <v>11748.178</v>
      </c>
      <c r="I59" s="1">
        <v>14891.739</v>
      </c>
      <c r="K59" s="1">
        <v>15344.83</v>
      </c>
      <c r="L59" s="1">
        <v>17041.084999999999</v>
      </c>
      <c r="M59" s="1">
        <v>18241.859</v>
      </c>
      <c r="N59" s="1">
        <v>16309.343999999999</v>
      </c>
      <c r="O59" s="1">
        <v>17137.955999999998</v>
      </c>
      <c r="P59" s="1">
        <v>16990.34</v>
      </c>
      <c r="Q59" s="1">
        <v>18093.905999999999</v>
      </c>
      <c r="R59" s="1">
        <v>18621.103999999999</v>
      </c>
      <c r="S59" s="1">
        <v>19738.098000000002</v>
      </c>
      <c r="T59" s="1">
        <v>22221.172999999999</v>
      </c>
      <c r="U59" s="1">
        <v>11981.098</v>
      </c>
      <c r="V59" s="1">
        <v>11341.779</v>
      </c>
      <c r="W59" s="1">
        <v>12124.554</v>
      </c>
      <c r="X59" s="1">
        <v>9180.768</v>
      </c>
      <c r="Y59" s="1">
        <v>8914.0439999999999</v>
      </c>
      <c r="Z59" s="1">
        <v>9765.9110000000001</v>
      </c>
      <c r="AA59" s="1">
        <v>11215.928</v>
      </c>
      <c r="AB59" s="1">
        <v>11673.883</v>
      </c>
      <c r="AC59" s="1">
        <v>10642.875</v>
      </c>
    </row>
    <row r="60" spans="1:29">
      <c r="A60" s="1" t="s">
        <v>104</v>
      </c>
      <c r="F60" s="42">
        <v>64248.826999999997</v>
      </c>
      <c r="I60" s="1">
        <v>87310.23</v>
      </c>
      <c r="K60" s="1">
        <v>120370.045</v>
      </c>
      <c r="L60" s="1">
        <v>168108.329</v>
      </c>
      <c r="M60" s="1">
        <v>184645.69399999999</v>
      </c>
      <c r="N60" s="1">
        <v>70008.494999999995</v>
      </c>
      <c r="O60" s="1">
        <v>73321.248999999996</v>
      </c>
      <c r="P60" s="1">
        <v>74780.262000000002</v>
      </c>
      <c r="Q60" s="1">
        <v>110091.762</v>
      </c>
      <c r="R60" s="1">
        <v>115550.24</v>
      </c>
      <c r="S60" s="1">
        <v>118806.026</v>
      </c>
      <c r="T60" s="1">
        <v>138188.106</v>
      </c>
      <c r="U60" s="1">
        <v>70910.665999999997</v>
      </c>
      <c r="V60" s="1">
        <v>213374.114</v>
      </c>
      <c r="W60" s="1">
        <v>205484.47200000001</v>
      </c>
      <c r="X60" s="1">
        <v>212780.88699999999</v>
      </c>
      <c r="Y60" s="1">
        <v>88236.539000000004</v>
      </c>
      <c r="Z60" s="1">
        <v>218333.40599999999</v>
      </c>
      <c r="AA60" s="1">
        <v>114456.287</v>
      </c>
      <c r="AB60" s="1">
        <v>117876.89599999999</v>
      </c>
      <c r="AC60" s="1">
        <v>352676.05599999998</v>
      </c>
    </row>
    <row r="61" spans="1:29">
      <c r="A61" s="1" t="s">
        <v>106</v>
      </c>
      <c r="F61" s="42">
        <v>112969.186</v>
      </c>
      <c r="I61" s="1">
        <v>128485.1</v>
      </c>
      <c r="K61" s="1">
        <v>150496.21400000001</v>
      </c>
      <c r="L61" s="1">
        <v>164153.42800000001</v>
      </c>
      <c r="M61" s="1">
        <v>210622.315</v>
      </c>
      <c r="N61" s="1">
        <v>223232.55600000001</v>
      </c>
      <c r="O61" s="1">
        <v>102558.81299999999</v>
      </c>
      <c r="P61" s="1">
        <v>105887.014</v>
      </c>
      <c r="Q61" s="1">
        <v>119509.73</v>
      </c>
      <c r="R61" s="1">
        <v>124618.05499999999</v>
      </c>
      <c r="S61" s="1">
        <v>140372.74799999999</v>
      </c>
      <c r="T61" s="1">
        <v>175042.78899999999</v>
      </c>
      <c r="U61" s="1">
        <v>155877.96</v>
      </c>
      <c r="V61" s="1">
        <v>236694.193</v>
      </c>
      <c r="W61" s="1">
        <v>246795.052</v>
      </c>
      <c r="X61" s="1">
        <v>226641.541</v>
      </c>
      <c r="Y61" s="1">
        <v>211535.40299999999</v>
      </c>
      <c r="Z61" s="1">
        <v>211385.00700000001</v>
      </c>
      <c r="AA61" s="1">
        <v>216916.24</v>
      </c>
      <c r="AB61" s="1">
        <v>221507.44099999999</v>
      </c>
      <c r="AC61" s="1">
        <v>225510.337</v>
      </c>
    </row>
    <row r="62" spans="1:29">
      <c r="A62" s="1" t="s">
        <v>110</v>
      </c>
      <c r="F62" s="42">
        <v>81742.524000000005</v>
      </c>
      <c r="I62" s="1">
        <v>102466.772</v>
      </c>
      <c r="K62" s="1">
        <v>133541.035</v>
      </c>
      <c r="L62" s="1">
        <v>130477.446</v>
      </c>
      <c r="M62" s="1">
        <v>110947.124</v>
      </c>
      <c r="N62" s="1">
        <v>49284.961000000003</v>
      </c>
      <c r="O62" s="1">
        <v>39220.027999999998</v>
      </c>
      <c r="P62" s="1">
        <v>39411.885000000002</v>
      </c>
      <c r="Q62" s="1">
        <v>41169.587</v>
      </c>
      <c r="R62" s="1">
        <v>39274.175000000003</v>
      </c>
      <c r="S62" s="1">
        <v>39596.332999999999</v>
      </c>
      <c r="T62" s="1">
        <v>41681.892</v>
      </c>
      <c r="U62" s="1">
        <v>40677.805999999997</v>
      </c>
      <c r="V62" s="1">
        <v>43102.286999999997</v>
      </c>
      <c r="W62" s="1">
        <v>42123.324000000001</v>
      </c>
      <c r="X62" s="1">
        <v>40266.514000000003</v>
      </c>
      <c r="Y62" s="1">
        <v>40910.241999999998</v>
      </c>
      <c r="Z62" s="1">
        <v>44917.955000000002</v>
      </c>
      <c r="AA62" s="1">
        <v>44716.286999999997</v>
      </c>
      <c r="AB62" s="1">
        <v>46883.646999999997</v>
      </c>
      <c r="AC62" s="1">
        <v>50826.855000000003</v>
      </c>
    </row>
    <row r="63" spans="1:29">
      <c r="A63" s="1" t="s">
        <v>111</v>
      </c>
      <c r="F63" s="42">
        <v>4270.8429999999998</v>
      </c>
      <c r="I63" s="1">
        <v>4167.5119999999997</v>
      </c>
      <c r="K63" s="1">
        <v>5015.2950000000001</v>
      </c>
      <c r="L63" s="1">
        <v>5664.7420000000002</v>
      </c>
      <c r="M63" s="1">
        <v>6304.3850000000002</v>
      </c>
      <c r="N63" s="1">
        <v>6643.9279999999999</v>
      </c>
      <c r="O63" s="1">
        <v>7250.6130000000003</v>
      </c>
      <c r="P63" s="1">
        <v>6703.5829999999996</v>
      </c>
      <c r="Q63" s="1">
        <v>6073.7830000000004</v>
      </c>
      <c r="R63" s="1">
        <v>5812.4859999999999</v>
      </c>
      <c r="S63" s="1">
        <v>6134.4350000000004</v>
      </c>
      <c r="T63" s="1">
        <v>7980.4189999999999</v>
      </c>
      <c r="U63" s="1">
        <v>7617.3860000000004</v>
      </c>
      <c r="V63" s="1">
        <v>8800.4349999999995</v>
      </c>
      <c r="W63" s="1">
        <v>9838.0580000000009</v>
      </c>
      <c r="X63" s="1">
        <v>11410.576999999999</v>
      </c>
      <c r="Y63" s="1">
        <v>11682.379000000001</v>
      </c>
      <c r="Z63" s="1">
        <v>11166.282999999999</v>
      </c>
      <c r="AA63" s="1">
        <v>11322.915999999999</v>
      </c>
      <c r="AB63" s="1">
        <v>11976.587</v>
      </c>
      <c r="AC63" s="1">
        <v>12006.404</v>
      </c>
    </row>
    <row r="64" spans="1:29">
      <c r="A64" s="24" t="s">
        <v>114</v>
      </c>
      <c r="B64" s="24"/>
      <c r="C64" s="24"/>
      <c r="D64" s="24"/>
      <c r="E64" s="24"/>
      <c r="F64" s="45">
        <v>20180.576000000001</v>
      </c>
      <c r="G64" s="24"/>
      <c r="H64" s="24"/>
      <c r="I64" s="24">
        <v>21896.127</v>
      </c>
      <c r="J64" s="24"/>
      <c r="K64" s="24">
        <v>23600.474999999999</v>
      </c>
      <c r="L64" s="24">
        <v>29587.197</v>
      </c>
      <c r="M64" s="24">
        <v>32258.05</v>
      </c>
      <c r="N64" s="24">
        <v>34044.548999999999</v>
      </c>
      <c r="O64" s="24">
        <v>28277.985000000001</v>
      </c>
      <c r="P64" s="24">
        <v>36324.095000000001</v>
      </c>
      <c r="Q64" s="24">
        <v>38229.038</v>
      </c>
      <c r="R64" s="24">
        <v>43467.550999999999</v>
      </c>
      <c r="S64" s="24">
        <v>41600.750999999997</v>
      </c>
      <c r="T64" s="24">
        <v>43944.930999999997</v>
      </c>
      <c r="U64" s="24">
        <v>39640.565000000002</v>
      </c>
      <c r="V64" s="24">
        <v>56546.906999999999</v>
      </c>
      <c r="W64" s="24">
        <v>68162.516000000003</v>
      </c>
      <c r="X64" s="24">
        <v>71705.478000000003</v>
      </c>
      <c r="Y64" s="24">
        <v>68018.736999999994</v>
      </c>
      <c r="Z64" s="24">
        <v>71857.926999999996</v>
      </c>
      <c r="AA64" s="24">
        <v>70835.985000000001</v>
      </c>
      <c r="AB64" s="24">
        <v>82655.508000000002</v>
      </c>
      <c r="AC64" s="24">
        <v>85303.104999999996</v>
      </c>
    </row>
    <row r="65" spans="1:29">
      <c r="A65" s="46" t="s">
        <v>90</v>
      </c>
      <c r="B65" s="46"/>
      <c r="C65" s="46"/>
      <c r="D65" s="46"/>
      <c r="E65" s="46"/>
      <c r="F65" s="47">
        <v>6984.8029999999999</v>
      </c>
      <c r="G65" s="46"/>
      <c r="H65" s="46"/>
      <c r="I65" s="46">
        <v>10109.201999999999</v>
      </c>
      <c r="J65" s="46"/>
      <c r="K65" s="46">
        <v>11342.840199999999</v>
      </c>
      <c r="L65" s="46">
        <v>5068.4250000000002</v>
      </c>
      <c r="M65" s="46">
        <v>4870.0519999999997</v>
      </c>
      <c r="N65" s="46">
        <v>6626.4</v>
      </c>
      <c r="O65" s="46">
        <v>5113.03</v>
      </c>
      <c r="P65" s="46">
        <v>8247.6509999999998</v>
      </c>
      <c r="Q65" s="46">
        <v>2898.8510000000001</v>
      </c>
      <c r="R65" s="46">
        <v>2918.8029999999999</v>
      </c>
      <c r="S65" s="46">
        <v>3717.27</v>
      </c>
      <c r="T65" s="46">
        <v>3375.1889999999999</v>
      </c>
      <c r="U65" s="46">
        <v>3689.317</v>
      </c>
      <c r="V65" s="46">
        <v>4342</v>
      </c>
      <c r="W65" s="46">
        <v>4396.7139999999999</v>
      </c>
      <c r="X65" s="24">
        <v>4559.9790000000003</v>
      </c>
      <c r="Y65" s="24">
        <v>3229.779</v>
      </c>
      <c r="Z65" s="24">
        <v>2758.9059999999999</v>
      </c>
      <c r="AA65" s="24">
        <v>2371.6</v>
      </c>
      <c r="AB65" s="24">
        <v>2605.3000000000002</v>
      </c>
      <c r="AC65" s="24">
        <v>2477.27</v>
      </c>
    </row>
    <row r="66" spans="1:29">
      <c r="F66" s="15"/>
    </row>
    <row r="67" spans="1:29">
      <c r="I67" s="20" t="s">
        <v>78</v>
      </c>
      <c r="J67" s="20" t="s">
        <v>76</v>
      </c>
      <c r="K67" s="20"/>
      <c r="L67" s="20" t="s">
        <v>69</v>
      </c>
      <c r="M67" s="20"/>
      <c r="N67" s="20"/>
      <c r="O67" s="20" t="s">
        <v>78</v>
      </c>
      <c r="P67" s="20" t="s">
        <v>78</v>
      </c>
      <c r="Q67" s="20" t="s">
        <v>78</v>
      </c>
      <c r="R67" s="20" t="s">
        <v>78</v>
      </c>
      <c r="S67" s="20"/>
      <c r="T67" s="20"/>
      <c r="U67" s="20"/>
      <c r="V67" s="20"/>
      <c r="W67" s="20"/>
    </row>
    <row r="68" spans="1:29">
      <c r="I68" s="1" t="s">
        <v>79</v>
      </c>
      <c r="J68" s="1" t="s">
        <v>72</v>
      </c>
      <c r="L68" s="1" t="s">
        <v>70</v>
      </c>
      <c r="O68" s="1" t="s">
        <v>79</v>
      </c>
      <c r="P68" s="1" t="s">
        <v>79</v>
      </c>
      <c r="Q68" s="1" t="s">
        <v>79</v>
      </c>
      <c r="R68" s="1" t="s">
        <v>79</v>
      </c>
    </row>
    <row r="69" spans="1:29">
      <c r="I69" s="1" t="s">
        <v>80</v>
      </c>
      <c r="J69" s="1" t="s">
        <v>73</v>
      </c>
      <c r="O69" s="1" t="s">
        <v>80</v>
      </c>
      <c r="P69" s="1" t="s">
        <v>80</v>
      </c>
      <c r="Q69" s="1" t="s">
        <v>80</v>
      </c>
      <c r="R69" s="1" t="s">
        <v>80</v>
      </c>
    </row>
    <row r="70" spans="1:29">
      <c r="J70" s="1"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vt:i4>
      </vt:variant>
    </vt:vector>
  </HeadingPairs>
  <TitlesOfParts>
    <vt:vector size="29" baseType="lpstr">
      <vt:lpstr>TABLE 96</vt:lpstr>
      <vt:lpstr>TABLE 97</vt:lpstr>
      <vt:lpstr>T E&amp;G 4YR</vt:lpstr>
      <vt:lpstr>T E&amp;G 2YR</vt:lpstr>
      <vt:lpstr>Instruction-4YR</vt:lpstr>
      <vt:lpstr>INSTRUCTION-2YR</vt:lpstr>
      <vt:lpstr>RESEARCH 4yr</vt:lpstr>
      <vt:lpstr>RESEARCH 2yr</vt:lpstr>
      <vt:lpstr>PUBLIC SERVICE 4yr</vt:lpstr>
      <vt:lpstr>PUBLIC SERVICE 2yr</vt:lpstr>
      <vt:lpstr>ASptISptSSv 4yr</vt:lpstr>
      <vt:lpstr>ASptISptSSv 2yr</vt:lpstr>
      <vt:lpstr>ACADEMIC SUPP 4yr</vt:lpstr>
      <vt:lpstr>ACADEMIC SUPP 2yr</vt:lpstr>
      <vt:lpstr>STU SERVICES 4yr</vt:lpstr>
      <vt:lpstr>STU SERVICES 2yr</vt:lpstr>
      <vt:lpstr>INST SUPPORT 4yr</vt:lpstr>
      <vt:lpstr>INST SUPPORT 2yr</vt:lpstr>
      <vt:lpstr>SCHOLAR FELLOW 4yr</vt:lpstr>
      <vt:lpstr>SCHOLAR FELLOW 2yr</vt:lpstr>
      <vt:lpstr>All Other 4yr</vt:lpstr>
      <vt:lpstr>All Other 2yr</vt:lpstr>
      <vt:lpstr>PLANT OPER MAIN 4yr</vt:lpstr>
      <vt:lpstr>PLANT OPER MAIN 2yr</vt:lpstr>
      <vt:lpstr>DATA</vt:lpstr>
      <vt:lpstr>'TABLE 96'!Print_Area</vt:lpstr>
      <vt:lpstr>'TABLE 97'!Print_Area</vt:lpstr>
      <vt:lpstr>T_80</vt:lpstr>
      <vt:lpstr>T_81</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Christiana Datubo-Brown</cp:lastModifiedBy>
  <cp:lastPrinted>2013-05-06T15:10:53Z</cp:lastPrinted>
  <dcterms:created xsi:type="dcterms:W3CDTF">1999-02-08T20:50:59Z</dcterms:created>
  <dcterms:modified xsi:type="dcterms:W3CDTF">2019-07-02T20:37:25Z</dcterms:modified>
</cp:coreProperties>
</file>